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555" windowWidth="19815" windowHeight="7365" firstSheet="35" activeTab="38"/>
  </bookViews>
  <sheets>
    <sheet name="MAIN SHEET" sheetId="1" r:id="rId1"/>
    <sheet name="Copy of CHRISTINA-data-processe" sheetId="2" state="hidden" r:id="rId2"/>
    <sheet name="NUMBERS-DM" sheetId="3" r:id="rId3"/>
    <sheet name="CONSUMPTION" sheetId="4" r:id="rId4"/>
    <sheet name="NEW NUMBERS" sheetId="5" r:id="rId5"/>
    <sheet name="PC-absolute-reordered" sheetId="6" r:id="rId6"/>
    <sheet name="PC-by-population-REORDERED" sheetId="7" r:id="rId7"/>
    <sheet name="PRODUCTION" sheetId="8" r:id="rId8"/>
    <sheet name="% of supply" sheetId="9" r:id="rId9"/>
    <sheet name="PC-absolute" sheetId="10" r:id="rId10"/>
    <sheet name="PC-absolute-alphabetical" sheetId="11" r:id="rId11"/>
    <sheet name="PC-by-population" sheetId="12" r:id="rId12"/>
    <sheet name=" PRODUCTION-CONSUMPTION-by-% of" sheetId="13" r:id="rId13"/>
    <sheet name="Copy of  PRODUCTION-CONSUMPTION" sheetId="14" state="hidden" r:id="rId14"/>
    <sheet name="Sankey data" sheetId="15" state="hidden" r:id="rId15"/>
    <sheet name="consumption &gt; nuts" sheetId="16" r:id="rId16"/>
    <sheet name="consumption &gt; WHOLE GRAINS" sheetId="17" r:id="rId17"/>
    <sheet name="consumption &gt; MILK" sheetId="19" r:id="rId18"/>
    <sheet name="consumption &gt; STARCHY VEG" sheetId="18" r:id="rId19"/>
    <sheet name="consumption &gt; EGG" sheetId="20" r:id="rId20"/>
    <sheet name="CONSUMPTION &gt; RED MEAT" sheetId="21" r:id="rId21"/>
    <sheet name="CONSUMPTION &gt; POULTRY" sheetId="22" r:id="rId22"/>
    <sheet name="ACTION" sheetId="23" r:id="rId23"/>
    <sheet name="nat geo diagram" sheetId="24" r:id="rId24"/>
    <sheet name="CALCS" sheetId="25" r:id="rId25"/>
    <sheet name="spare" sheetId="26" r:id="rId26"/>
    <sheet name="REGIONS" sheetId="27" r:id="rId27"/>
    <sheet name="Sheet27" sheetId="28" r:id="rId28"/>
    <sheet name="lancet chart" sheetId="29" r:id="rId29"/>
    <sheet name="Copy of CONSUMPTION-OLD" sheetId="30" r:id="rId30"/>
    <sheet name="OWID &gt; MILK consumption" sheetId="31" r:id="rId31"/>
    <sheet name="CONSUMPTION-OLD" sheetId="32" r:id="rId32"/>
    <sheet name="OWID &gt; EGG Consumption" sheetId="33" r:id="rId33"/>
    <sheet name="OWID &gt; Beef Consumption" sheetId="34" r:id="rId34"/>
    <sheet name="OWID &gt; Fish &amp; Seafood consumpti" sheetId="35" r:id="rId35"/>
    <sheet name="OWID &gt; Fruit Consumption" sheetId="36" r:id="rId36"/>
    <sheet name="OWID &gt; Pulses-OLD" sheetId="37" r:id="rId37"/>
    <sheet name="CONSUMPTION &gt; Pulses etc" sheetId="38" r:id="rId38"/>
    <sheet name="OWID &gt; Veg" sheetId="39" r:id="rId39"/>
    <sheet name="Sheet1" sheetId="40" r:id="rId40"/>
  </sheets>
  <calcPr calcId="145621"/>
  <fileRecoveryPr repairLoad="1"/>
</workbook>
</file>

<file path=xl/calcChain.xml><?xml version="1.0" encoding="utf-8"?>
<calcChain xmlns="http://schemas.openxmlformats.org/spreadsheetml/2006/main">
  <c r="C174" i="38" l="1"/>
  <c r="B174" i="38" s="1"/>
  <c r="C173" i="38"/>
  <c r="B173" i="38"/>
  <c r="C172" i="38"/>
  <c r="B172" i="38" s="1"/>
  <c r="C171" i="38"/>
  <c r="B171" i="38"/>
  <c r="C170" i="38"/>
  <c r="B170" i="38" s="1"/>
  <c r="C169" i="38"/>
  <c r="B169" i="38"/>
  <c r="C168" i="38"/>
  <c r="B168" i="38" s="1"/>
  <c r="C167" i="38"/>
  <c r="B167" i="38"/>
  <c r="C166" i="38"/>
  <c r="B166" i="38" s="1"/>
  <c r="C165" i="38"/>
  <c r="B165" i="38"/>
  <c r="C164" i="38"/>
  <c r="B164" i="38" s="1"/>
  <c r="C163" i="38"/>
  <c r="B163" i="38"/>
  <c r="C162" i="38"/>
  <c r="B162" i="38" s="1"/>
  <c r="C161" i="38"/>
  <c r="B161" i="38"/>
  <c r="C160" i="38"/>
  <c r="B160" i="38" s="1"/>
  <c r="C159" i="38"/>
  <c r="B159" i="38"/>
  <c r="C158" i="38"/>
  <c r="B158" i="38" s="1"/>
  <c r="C157" i="38"/>
  <c r="B157" i="38"/>
  <c r="C156" i="38"/>
  <c r="B156" i="38" s="1"/>
  <c r="C155" i="38"/>
  <c r="B155" i="38"/>
  <c r="C154" i="38"/>
  <c r="B154" i="38" s="1"/>
  <c r="C153" i="38"/>
  <c r="B153" i="38"/>
  <c r="C152" i="38"/>
  <c r="B152" i="38" s="1"/>
  <c r="C151" i="38"/>
  <c r="B151" i="38"/>
  <c r="C150" i="38"/>
  <c r="B150" i="38" s="1"/>
  <c r="C149" i="38"/>
  <c r="B149" i="38"/>
  <c r="C148" i="38"/>
  <c r="B148" i="38" s="1"/>
  <c r="C147" i="38"/>
  <c r="B147" i="38"/>
  <c r="C146" i="38"/>
  <c r="B146" i="38" s="1"/>
  <c r="C145" i="38"/>
  <c r="B145" i="38"/>
  <c r="C144" i="38"/>
  <c r="B144" i="38" s="1"/>
  <c r="C143" i="38"/>
  <c r="B143" i="38"/>
  <c r="C142" i="38"/>
  <c r="B142" i="38" s="1"/>
  <c r="C141" i="38"/>
  <c r="B141" i="38"/>
  <c r="C140" i="38"/>
  <c r="B140" i="38" s="1"/>
  <c r="C139" i="38"/>
  <c r="B139" i="38"/>
  <c r="C138" i="38"/>
  <c r="B138" i="38" s="1"/>
  <c r="C137" i="38"/>
  <c r="B137" i="38"/>
  <c r="C136" i="38"/>
  <c r="B136" i="38" s="1"/>
  <c r="C135" i="38"/>
  <c r="B135" i="38"/>
  <c r="C134" i="38"/>
  <c r="B134" i="38" s="1"/>
  <c r="C133" i="38"/>
  <c r="B133" i="38"/>
  <c r="C132" i="38"/>
  <c r="B132" i="38" s="1"/>
  <c r="C131" i="38"/>
  <c r="B131" i="38"/>
  <c r="C130" i="38"/>
  <c r="B130" i="38" s="1"/>
  <c r="C129" i="38"/>
  <c r="B129" i="38"/>
  <c r="C128" i="38"/>
  <c r="B128" i="38" s="1"/>
  <c r="C127" i="38"/>
  <c r="B127" i="38"/>
  <c r="C126" i="38"/>
  <c r="B126" i="38" s="1"/>
  <c r="C125" i="38"/>
  <c r="B125" i="38"/>
  <c r="C124" i="38"/>
  <c r="B124" i="38" s="1"/>
  <c r="C123" i="38"/>
  <c r="B123" i="38"/>
  <c r="C122" i="38"/>
  <c r="B122" i="38" s="1"/>
  <c r="C121" i="38"/>
  <c r="B121" i="38"/>
  <c r="C120" i="38"/>
  <c r="B120" i="38" s="1"/>
  <c r="C119" i="38"/>
  <c r="B119" i="38"/>
  <c r="C118" i="38"/>
  <c r="B118" i="38" s="1"/>
  <c r="C117" i="38"/>
  <c r="B117" i="38"/>
  <c r="C116" i="38"/>
  <c r="B116" i="38" s="1"/>
  <c r="C115" i="38"/>
  <c r="B115" i="38"/>
  <c r="C114" i="38"/>
  <c r="B114" i="38" s="1"/>
  <c r="C113" i="38"/>
  <c r="B113" i="38"/>
  <c r="C112" i="38"/>
  <c r="B112" i="38" s="1"/>
  <c r="C111" i="38"/>
  <c r="B111" i="38"/>
  <c r="C110" i="38"/>
  <c r="B110" i="38" s="1"/>
  <c r="C109" i="38"/>
  <c r="B109" i="38"/>
  <c r="C108" i="38"/>
  <c r="B108" i="38" s="1"/>
  <c r="C107" i="38"/>
  <c r="B107" i="38"/>
  <c r="C106" i="38"/>
  <c r="B106" i="38" s="1"/>
  <c r="C105" i="38"/>
  <c r="B105" i="38"/>
  <c r="C104" i="38"/>
  <c r="B104" i="38" s="1"/>
  <c r="C103" i="38"/>
  <c r="B103" i="38"/>
  <c r="C102" i="38"/>
  <c r="B102" i="38" s="1"/>
  <c r="C101" i="38"/>
  <c r="B101" i="38"/>
  <c r="C100" i="38"/>
  <c r="B100" i="38" s="1"/>
  <c r="C99" i="38"/>
  <c r="B99" i="38"/>
  <c r="C98" i="38"/>
  <c r="B98" i="38" s="1"/>
  <c r="C97" i="38"/>
  <c r="B97" i="38"/>
  <c r="C96" i="38"/>
  <c r="B96" i="38" s="1"/>
  <c r="C95" i="38"/>
  <c r="B95" i="38"/>
  <c r="C94" i="38"/>
  <c r="B94" i="38" s="1"/>
  <c r="C93" i="38"/>
  <c r="B93" i="38"/>
  <c r="C92" i="38"/>
  <c r="B92" i="38" s="1"/>
  <c r="C91" i="38"/>
  <c r="B91" i="38"/>
  <c r="C90" i="38"/>
  <c r="B90" i="38" s="1"/>
  <c r="C89" i="38"/>
  <c r="B89" i="38"/>
  <c r="C88" i="38"/>
  <c r="B88" i="38" s="1"/>
  <c r="C87" i="38"/>
  <c r="B87" i="38"/>
  <c r="C86" i="38"/>
  <c r="B86" i="38" s="1"/>
  <c r="C85" i="38"/>
  <c r="B85" i="38" s="1"/>
  <c r="C84" i="38"/>
  <c r="B84" i="38" s="1"/>
  <c r="C83" i="38"/>
  <c r="B83" i="38"/>
  <c r="C82" i="38"/>
  <c r="B82" i="38" s="1"/>
  <c r="C81" i="38"/>
  <c r="B81" i="38" s="1"/>
  <c r="C80" i="38"/>
  <c r="B80" i="38" s="1"/>
  <c r="C79" i="38"/>
  <c r="B79" i="38"/>
  <c r="C78" i="38"/>
  <c r="B78" i="38" s="1"/>
  <c r="C77" i="38"/>
  <c r="B77" i="38" s="1"/>
  <c r="C76" i="38"/>
  <c r="B76" i="38" s="1"/>
  <c r="C75" i="38"/>
  <c r="B75" i="38"/>
  <c r="C74" i="38"/>
  <c r="B74" i="38" s="1"/>
  <c r="C73" i="38"/>
  <c r="B73" i="38" s="1"/>
  <c r="C72" i="38"/>
  <c r="B72" i="38" s="1"/>
  <c r="C71" i="38"/>
  <c r="B71" i="38"/>
  <c r="C70" i="38"/>
  <c r="B70" i="38" s="1"/>
  <c r="C69" i="38"/>
  <c r="B69" i="38" s="1"/>
  <c r="C68" i="38"/>
  <c r="B68" i="38" s="1"/>
  <c r="C67" i="38"/>
  <c r="B67" i="38"/>
  <c r="C66" i="38"/>
  <c r="B66" i="38" s="1"/>
  <c r="C65" i="38"/>
  <c r="B65" i="38" s="1"/>
  <c r="C64" i="38"/>
  <c r="B64" i="38" s="1"/>
  <c r="C63" i="38"/>
  <c r="B63" i="38"/>
  <c r="C62" i="38"/>
  <c r="B62" i="38" s="1"/>
  <c r="C61" i="38"/>
  <c r="B61" i="38" s="1"/>
  <c r="C60" i="38"/>
  <c r="B60" i="38" s="1"/>
  <c r="C59" i="38"/>
  <c r="B59" i="38"/>
  <c r="C58" i="38"/>
  <c r="B58" i="38" s="1"/>
  <c r="C57" i="38"/>
  <c r="B57" i="38" s="1"/>
  <c r="C56" i="38"/>
  <c r="B56" i="38" s="1"/>
  <c r="C55" i="38"/>
  <c r="B55" i="38"/>
  <c r="C54" i="38"/>
  <c r="B54" i="38" s="1"/>
  <c r="C53" i="38"/>
  <c r="B53" i="38" s="1"/>
  <c r="C52" i="38"/>
  <c r="B52" i="38" s="1"/>
  <c r="C51" i="38"/>
  <c r="B51" i="38"/>
  <c r="C50" i="38"/>
  <c r="B50" i="38" s="1"/>
  <c r="C49" i="38"/>
  <c r="B49" i="38" s="1"/>
  <c r="C48" i="38"/>
  <c r="B48" i="38" s="1"/>
  <c r="C47" i="38"/>
  <c r="B47" i="38"/>
  <c r="C46" i="38"/>
  <c r="B46" i="38" s="1"/>
  <c r="C45" i="38"/>
  <c r="B45" i="38" s="1"/>
  <c r="C44" i="38"/>
  <c r="B44" i="38" s="1"/>
  <c r="C43" i="38"/>
  <c r="B43" i="38"/>
  <c r="C42" i="38"/>
  <c r="B42" i="38" s="1"/>
  <c r="C41" i="38"/>
  <c r="B41" i="38" s="1"/>
  <c r="C40" i="38"/>
  <c r="B40" i="38" s="1"/>
  <c r="C39" i="38"/>
  <c r="B39" i="38"/>
  <c r="C38" i="38"/>
  <c r="B38" i="38" s="1"/>
  <c r="C37" i="38"/>
  <c r="B37" i="38" s="1"/>
  <c r="C36" i="38"/>
  <c r="B36" i="38" s="1"/>
  <c r="C35" i="38"/>
  <c r="B35" i="38"/>
  <c r="C34" i="38"/>
  <c r="B34" i="38" s="1"/>
  <c r="C33" i="38"/>
  <c r="B33" i="38" s="1"/>
  <c r="C32" i="38"/>
  <c r="B32" i="38" s="1"/>
  <c r="C31" i="38"/>
  <c r="B31" i="38"/>
  <c r="C30" i="38"/>
  <c r="B30" i="38" s="1"/>
  <c r="C29" i="38"/>
  <c r="B29" i="38" s="1"/>
  <c r="C28" i="38"/>
  <c r="B28" i="38" s="1"/>
  <c r="C27" i="38"/>
  <c r="B27" i="38"/>
  <c r="C26" i="38"/>
  <c r="B26" i="38" s="1"/>
  <c r="C25" i="38"/>
  <c r="B25" i="38" s="1"/>
  <c r="C24" i="38"/>
  <c r="B24" i="38" s="1"/>
  <c r="C23" i="38"/>
  <c r="B23" i="38"/>
  <c r="C22" i="38"/>
  <c r="B22" i="38" s="1"/>
  <c r="C21" i="38"/>
  <c r="B21" i="38" s="1"/>
  <c r="C20" i="38"/>
  <c r="B20" i="38" s="1"/>
  <c r="C19" i="38"/>
  <c r="B19" i="38"/>
  <c r="C18" i="38"/>
  <c r="B18" i="38" s="1"/>
  <c r="C17" i="38"/>
  <c r="B17" i="38" s="1"/>
  <c r="C16" i="38"/>
  <c r="B16" i="38" s="1"/>
  <c r="C15" i="38"/>
  <c r="B15" i="38"/>
  <c r="C14" i="38"/>
  <c r="B14" i="38" s="1"/>
  <c r="C13" i="38"/>
  <c r="B13" i="38" s="1"/>
  <c r="C12" i="38"/>
  <c r="B12" i="38" s="1"/>
  <c r="C11" i="38"/>
  <c r="B11" i="38"/>
  <c r="C10" i="38"/>
  <c r="B10" i="38" s="1"/>
  <c r="C9" i="38"/>
  <c r="B9" i="38" s="1"/>
  <c r="C8" i="38"/>
  <c r="B8" i="38" s="1"/>
  <c r="C7" i="38"/>
  <c r="B7" i="38"/>
  <c r="C6" i="38"/>
  <c r="B6" i="38" s="1"/>
  <c r="C5" i="38"/>
  <c r="B5" i="38" s="1"/>
  <c r="C4" i="38"/>
  <c r="B4" i="38"/>
  <c r="C3" i="38"/>
  <c r="B3" i="38"/>
  <c r="H2" i="38"/>
  <c r="E216" i="34"/>
  <c r="E215" i="34"/>
  <c r="E212" i="34"/>
  <c r="E210" i="34"/>
  <c r="E209" i="34"/>
  <c r="E207" i="34"/>
  <c r="E203" i="34"/>
  <c r="E200" i="34"/>
  <c r="E199" i="34"/>
  <c r="E198" i="34"/>
  <c r="E197" i="34"/>
  <c r="E189" i="34"/>
  <c r="E186" i="34"/>
  <c r="E184" i="34"/>
  <c r="E183" i="34"/>
  <c r="E180" i="34"/>
  <c r="E178" i="34"/>
  <c r="E176" i="34"/>
  <c r="E174" i="34"/>
  <c r="E172" i="34"/>
  <c r="E168" i="34"/>
  <c r="E165" i="34"/>
  <c r="E164" i="34"/>
  <c r="E163" i="34"/>
  <c r="E162" i="34"/>
  <c r="E159" i="34"/>
  <c r="E158" i="34"/>
  <c r="E156" i="34"/>
  <c r="E153" i="34"/>
  <c r="E152" i="34"/>
  <c r="E151" i="34"/>
  <c r="E149" i="34"/>
  <c r="E146" i="34"/>
  <c r="E145" i="34"/>
  <c r="E142" i="34"/>
  <c r="E136" i="34"/>
  <c r="E135" i="34"/>
  <c r="E133" i="34"/>
  <c r="E131" i="34"/>
  <c r="E130" i="34"/>
  <c r="E127" i="34"/>
  <c r="E126" i="34"/>
  <c r="E125" i="34"/>
  <c r="E123" i="34"/>
  <c r="E121" i="34"/>
  <c r="E120" i="34"/>
  <c r="E118" i="34"/>
  <c r="E117" i="34"/>
  <c r="E110" i="34"/>
  <c r="E107" i="34"/>
  <c r="E106" i="34"/>
  <c r="E104" i="34"/>
  <c r="E103" i="34"/>
  <c r="E100" i="34"/>
  <c r="E99" i="34"/>
  <c r="E97" i="34"/>
  <c r="E96" i="34"/>
  <c r="E95" i="34"/>
  <c r="E92" i="34"/>
  <c r="E90" i="34"/>
  <c r="E87" i="34"/>
  <c r="E85" i="34"/>
  <c r="E84" i="34"/>
  <c r="E81" i="34"/>
  <c r="E75" i="34"/>
  <c r="E73" i="34"/>
  <c r="E72" i="34"/>
  <c r="E64" i="34"/>
  <c r="E63" i="34"/>
  <c r="E59" i="34"/>
  <c r="E58" i="34"/>
  <c r="E57" i="34"/>
  <c r="E56" i="34"/>
  <c r="E51" i="34"/>
  <c r="E48" i="34"/>
  <c r="E44" i="34"/>
  <c r="E43" i="34"/>
  <c r="E41" i="34"/>
  <c r="E40" i="34"/>
  <c r="E39" i="34"/>
  <c r="E38" i="34"/>
  <c r="E37" i="34"/>
  <c r="E34" i="34"/>
  <c r="E33" i="34"/>
  <c r="E32" i="34"/>
  <c r="E31" i="34"/>
  <c r="E28" i="34"/>
  <c r="E26" i="34"/>
  <c r="E25" i="34"/>
  <c r="E23" i="34"/>
  <c r="E18" i="34"/>
  <c r="E15" i="34"/>
  <c r="E11" i="34"/>
  <c r="E10" i="34"/>
  <c r="E8" i="34"/>
  <c r="E7" i="34"/>
  <c r="E5" i="34"/>
  <c r="E4" i="34"/>
  <c r="E217" i="33"/>
  <c r="E216" i="33"/>
  <c r="E215" i="33"/>
  <c r="E214" i="33"/>
  <c r="E213" i="33"/>
  <c r="E212" i="33"/>
  <c r="E211" i="33"/>
  <c r="E210" i="33"/>
  <c r="E208" i="33"/>
  <c r="E207" i="33"/>
  <c r="E206" i="33"/>
  <c r="E203" i="33"/>
  <c r="E202" i="33"/>
  <c r="E201" i="33"/>
  <c r="E200" i="33"/>
  <c r="E199" i="33"/>
  <c r="E198" i="33"/>
  <c r="E197" i="33"/>
  <c r="E196" i="33"/>
  <c r="E195" i="33"/>
  <c r="E193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4" i="33"/>
  <c r="E173" i="33"/>
  <c r="E171" i="33"/>
  <c r="E169" i="33"/>
  <c r="E168" i="33"/>
  <c r="E165" i="33"/>
  <c r="E164" i="33"/>
  <c r="E163" i="33"/>
  <c r="E162" i="33"/>
  <c r="E161" i="33"/>
  <c r="E160" i="33"/>
  <c r="E159" i="33"/>
  <c r="E158" i="33"/>
  <c r="E157" i="33"/>
  <c r="E155" i="33"/>
  <c r="E154" i="33"/>
  <c r="E153" i="33"/>
  <c r="E152" i="33"/>
  <c r="E150" i="33"/>
  <c r="E148" i="33"/>
  <c r="E145" i="33"/>
  <c r="E143" i="33"/>
  <c r="E142" i="33"/>
  <c r="E140" i="33"/>
  <c r="E138" i="33"/>
  <c r="E137" i="33"/>
  <c r="E136" i="33"/>
  <c r="E135" i="33"/>
  <c r="E134" i="33"/>
  <c r="E132" i="33"/>
  <c r="E130" i="33"/>
  <c r="E129" i="33"/>
  <c r="E127" i="33"/>
  <c r="E126" i="33"/>
  <c r="E125" i="33"/>
  <c r="E124" i="33"/>
  <c r="E123" i="33"/>
  <c r="E122" i="33"/>
  <c r="E121" i="33"/>
  <c r="E120" i="33"/>
  <c r="E119" i="33"/>
  <c r="E117" i="33"/>
  <c r="E116" i="33"/>
  <c r="E114" i="33"/>
  <c r="E113" i="33"/>
  <c r="E112" i="33"/>
  <c r="E111" i="33"/>
  <c r="E107" i="33"/>
  <c r="E106" i="33"/>
  <c r="E105" i="33"/>
  <c r="E104" i="33"/>
  <c r="E101" i="33"/>
  <c r="E100" i="33"/>
  <c r="E98" i="33"/>
  <c r="E97" i="33"/>
  <c r="E95" i="33"/>
  <c r="E92" i="33"/>
  <c r="E91" i="33"/>
  <c r="E89" i="33"/>
  <c r="E88" i="33"/>
  <c r="E87" i="33"/>
  <c r="E86" i="33"/>
  <c r="E85" i="33"/>
  <c r="E84" i="33"/>
  <c r="E82" i="33"/>
  <c r="E81" i="33"/>
  <c r="E80" i="33"/>
  <c r="E79" i="33"/>
  <c r="E78" i="33"/>
  <c r="E77" i="33"/>
  <c r="E75" i="33"/>
  <c r="E74" i="33"/>
  <c r="E73" i="33"/>
  <c r="E72" i="33"/>
  <c r="E71" i="33"/>
  <c r="E70" i="33"/>
  <c r="E69" i="33"/>
  <c r="E68" i="33"/>
  <c r="E67" i="33"/>
  <c r="E66" i="33"/>
  <c r="E63" i="33"/>
  <c r="E61" i="33"/>
  <c r="E60" i="33"/>
  <c r="E59" i="33"/>
  <c r="E58" i="33"/>
  <c r="E57" i="33"/>
  <c r="E55" i="33"/>
  <c r="E54" i="33"/>
  <c r="E52" i="33"/>
  <c r="E51" i="33"/>
  <c r="E49" i="33"/>
  <c r="E48" i="33"/>
  <c r="E46" i="33"/>
  <c r="E45" i="33"/>
  <c r="E44" i="33"/>
  <c r="E43" i="33"/>
  <c r="E41" i="33"/>
  <c r="E39" i="33"/>
  <c r="E38" i="33"/>
  <c r="E37" i="33"/>
  <c r="E34" i="33"/>
  <c r="E33" i="33"/>
  <c r="E32" i="33"/>
  <c r="E31" i="33"/>
  <c r="E30" i="33"/>
  <c r="E29" i="33"/>
  <c r="E28" i="33"/>
  <c r="E27" i="33"/>
  <c r="E26" i="33"/>
  <c r="E25" i="33"/>
  <c r="E23" i="33"/>
  <c r="E21" i="33"/>
  <c r="E19" i="33"/>
  <c r="E18" i="33"/>
  <c r="E17" i="33"/>
  <c r="E16" i="33"/>
  <c r="E15" i="33"/>
  <c r="E11" i="33"/>
  <c r="E10" i="33"/>
  <c r="E9" i="33"/>
  <c r="E8" i="33"/>
  <c r="E7" i="33"/>
  <c r="E6" i="33"/>
  <c r="E5" i="33"/>
  <c r="E4" i="33"/>
  <c r="E3" i="33"/>
  <c r="E2" i="33"/>
  <c r="AF60" i="32"/>
  <c r="AB60" i="32"/>
  <c r="AB4" i="32" s="1"/>
  <c r="X60" i="32"/>
  <c r="T60" i="32"/>
  <c r="E60" i="32"/>
  <c r="B60" i="32"/>
  <c r="AF45" i="32"/>
  <c r="AB45" i="32"/>
  <c r="X45" i="32"/>
  <c r="T45" i="32"/>
  <c r="E45" i="32"/>
  <c r="B45" i="32"/>
  <c r="AF28" i="32"/>
  <c r="AB28" i="32"/>
  <c r="X28" i="32"/>
  <c r="T28" i="32"/>
  <c r="E28" i="32"/>
  <c r="B28" i="32"/>
  <c r="AF22" i="32"/>
  <c r="AB22" i="32"/>
  <c r="X22" i="32"/>
  <c r="T22" i="32"/>
  <c r="E22" i="32"/>
  <c r="B22" i="32"/>
  <c r="T8" i="32"/>
  <c r="E8" i="32"/>
  <c r="B8" i="32"/>
  <c r="AF5" i="32"/>
  <c r="AB5" i="32"/>
  <c r="X5" i="32"/>
  <c r="X4" i="32" s="1"/>
  <c r="T5" i="32"/>
  <c r="E5" i="32"/>
  <c r="B5" i="32"/>
  <c r="E215" i="31"/>
  <c r="E213" i="31"/>
  <c r="E211" i="31"/>
  <c r="E210" i="31"/>
  <c r="E208" i="31"/>
  <c r="E207" i="31"/>
  <c r="E201" i="31"/>
  <c r="E199" i="31"/>
  <c r="E197" i="31"/>
  <c r="E195" i="31"/>
  <c r="E193" i="31"/>
  <c r="E192" i="31"/>
  <c r="E188" i="31"/>
  <c r="E186" i="31"/>
  <c r="E183" i="31"/>
  <c r="E182" i="31"/>
  <c r="E181" i="31"/>
  <c r="E178" i="31"/>
  <c r="E177" i="31"/>
  <c r="E174" i="31"/>
  <c r="E173" i="31"/>
  <c r="E171" i="31"/>
  <c r="E169" i="31"/>
  <c r="E167" i="31"/>
  <c r="E165" i="31"/>
  <c r="E161" i="31"/>
  <c r="E160" i="31"/>
  <c r="E159" i="31"/>
  <c r="E158" i="31"/>
  <c r="E157" i="31"/>
  <c r="E154" i="31"/>
  <c r="E153" i="31"/>
  <c r="E152" i="31"/>
  <c r="E151" i="31"/>
  <c r="E150" i="31"/>
  <c r="E147" i="31"/>
  <c r="E145" i="31"/>
  <c r="E144" i="31"/>
  <c r="E137" i="31"/>
  <c r="E136" i="31"/>
  <c r="E135" i="31"/>
  <c r="E134" i="31"/>
  <c r="E133" i="31"/>
  <c r="E132" i="31"/>
  <c r="E131" i="31"/>
  <c r="E130" i="31"/>
  <c r="E129" i="31"/>
  <c r="E128" i="31"/>
  <c r="E124" i="31"/>
  <c r="E119" i="31"/>
  <c r="E114" i="31"/>
  <c r="E112" i="31"/>
  <c r="E111" i="31"/>
  <c r="E109" i="31"/>
  <c r="E107" i="31"/>
  <c r="E105" i="31"/>
  <c r="E104" i="31"/>
  <c r="E103" i="31"/>
  <c r="E100" i="31"/>
  <c r="E99" i="31"/>
  <c r="E98" i="31"/>
  <c r="E97" i="31"/>
  <c r="E96" i="31"/>
  <c r="E95" i="31"/>
  <c r="E94" i="31"/>
  <c r="E91" i="31"/>
  <c r="E90" i="31"/>
  <c r="E89" i="31"/>
  <c r="E87" i="31"/>
  <c r="E86" i="31"/>
  <c r="E85" i="31"/>
  <c r="E83" i="31"/>
  <c r="E82" i="31"/>
  <c r="E81" i="31"/>
  <c r="E80" i="31"/>
  <c r="E78" i="31"/>
  <c r="E76" i="31"/>
  <c r="E75" i="31"/>
  <c r="E74" i="31"/>
  <c r="E73" i="31"/>
  <c r="E72" i="31"/>
  <c r="E71" i="31"/>
  <c r="E70" i="31"/>
  <c r="E68" i="31"/>
  <c r="E67" i="31"/>
  <c r="E66" i="31"/>
  <c r="E64" i="31"/>
  <c r="E61" i="31"/>
  <c r="E60" i="31"/>
  <c r="E59" i="31"/>
  <c r="E58" i="31"/>
  <c r="E57" i="31"/>
  <c r="E56" i="31"/>
  <c r="E55" i="31"/>
  <c r="E54" i="31"/>
  <c r="E52" i="31"/>
  <c r="E49" i="31"/>
  <c r="E48" i="31"/>
  <c r="E47" i="31"/>
  <c r="E45" i="31"/>
  <c r="E43" i="31"/>
  <c r="E42" i="31"/>
  <c r="E41" i="31"/>
  <c r="E39" i="31"/>
  <c r="E38" i="31"/>
  <c r="E37" i="31"/>
  <c r="E36" i="31"/>
  <c r="E34" i="31"/>
  <c r="E32" i="31"/>
  <c r="E31" i="31"/>
  <c r="E30" i="31"/>
  <c r="E29" i="31"/>
  <c r="E28" i="31"/>
  <c r="E27" i="31"/>
  <c r="E26" i="31"/>
  <c r="E24" i="31"/>
  <c r="E22" i="31"/>
  <c r="E18" i="31"/>
  <c r="E16" i="31"/>
  <c r="E15" i="31"/>
  <c r="E12" i="31"/>
  <c r="E11" i="31"/>
  <c r="E10" i="31"/>
  <c r="E9" i="31"/>
  <c r="E6" i="31"/>
  <c r="E5" i="31"/>
  <c r="E4" i="31"/>
  <c r="E3" i="31"/>
  <c r="D12" i="30"/>
  <c r="E10" i="30" s="1"/>
  <c r="B12" i="30"/>
  <c r="E9" i="30"/>
  <c r="C9" i="30"/>
  <c r="E7" i="30"/>
  <c r="C7" i="30"/>
  <c r="E5" i="30"/>
  <c r="C5" i="30"/>
  <c r="B21" i="25"/>
  <c r="B13" i="25"/>
  <c r="L22" i="23"/>
  <c r="K22" i="23"/>
  <c r="J22" i="23"/>
  <c r="I22" i="23"/>
  <c r="H22" i="23"/>
  <c r="G22" i="23"/>
  <c r="F22" i="23"/>
  <c r="E22" i="23"/>
  <c r="D22" i="23"/>
  <c r="C22" i="23"/>
  <c r="B22" i="23"/>
  <c r="L21" i="23"/>
  <c r="K21" i="23"/>
  <c r="J21" i="23"/>
  <c r="I21" i="23"/>
  <c r="H21" i="23"/>
  <c r="G21" i="23"/>
  <c r="F21" i="23"/>
  <c r="E21" i="23"/>
  <c r="D21" i="23"/>
  <c r="C21" i="23"/>
  <c r="B21" i="23"/>
  <c r="L20" i="23"/>
  <c r="K20" i="23"/>
  <c r="J20" i="23"/>
  <c r="I20" i="23"/>
  <c r="H20" i="23"/>
  <c r="G20" i="23"/>
  <c r="F20" i="23"/>
  <c r="E20" i="23"/>
  <c r="D20" i="23"/>
  <c r="C20" i="23"/>
  <c r="B20" i="23"/>
  <c r="L19" i="23"/>
  <c r="K19" i="23"/>
  <c r="J19" i="23"/>
  <c r="I19" i="23"/>
  <c r="H19" i="23"/>
  <c r="G19" i="23"/>
  <c r="F19" i="23"/>
  <c r="E19" i="23"/>
  <c r="D19" i="23"/>
  <c r="C19" i="23"/>
  <c r="B19" i="23"/>
  <c r="L18" i="23"/>
  <c r="K18" i="23"/>
  <c r="J18" i="23"/>
  <c r="I18" i="23"/>
  <c r="H18" i="23"/>
  <c r="G18" i="23"/>
  <c r="F18" i="23"/>
  <c r="E18" i="23"/>
  <c r="D18" i="23"/>
  <c r="C18" i="23"/>
  <c r="B18" i="23"/>
  <c r="L17" i="23"/>
  <c r="K17" i="23"/>
  <c r="J17" i="23"/>
  <c r="I17" i="23"/>
  <c r="H17" i="23"/>
  <c r="G17" i="23"/>
  <c r="F17" i="23"/>
  <c r="E17" i="23"/>
  <c r="D17" i="23"/>
  <c r="C17" i="23"/>
  <c r="B17" i="23"/>
  <c r="L16" i="23"/>
  <c r="K16" i="23"/>
  <c r="J16" i="23"/>
  <c r="I16" i="23"/>
  <c r="H16" i="23"/>
  <c r="G16" i="23"/>
  <c r="F16" i="23"/>
  <c r="E16" i="23"/>
  <c r="D16" i="23"/>
  <c r="C16" i="23"/>
  <c r="B16" i="23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" i="22"/>
  <c r="B174" i="21"/>
  <c r="B173" i="21"/>
  <c r="B172" i="21"/>
  <c r="B171" i="21"/>
  <c r="B170" i="21"/>
  <c r="B169" i="21"/>
  <c r="B168" i="21"/>
  <c r="B167" i="21"/>
  <c r="B166" i="21"/>
  <c r="B165" i="21"/>
  <c r="B164" i="21"/>
  <c r="B163" i="21"/>
  <c r="B162" i="21"/>
  <c r="B161" i="21"/>
  <c r="B160" i="21"/>
  <c r="B159" i="21"/>
  <c r="B158" i="21"/>
  <c r="B157" i="21"/>
  <c r="B156" i="21"/>
  <c r="B155" i="21"/>
  <c r="B154" i="21"/>
  <c r="B153" i="21"/>
  <c r="B152" i="21"/>
  <c r="B151" i="21"/>
  <c r="B150" i="21"/>
  <c r="B149" i="21"/>
  <c r="B148" i="21"/>
  <c r="B147" i="21"/>
  <c r="B146" i="21"/>
  <c r="B145" i="21"/>
  <c r="B144" i="21"/>
  <c r="B143" i="21"/>
  <c r="B142" i="21"/>
  <c r="B141" i="21"/>
  <c r="B140" i="21"/>
  <c r="B139" i="21"/>
  <c r="B138" i="21"/>
  <c r="B137" i="21"/>
  <c r="B136" i="21"/>
  <c r="B135" i="21"/>
  <c r="B134" i="21"/>
  <c r="B133" i="21"/>
  <c r="B132" i="21"/>
  <c r="B131" i="21"/>
  <c r="B130" i="21"/>
  <c r="B129" i="21"/>
  <c r="B128" i="21"/>
  <c r="B127" i="21"/>
  <c r="B126" i="21"/>
  <c r="B125" i="21"/>
  <c r="B124" i="21"/>
  <c r="B123" i="21"/>
  <c r="B122" i="21"/>
  <c r="B121" i="21"/>
  <c r="B120" i="21"/>
  <c r="B119" i="21"/>
  <c r="B118" i="21"/>
  <c r="B117" i="21"/>
  <c r="B116" i="21"/>
  <c r="B115" i="21"/>
  <c r="B114" i="21"/>
  <c r="B113" i="21"/>
  <c r="B112" i="21"/>
  <c r="B111" i="21"/>
  <c r="B110" i="21"/>
  <c r="B109" i="21"/>
  <c r="B108" i="21"/>
  <c r="B107" i="21"/>
  <c r="B106" i="21"/>
  <c r="B105" i="21"/>
  <c r="B10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8" i="21"/>
  <c r="B87" i="21"/>
  <c r="B86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73" i="21"/>
  <c r="B72" i="21"/>
  <c r="B71" i="21"/>
  <c r="B70" i="21"/>
  <c r="B69" i="21"/>
  <c r="B68" i="21"/>
  <c r="B67" i="21"/>
  <c r="B66" i="21"/>
  <c r="B65" i="21"/>
  <c r="B64" i="21"/>
  <c r="B63" i="21"/>
  <c r="B62" i="21"/>
  <c r="B61" i="21"/>
  <c r="B60" i="21"/>
  <c r="B59" i="21"/>
  <c r="B58" i="21"/>
  <c r="B57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3" i="21"/>
  <c r="B2" i="21"/>
  <c r="E217" i="20"/>
  <c r="E216" i="20"/>
  <c r="E215" i="20"/>
  <c r="E214" i="20"/>
  <c r="E213" i="20"/>
  <c r="E212" i="20"/>
  <c r="E211" i="20"/>
  <c r="E210" i="20"/>
  <c r="E208" i="20"/>
  <c r="E207" i="20"/>
  <c r="E206" i="20"/>
  <c r="E203" i="20"/>
  <c r="E202" i="20"/>
  <c r="E201" i="20"/>
  <c r="E200" i="20"/>
  <c r="E199" i="20"/>
  <c r="E198" i="20"/>
  <c r="E197" i="20"/>
  <c r="E196" i="20"/>
  <c r="E195" i="20"/>
  <c r="E193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4" i="20"/>
  <c r="E173" i="20"/>
  <c r="E171" i="20"/>
  <c r="E169" i="20"/>
  <c r="E168" i="20"/>
  <c r="E165" i="20"/>
  <c r="E164" i="20"/>
  <c r="E163" i="20"/>
  <c r="E162" i="20"/>
  <c r="E161" i="20"/>
  <c r="E160" i="20"/>
  <c r="E159" i="20"/>
  <c r="E158" i="20"/>
  <c r="E157" i="20"/>
  <c r="E155" i="20"/>
  <c r="E154" i="20"/>
  <c r="E153" i="20"/>
  <c r="E152" i="20"/>
  <c r="E150" i="20"/>
  <c r="E148" i="20"/>
  <c r="E145" i="20"/>
  <c r="E143" i="20"/>
  <c r="E142" i="20"/>
  <c r="E140" i="20"/>
  <c r="E138" i="20"/>
  <c r="E137" i="20"/>
  <c r="E136" i="20"/>
  <c r="E135" i="20"/>
  <c r="E134" i="20"/>
  <c r="E132" i="20"/>
  <c r="E130" i="20"/>
  <c r="E129" i="20"/>
  <c r="E127" i="20"/>
  <c r="E126" i="20"/>
  <c r="E125" i="20"/>
  <c r="E124" i="20"/>
  <c r="E123" i="20"/>
  <c r="E122" i="20"/>
  <c r="E121" i="20"/>
  <c r="E120" i="20"/>
  <c r="E119" i="20"/>
  <c r="E117" i="20"/>
  <c r="E116" i="20"/>
  <c r="E114" i="20"/>
  <c r="E113" i="20"/>
  <c r="E112" i="20"/>
  <c r="E111" i="20"/>
  <c r="E107" i="20"/>
  <c r="E106" i="20"/>
  <c r="E105" i="20"/>
  <c r="E104" i="20"/>
  <c r="E101" i="20"/>
  <c r="E100" i="20"/>
  <c r="E98" i="20"/>
  <c r="E97" i="20"/>
  <c r="E95" i="20"/>
  <c r="E92" i="20"/>
  <c r="E91" i="20"/>
  <c r="E89" i="20"/>
  <c r="E88" i="20"/>
  <c r="E87" i="20"/>
  <c r="E86" i="20"/>
  <c r="E85" i="20"/>
  <c r="E84" i="20"/>
  <c r="E82" i="20"/>
  <c r="E81" i="20"/>
  <c r="E80" i="20"/>
  <c r="E79" i="20"/>
  <c r="E78" i="20"/>
  <c r="E77" i="20"/>
  <c r="E75" i="20"/>
  <c r="E74" i="20"/>
  <c r="E73" i="20"/>
  <c r="E72" i="20"/>
  <c r="E71" i="20"/>
  <c r="E70" i="20"/>
  <c r="E69" i="20"/>
  <c r="E68" i="20"/>
  <c r="E67" i="20"/>
  <c r="E66" i="20"/>
  <c r="E63" i="20"/>
  <c r="E61" i="20"/>
  <c r="E60" i="20"/>
  <c r="E59" i="20"/>
  <c r="E58" i="20"/>
  <c r="E57" i="20"/>
  <c r="E55" i="20"/>
  <c r="E54" i="20"/>
  <c r="E52" i="20"/>
  <c r="E51" i="20"/>
  <c r="E49" i="20"/>
  <c r="E48" i="20"/>
  <c r="E46" i="20"/>
  <c r="E45" i="20"/>
  <c r="E44" i="20"/>
  <c r="E43" i="20"/>
  <c r="E41" i="20"/>
  <c r="E39" i="20"/>
  <c r="E38" i="20"/>
  <c r="E37" i="20"/>
  <c r="E34" i="20"/>
  <c r="E33" i="20"/>
  <c r="E32" i="20"/>
  <c r="E31" i="20"/>
  <c r="E30" i="20"/>
  <c r="E29" i="20"/>
  <c r="E28" i="20"/>
  <c r="E27" i="20"/>
  <c r="E26" i="20"/>
  <c r="E25" i="20"/>
  <c r="E23" i="20"/>
  <c r="E21" i="20"/>
  <c r="E19" i="20"/>
  <c r="E18" i="20"/>
  <c r="E17" i="20"/>
  <c r="E16" i="20"/>
  <c r="E15" i="20"/>
  <c r="E11" i="20"/>
  <c r="E10" i="20"/>
  <c r="E9" i="20"/>
  <c r="E8" i="20"/>
  <c r="E7" i="20"/>
  <c r="E6" i="20"/>
  <c r="E5" i="20"/>
  <c r="E4" i="20"/>
  <c r="E3" i="20"/>
  <c r="E2" i="20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3" i="17"/>
  <c r="B2" i="17"/>
  <c r="C80" i="15"/>
  <c r="B3" i="14"/>
  <c r="B3" i="13"/>
  <c r="C16" i="12"/>
  <c r="C14" i="12"/>
  <c r="C8" i="12"/>
  <c r="C6" i="12"/>
  <c r="B3" i="12"/>
  <c r="C18" i="11"/>
  <c r="B3" i="11"/>
  <c r="C20" i="10"/>
  <c r="C12" i="10"/>
  <c r="C4" i="10"/>
  <c r="B3" i="10"/>
  <c r="C18" i="10" s="1"/>
  <c r="C10" i="9"/>
  <c r="C9" i="9"/>
  <c r="C8" i="9"/>
  <c r="C7" i="9"/>
  <c r="C6" i="9"/>
  <c r="C5" i="9"/>
  <c r="C4" i="9"/>
  <c r="C38" i="8"/>
  <c r="F38" i="8" s="1"/>
  <c r="F37" i="8"/>
  <c r="F36" i="8"/>
  <c r="C29" i="8"/>
  <c r="C22" i="8"/>
  <c r="D11" i="8"/>
  <c r="D7" i="8"/>
  <c r="C3" i="8"/>
  <c r="B3" i="7"/>
  <c r="C16" i="7" s="1"/>
  <c r="I30" i="6"/>
  <c r="B3" i="6"/>
  <c r="C20" i="6" s="1"/>
  <c r="K29" i="5"/>
  <c r="G29" i="5"/>
  <c r="C18" i="5"/>
  <c r="C10" i="5"/>
  <c r="B3" i="5"/>
  <c r="BC184" i="4"/>
  <c r="AX184" i="4"/>
  <c r="AS184" i="4"/>
  <c r="AN184" i="4"/>
  <c r="AI184" i="4"/>
  <c r="AD184" i="4"/>
  <c r="Y184" i="4"/>
  <c r="T184" i="4"/>
  <c r="O184" i="4"/>
  <c r="J184" i="4"/>
  <c r="E184" i="4"/>
  <c r="BC183" i="4"/>
  <c r="AX183" i="4"/>
  <c r="AS183" i="4"/>
  <c r="AN183" i="4"/>
  <c r="AI183" i="4"/>
  <c r="AD183" i="4"/>
  <c r="Y183" i="4"/>
  <c r="T183" i="4"/>
  <c r="O183" i="4"/>
  <c r="J183" i="4"/>
  <c r="E183" i="4"/>
  <c r="BC182" i="4"/>
  <c r="AX182" i="4"/>
  <c r="AS182" i="4"/>
  <c r="AN182" i="4"/>
  <c r="AI182" i="4"/>
  <c r="AD182" i="4"/>
  <c r="Y182" i="4"/>
  <c r="T182" i="4"/>
  <c r="O182" i="4"/>
  <c r="J182" i="4"/>
  <c r="E182" i="4"/>
  <c r="BC181" i="4"/>
  <c r="AX181" i="4"/>
  <c r="AS181" i="4"/>
  <c r="AN181" i="4"/>
  <c r="AI181" i="4"/>
  <c r="AD181" i="4"/>
  <c r="Y181" i="4"/>
  <c r="T181" i="4"/>
  <c r="O181" i="4"/>
  <c r="J181" i="4"/>
  <c r="E181" i="4"/>
  <c r="BC180" i="4"/>
  <c r="AX180" i="4"/>
  <c r="AS180" i="4"/>
  <c r="AN180" i="4"/>
  <c r="AI180" i="4"/>
  <c r="AD180" i="4"/>
  <c r="Y180" i="4"/>
  <c r="T180" i="4"/>
  <c r="O180" i="4"/>
  <c r="J180" i="4"/>
  <c r="E180" i="4"/>
  <c r="BC179" i="4"/>
  <c r="AX179" i="4"/>
  <c r="AS179" i="4"/>
  <c r="AN179" i="4"/>
  <c r="AI179" i="4"/>
  <c r="AD179" i="4"/>
  <c r="Y179" i="4"/>
  <c r="T179" i="4"/>
  <c r="O179" i="4"/>
  <c r="J179" i="4"/>
  <c r="E179" i="4"/>
  <c r="BC178" i="4"/>
  <c r="AX178" i="4"/>
  <c r="AS178" i="4"/>
  <c r="AN178" i="4"/>
  <c r="AI178" i="4"/>
  <c r="AD178" i="4"/>
  <c r="Y178" i="4"/>
  <c r="T178" i="4"/>
  <c r="O178" i="4"/>
  <c r="J178" i="4"/>
  <c r="E178" i="4"/>
  <c r="BC177" i="4"/>
  <c r="AX177" i="4"/>
  <c r="AS177" i="4"/>
  <c r="AN177" i="4"/>
  <c r="AI177" i="4"/>
  <c r="AD177" i="4"/>
  <c r="Y177" i="4"/>
  <c r="T177" i="4"/>
  <c r="O177" i="4"/>
  <c r="J177" i="4"/>
  <c r="E177" i="4"/>
  <c r="BC176" i="4"/>
  <c r="AX176" i="4"/>
  <c r="AS176" i="4"/>
  <c r="AN176" i="4"/>
  <c r="AI176" i="4"/>
  <c r="AD176" i="4"/>
  <c r="Y176" i="4"/>
  <c r="T176" i="4"/>
  <c r="O176" i="4"/>
  <c r="J176" i="4"/>
  <c r="E176" i="4"/>
  <c r="BC175" i="4"/>
  <c r="AX175" i="4"/>
  <c r="AS175" i="4"/>
  <c r="AN175" i="4"/>
  <c r="AI175" i="4"/>
  <c r="AD175" i="4"/>
  <c r="Y175" i="4"/>
  <c r="T175" i="4"/>
  <c r="O175" i="4"/>
  <c r="J175" i="4"/>
  <c r="E175" i="4"/>
  <c r="BC174" i="4"/>
  <c r="AX174" i="4"/>
  <c r="AS174" i="4"/>
  <c r="AN174" i="4"/>
  <c r="AI174" i="4"/>
  <c r="AD174" i="4"/>
  <c r="Y174" i="4"/>
  <c r="T174" i="4"/>
  <c r="O174" i="4"/>
  <c r="J174" i="4"/>
  <c r="E174" i="4"/>
  <c r="BC173" i="4"/>
  <c r="AX173" i="4"/>
  <c r="AS173" i="4"/>
  <c r="AN173" i="4"/>
  <c r="AI173" i="4"/>
  <c r="AD173" i="4"/>
  <c r="Y173" i="4"/>
  <c r="T173" i="4"/>
  <c r="O173" i="4"/>
  <c r="J173" i="4"/>
  <c r="E173" i="4"/>
  <c r="BC172" i="4"/>
  <c r="AX172" i="4"/>
  <c r="AS172" i="4"/>
  <c r="AN172" i="4"/>
  <c r="AI172" i="4"/>
  <c r="AD172" i="4"/>
  <c r="Y172" i="4"/>
  <c r="T172" i="4"/>
  <c r="O172" i="4"/>
  <c r="J172" i="4"/>
  <c r="E172" i="4"/>
  <c r="BC171" i="4"/>
  <c r="AX171" i="4"/>
  <c r="AS171" i="4"/>
  <c r="AN171" i="4"/>
  <c r="AI171" i="4"/>
  <c r="AD171" i="4"/>
  <c r="Y171" i="4"/>
  <c r="T171" i="4"/>
  <c r="O171" i="4"/>
  <c r="J171" i="4"/>
  <c r="E171" i="4"/>
  <c r="BC170" i="4"/>
  <c r="AX170" i="4"/>
  <c r="AS170" i="4"/>
  <c r="AN170" i="4"/>
  <c r="AI170" i="4"/>
  <c r="AD170" i="4"/>
  <c r="Y170" i="4"/>
  <c r="T170" i="4"/>
  <c r="O170" i="4"/>
  <c r="J170" i="4"/>
  <c r="E170" i="4"/>
  <c r="BC169" i="4"/>
  <c r="AX169" i="4"/>
  <c r="AS169" i="4"/>
  <c r="AN169" i="4"/>
  <c r="AI169" i="4"/>
  <c r="AD169" i="4"/>
  <c r="Y169" i="4"/>
  <c r="T169" i="4"/>
  <c r="O169" i="4"/>
  <c r="J169" i="4"/>
  <c r="E169" i="4"/>
  <c r="BC168" i="4"/>
  <c r="AX168" i="4"/>
  <c r="AS168" i="4"/>
  <c r="AN168" i="4"/>
  <c r="AI168" i="4"/>
  <c r="AD168" i="4"/>
  <c r="Y168" i="4"/>
  <c r="T168" i="4"/>
  <c r="O168" i="4"/>
  <c r="J168" i="4"/>
  <c r="E168" i="4"/>
  <c r="BC167" i="4"/>
  <c r="AX167" i="4"/>
  <c r="AS167" i="4"/>
  <c r="AN167" i="4"/>
  <c r="AI167" i="4"/>
  <c r="AD167" i="4"/>
  <c r="Y167" i="4"/>
  <c r="T167" i="4"/>
  <c r="O167" i="4"/>
  <c r="J167" i="4"/>
  <c r="E167" i="4"/>
  <c r="BC166" i="4"/>
  <c r="AX166" i="4"/>
  <c r="AX162" i="4" s="1"/>
  <c r="AS166" i="4"/>
  <c r="AN166" i="4"/>
  <c r="AI166" i="4"/>
  <c r="AD166" i="4"/>
  <c r="AD162" i="4" s="1"/>
  <c r="Y166" i="4"/>
  <c r="T166" i="4"/>
  <c r="O166" i="4"/>
  <c r="J166" i="4"/>
  <c r="J162" i="4" s="1"/>
  <c r="E166" i="4"/>
  <c r="BC165" i="4"/>
  <c r="AX165" i="4"/>
  <c r="AS165" i="4"/>
  <c r="AN165" i="4"/>
  <c r="AI165" i="4"/>
  <c r="AD165" i="4"/>
  <c r="Y165" i="4"/>
  <c r="T165" i="4"/>
  <c r="O165" i="4"/>
  <c r="J165" i="4"/>
  <c r="E165" i="4"/>
  <c r="AQ164" i="4"/>
  <c r="AL164" i="4"/>
  <c r="C164" i="4"/>
  <c r="C163" i="4"/>
  <c r="BG162" i="4"/>
  <c r="K29" i="7" s="1"/>
  <c r="BC162" i="4"/>
  <c r="BA162" i="4"/>
  <c r="BA164" i="4" s="1"/>
  <c r="AV162" i="4"/>
  <c r="AV164" i="4" s="1"/>
  <c r="AS162" i="4"/>
  <c r="AQ162" i="4"/>
  <c r="AN162" i="4"/>
  <c r="AL162" i="4"/>
  <c r="AI162" i="4"/>
  <c r="AG162" i="4"/>
  <c r="AG164" i="4" s="1"/>
  <c r="AB162" i="4"/>
  <c r="AB164" i="4" s="1"/>
  <c r="Y162" i="4"/>
  <c r="W162" i="4"/>
  <c r="T162" i="4"/>
  <c r="S162" i="4"/>
  <c r="R162" i="4"/>
  <c r="O162" i="4"/>
  <c r="M162" i="4"/>
  <c r="M164" i="4" s="1"/>
  <c r="H162" i="4"/>
  <c r="H164" i="4" s="1"/>
  <c r="E162" i="4"/>
  <c r="C162" i="4"/>
  <c r="B162" i="4" s="1"/>
  <c r="W164" i="4" s="1"/>
  <c r="BC160" i="4"/>
  <c r="AX160" i="4"/>
  <c r="AS160" i="4"/>
  <c r="AN160" i="4"/>
  <c r="AI160" i="4"/>
  <c r="AD160" i="4"/>
  <c r="Y160" i="4"/>
  <c r="T160" i="4"/>
  <c r="O160" i="4"/>
  <c r="J160" i="4"/>
  <c r="E160" i="4"/>
  <c r="BC159" i="4"/>
  <c r="AX159" i="4"/>
  <c r="AS159" i="4"/>
  <c r="AN159" i="4"/>
  <c r="AI159" i="4"/>
  <c r="AD159" i="4"/>
  <c r="Y159" i="4"/>
  <c r="T159" i="4"/>
  <c r="O159" i="4"/>
  <c r="J159" i="4"/>
  <c r="E159" i="4"/>
  <c r="BC158" i="4"/>
  <c r="AX158" i="4"/>
  <c r="AS158" i="4"/>
  <c r="AN158" i="4"/>
  <c r="AI158" i="4"/>
  <c r="AD158" i="4"/>
  <c r="Y158" i="4"/>
  <c r="T158" i="4"/>
  <c r="O158" i="4"/>
  <c r="J158" i="4"/>
  <c r="E158" i="4"/>
  <c r="BC157" i="4"/>
  <c r="AX157" i="4"/>
  <c r="AS157" i="4"/>
  <c r="AN157" i="4"/>
  <c r="AI157" i="4"/>
  <c r="AD157" i="4"/>
  <c r="Y157" i="4"/>
  <c r="T157" i="4"/>
  <c r="O157" i="4"/>
  <c r="J157" i="4"/>
  <c r="E157" i="4"/>
  <c r="BC156" i="4"/>
  <c r="AX156" i="4"/>
  <c r="AS156" i="4"/>
  <c r="AN156" i="4"/>
  <c r="AI156" i="4"/>
  <c r="AD156" i="4"/>
  <c r="Y156" i="4"/>
  <c r="T156" i="4"/>
  <c r="O156" i="4"/>
  <c r="J156" i="4"/>
  <c r="E156" i="4"/>
  <c r="BC155" i="4"/>
  <c r="AX155" i="4"/>
  <c r="AS155" i="4"/>
  <c r="AN155" i="4"/>
  <c r="AI155" i="4"/>
  <c r="AD155" i="4"/>
  <c r="Y155" i="4"/>
  <c r="T155" i="4"/>
  <c r="O155" i="4"/>
  <c r="J155" i="4"/>
  <c r="E155" i="4"/>
  <c r="BC154" i="4"/>
  <c r="AX154" i="4"/>
  <c r="AS154" i="4"/>
  <c r="AN154" i="4"/>
  <c r="AI154" i="4"/>
  <c r="AD154" i="4"/>
  <c r="Y154" i="4"/>
  <c r="T154" i="4"/>
  <c r="O154" i="4"/>
  <c r="J154" i="4"/>
  <c r="E154" i="4"/>
  <c r="BC153" i="4"/>
  <c r="AX153" i="4"/>
  <c r="AS153" i="4"/>
  <c r="AN153" i="4"/>
  <c r="AI153" i="4"/>
  <c r="AD153" i="4"/>
  <c r="Y153" i="4"/>
  <c r="T153" i="4"/>
  <c r="O153" i="4"/>
  <c r="J153" i="4"/>
  <c r="E153" i="4"/>
  <c r="BC152" i="4"/>
  <c r="AX152" i="4"/>
  <c r="AS152" i="4"/>
  <c r="AN152" i="4"/>
  <c r="AI152" i="4"/>
  <c r="AD152" i="4"/>
  <c r="Y152" i="4"/>
  <c r="T152" i="4"/>
  <c r="O152" i="4"/>
  <c r="J152" i="4"/>
  <c r="E152" i="4"/>
  <c r="BC151" i="4"/>
  <c r="AX151" i="4"/>
  <c r="AS151" i="4"/>
  <c r="AN151" i="4"/>
  <c r="AI151" i="4"/>
  <c r="AD151" i="4"/>
  <c r="Y151" i="4"/>
  <c r="T151" i="4"/>
  <c r="O151" i="4"/>
  <c r="J151" i="4"/>
  <c r="E151" i="4"/>
  <c r="BC150" i="4"/>
  <c r="AX150" i="4"/>
  <c r="AS150" i="4"/>
  <c r="AN150" i="4"/>
  <c r="AI150" i="4"/>
  <c r="AD150" i="4"/>
  <c r="Y150" i="4"/>
  <c r="T150" i="4"/>
  <c r="O150" i="4"/>
  <c r="J150" i="4"/>
  <c r="E150" i="4"/>
  <c r="BC149" i="4"/>
  <c r="AX149" i="4"/>
  <c r="AS149" i="4"/>
  <c r="AN149" i="4"/>
  <c r="AI149" i="4"/>
  <c r="AD149" i="4"/>
  <c r="Y149" i="4"/>
  <c r="T149" i="4"/>
  <c r="O149" i="4"/>
  <c r="J149" i="4"/>
  <c r="E149" i="4"/>
  <c r="BC148" i="4"/>
  <c r="AX148" i="4"/>
  <c r="AS148" i="4"/>
  <c r="AN148" i="4"/>
  <c r="AI148" i="4"/>
  <c r="AD148" i="4"/>
  <c r="Y148" i="4"/>
  <c r="T148" i="4"/>
  <c r="O148" i="4"/>
  <c r="J148" i="4"/>
  <c r="E148" i="4"/>
  <c r="BC147" i="4"/>
  <c r="AX147" i="4"/>
  <c r="AX143" i="4" s="1"/>
  <c r="AS147" i="4"/>
  <c r="AN147" i="4"/>
  <c r="AI147" i="4"/>
  <c r="AD147" i="4"/>
  <c r="AD143" i="4" s="1"/>
  <c r="Y147" i="4"/>
  <c r="T147" i="4"/>
  <c r="O147" i="4"/>
  <c r="J147" i="4"/>
  <c r="J143" i="4" s="1"/>
  <c r="E147" i="4"/>
  <c r="BC146" i="4"/>
  <c r="AX146" i="4"/>
  <c r="AS146" i="4"/>
  <c r="AS143" i="4" s="1"/>
  <c r="AN146" i="4"/>
  <c r="AI146" i="4"/>
  <c r="AD146" i="4"/>
  <c r="Y146" i="4"/>
  <c r="Y143" i="4" s="1"/>
  <c r="T146" i="4"/>
  <c r="O146" i="4"/>
  <c r="J146" i="4"/>
  <c r="E146" i="4"/>
  <c r="E143" i="4" s="1"/>
  <c r="C144" i="4"/>
  <c r="BG143" i="4"/>
  <c r="BA143" i="4"/>
  <c r="AV143" i="4"/>
  <c r="AQ143" i="4"/>
  <c r="AL143" i="4"/>
  <c r="AG143" i="4"/>
  <c r="AB143" i="4"/>
  <c r="W143" i="4"/>
  <c r="R143" i="4"/>
  <c r="M143" i="4"/>
  <c r="H143" i="4"/>
  <c r="C143" i="4"/>
  <c r="BC141" i="4"/>
  <c r="AX141" i="4"/>
  <c r="AX137" i="4" s="1"/>
  <c r="AS141" i="4"/>
  <c r="AN141" i="4"/>
  <c r="AI141" i="4"/>
  <c r="AD141" i="4"/>
  <c r="AD137" i="4" s="1"/>
  <c r="Y141" i="4"/>
  <c r="T141" i="4"/>
  <c r="O141" i="4"/>
  <c r="J141" i="4"/>
  <c r="J137" i="4" s="1"/>
  <c r="E141" i="4"/>
  <c r="BC140" i="4"/>
  <c r="BC137" i="4" s="1"/>
  <c r="AX140" i="4"/>
  <c r="AS140" i="4"/>
  <c r="AN140" i="4"/>
  <c r="AN137" i="4" s="1"/>
  <c r="AI140" i="4"/>
  <c r="AI137" i="4" s="1"/>
  <c r="AD140" i="4"/>
  <c r="Y140" i="4"/>
  <c r="T140" i="4"/>
  <c r="T137" i="4" s="1"/>
  <c r="O140" i="4"/>
  <c r="O137" i="4" s="1"/>
  <c r="J140" i="4"/>
  <c r="E140" i="4"/>
  <c r="C138" i="4"/>
  <c r="BG137" i="4"/>
  <c r="BA137" i="4"/>
  <c r="AW137" i="4"/>
  <c r="AV137" i="4"/>
  <c r="AQ137" i="4"/>
  <c r="AL137" i="4"/>
  <c r="AG137" i="4"/>
  <c r="AB137" i="4"/>
  <c r="W137" i="4"/>
  <c r="S137" i="4"/>
  <c r="R137" i="4"/>
  <c r="M137" i="4"/>
  <c r="I137" i="4"/>
  <c r="H137" i="4"/>
  <c r="C137" i="4"/>
  <c r="BC135" i="4"/>
  <c r="AX135" i="4"/>
  <c r="AS135" i="4"/>
  <c r="AN135" i="4"/>
  <c r="AI135" i="4"/>
  <c r="AD135" i="4"/>
  <c r="Y135" i="4"/>
  <c r="T135" i="4"/>
  <c r="O135" i="4"/>
  <c r="J135" i="4"/>
  <c r="E135" i="4"/>
  <c r="BC134" i="4"/>
  <c r="AX134" i="4"/>
  <c r="AS134" i="4"/>
  <c r="AN134" i="4"/>
  <c r="AI134" i="4"/>
  <c r="AD134" i="4"/>
  <c r="Y134" i="4"/>
  <c r="T134" i="4"/>
  <c r="O134" i="4"/>
  <c r="J134" i="4"/>
  <c r="E134" i="4"/>
  <c r="BC133" i="4"/>
  <c r="AX133" i="4"/>
  <c r="AS133" i="4"/>
  <c r="AN133" i="4"/>
  <c r="AI133" i="4"/>
  <c r="AD133" i="4"/>
  <c r="Y133" i="4"/>
  <c r="T133" i="4"/>
  <c r="O133" i="4"/>
  <c r="J133" i="4"/>
  <c r="E133" i="4"/>
  <c r="BC132" i="4"/>
  <c r="AX132" i="4"/>
  <c r="AS132" i="4"/>
  <c r="AN132" i="4"/>
  <c r="AI132" i="4"/>
  <c r="AD132" i="4"/>
  <c r="Y132" i="4"/>
  <c r="T132" i="4"/>
  <c r="O132" i="4"/>
  <c r="J132" i="4"/>
  <c r="E132" i="4"/>
  <c r="BC131" i="4"/>
  <c r="AX131" i="4"/>
  <c r="AS131" i="4"/>
  <c r="AN131" i="4"/>
  <c r="AI131" i="4"/>
  <c r="AD131" i="4"/>
  <c r="Y131" i="4"/>
  <c r="T131" i="4"/>
  <c r="O131" i="4"/>
  <c r="J131" i="4"/>
  <c r="E131" i="4"/>
  <c r="BC130" i="4"/>
  <c r="AX130" i="4"/>
  <c r="AS130" i="4"/>
  <c r="AN130" i="4"/>
  <c r="AI130" i="4"/>
  <c r="AD130" i="4"/>
  <c r="Y130" i="4"/>
  <c r="T130" i="4"/>
  <c r="O130" i="4"/>
  <c r="J130" i="4"/>
  <c r="E130" i="4"/>
  <c r="BC129" i="4"/>
  <c r="AX129" i="4"/>
  <c r="AS129" i="4"/>
  <c r="AN129" i="4"/>
  <c r="AI129" i="4"/>
  <c r="AD129" i="4"/>
  <c r="Y129" i="4"/>
  <c r="T129" i="4"/>
  <c r="O129" i="4"/>
  <c r="J129" i="4"/>
  <c r="E129" i="4"/>
  <c r="BC128" i="4"/>
  <c r="AX128" i="4"/>
  <c r="AS128" i="4"/>
  <c r="AN128" i="4"/>
  <c r="AI128" i="4"/>
  <c r="AD128" i="4"/>
  <c r="Y128" i="4"/>
  <c r="T128" i="4"/>
  <c r="O128" i="4"/>
  <c r="J128" i="4"/>
  <c r="E128" i="4"/>
  <c r="BC127" i="4"/>
  <c r="AX127" i="4"/>
  <c r="AS127" i="4"/>
  <c r="AN127" i="4"/>
  <c r="AI127" i="4"/>
  <c r="AD127" i="4"/>
  <c r="Y127" i="4"/>
  <c r="T127" i="4"/>
  <c r="O127" i="4"/>
  <c r="J127" i="4"/>
  <c r="E127" i="4"/>
  <c r="BC126" i="4"/>
  <c r="AX126" i="4"/>
  <c r="AS126" i="4"/>
  <c r="AN126" i="4"/>
  <c r="AI126" i="4"/>
  <c r="AD126" i="4"/>
  <c r="Y126" i="4"/>
  <c r="T126" i="4"/>
  <c r="O126" i="4"/>
  <c r="J126" i="4"/>
  <c r="E126" i="4"/>
  <c r="BC125" i="4"/>
  <c r="AX125" i="4"/>
  <c r="AS125" i="4"/>
  <c r="AN125" i="4"/>
  <c r="AI125" i="4"/>
  <c r="AD125" i="4"/>
  <c r="Y125" i="4"/>
  <c r="T125" i="4"/>
  <c r="O125" i="4"/>
  <c r="J125" i="4"/>
  <c r="E125" i="4"/>
  <c r="BC124" i="4"/>
  <c r="AX124" i="4"/>
  <c r="AS124" i="4"/>
  <c r="AN124" i="4"/>
  <c r="AI124" i="4"/>
  <c r="AD124" i="4"/>
  <c r="Y124" i="4"/>
  <c r="T124" i="4"/>
  <c r="O124" i="4"/>
  <c r="J124" i="4"/>
  <c r="E124" i="4"/>
  <c r="BC123" i="4"/>
  <c r="AX123" i="4"/>
  <c r="AS123" i="4"/>
  <c r="AN123" i="4"/>
  <c r="AI123" i="4"/>
  <c r="AD123" i="4"/>
  <c r="Y123" i="4"/>
  <c r="T123" i="4"/>
  <c r="O123" i="4"/>
  <c r="J123" i="4"/>
  <c r="E123" i="4"/>
  <c r="BC122" i="4"/>
  <c r="AX122" i="4"/>
  <c r="AS122" i="4"/>
  <c r="AN122" i="4"/>
  <c r="AI122" i="4"/>
  <c r="AD122" i="4"/>
  <c r="Y122" i="4"/>
  <c r="T122" i="4"/>
  <c r="O122" i="4"/>
  <c r="J122" i="4"/>
  <c r="E122" i="4"/>
  <c r="BC121" i="4"/>
  <c r="AX121" i="4"/>
  <c r="AS121" i="4"/>
  <c r="AN121" i="4"/>
  <c r="AI121" i="4"/>
  <c r="AD121" i="4"/>
  <c r="Y121" i="4"/>
  <c r="T121" i="4"/>
  <c r="O121" i="4"/>
  <c r="J121" i="4"/>
  <c r="E121" i="4"/>
  <c r="BC120" i="4"/>
  <c r="AX120" i="4"/>
  <c r="AS120" i="4"/>
  <c r="AN120" i="4"/>
  <c r="AI120" i="4"/>
  <c r="AD120" i="4"/>
  <c r="Y120" i="4"/>
  <c r="T120" i="4"/>
  <c r="O120" i="4"/>
  <c r="J120" i="4"/>
  <c r="E120" i="4"/>
  <c r="BC119" i="4"/>
  <c r="AX119" i="4"/>
  <c r="AS119" i="4"/>
  <c r="AN119" i="4"/>
  <c r="AI119" i="4"/>
  <c r="AD119" i="4"/>
  <c r="Y119" i="4"/>
  <c r="T119" i="4"/>
  <c r="O119" i="4"/>
  <c r="J119" i="4"/>
  <c r="E119" i="4"/>
  <c r="BC118" i="4"/>
  <c r="AX118" i="4"/>
  <c r="AS118" i="4"/>
  <c r="AN118" i="4"/>
  <c r="AI118" i="4"/>
  <c r="AD118" i="4"/>
  <c r="Y118" i="4"/>
  <c r="T118" i="4"/>
  <c r="O118" i="4"/>
  <c r="J118" i="4"/>
  <c r="E118" i="4"/>
  <c r="BC117" i="4"/>
  <c r="AX117" i="4"/>
  <c r="AS117" i="4"/>
  <c r="AN117" i="4"/>
  <c r="AI117" i="4"/>
  <c r="AD117" i="4"/>
  <c r="Y117" i="4"/>
  <c r="T117" i="4"/>
  <c r="O117" i="4"/>
  <c r="J117" i="4"/>
  <c r="E117" i="4"/>
  <c r="BC116" i="4"/>
  <c r="AX116" i="4"/>
  <c r="AS116" i="4"/>
  <c r="AN116" i="4"/>
  <c r="AI116" i="4"/>
  <c r="AD116" i="4"/>
  <c r="Y116" i="4"/>
  <c r="T116" i="4"/>
  <c r="O116" i="4"/>
  <c r="J116" i="4"/>
  <c r="E116" i="4"/>
  <c r="BC115" i="4"/>
  <c r="AX115" i="4"/>
  <c r="AS115" i="4"/>
  <c r="AN115" i="4"/>
  <c r="AI115" i="4"/>
  <c r="AD115" i="4"/>
  <c r="Y115" i="4"/>
  <c r="T115" i="4"/>
  <c r="O115" i="4"/>
  <c r="J115" i="4"/>
  <c r="E115" i="4"/>
  <c r="BC114" i="4"/>
  <c r="AX114" i="4"/>
  <c r="AS114" i="4"/>
  <c r="AN114" i="4"/>
  <c r="AI114" i="4"/>
  <c r="AD114" i="4"/>
  <c r="Y114" i="4"/>
  <c r="T114" i="4"/>
  <c r="O114" i="4"/>
  <c r="J114" i="4"/>
  <c r="E114" i="4"/>
  <c r="BC113" i="4"/>
  <c r="AX113" i="4"/>
  <c r="AS113" i="4"/>
  <c r="AN113" i="4"/>
  <c r="AI113" i="4"/>
  <c r="AD113" i="4"/>
  <c r="Y113" i="4"/>
  <c r="T113" i="4"/>
  <c r="O113" i="4"/>
  <c r="J113" i="4"/>
  <c r="E113" i="4"/>
  <c r="BC112" i="4"/>
  <c r="AX112" i="4"/>
  <c r="AS112" i="4"/>
  <c r="AN112" i="4"/>
  <c r="AI112" i="4"/>
  <c r="AD112" i="4"/>
  <c r="Y112" i="4"/>
  <c r="T112" i="4"/>
  <c r="O112" i="4"/>
  <c r="J112" i="4"/>
  <c r="E112" i="4"/>
  <c r="BC111" i="4"/>
  <c r="AX111" i="4"/>
  <c r="AS111" i="4"/>
  <c r="AN111" i="4"/>
  <c r="AI111" i="4"/>
  <c r="AD111" i="4"/>
  <c r="Y111" i="4"/>
  <c r="T111" i="4"/>
  <c r="O111" i="4"/>
  <c r="J111" i="4"/>
  <c r="E111" i="4"/>
  <c r="BC110" i="4"/>
  <c r="AX110" i="4"/>
  <c r="AS110" i="4"/>
  <c r="AN110" i="4"/>
  <c r="AI110" i="4"/>
  <c r="AD110" i="4"/>
  <c r="Y110" i="4"/>
  <c r="T110" i="4"/>
  <c r="O110" i="4"/>
  <c r="J110" i="4"/>
  <c r="E110" i="4"/>
  <c r="BC109" i="4"/>
  <c r="AX109" i="4"/>
  <c r="AS109" i="4"/>
  <c r="AN109" i="4"/>
  <c r="AI109" i="4"/>
  <c r="AD109" i="4"/>
  <c r="Y109" i="4"/>
  <c r="T109" i="4"/>
  <c r="O109" i="4"/>
  <c r="J109" i="4"/>
  <c r="E109" i="4"/>
  <c r="BC108" i="4"/>
  <c r="AX108" i="4"/>
  <c r="AS108" i="4"/>
  <c r="AN108" i="4"/>
  <c r="AI108" i="4"/>
  <c r="AD108" i="4"/>
  <c r="Y108" i="4"/>
  <c r="T108" i="4"/>
  <c r="O108" i="4"/>
  <c r="J108" i="4"/>
  <c r="E108" i="4"/>
  <c r="BC107" i="4"/>
  <c r="AX107" i="4"/>
  <c r="AS107" i="4"/>
  <c r="AN107" i="4"/>
  <c r="AI107" i="4"/>
  <c r="AD107" i="4"/>
  <c r="Y107" i="4"/>
  <c r="T107" i="4"/>
  <c r="O107" i="4"/>
  <c r="J107" i="4"/>
  <c r="E107" i="4"/>
  <c r="BC106" i="4"/>
  <c r="AX106" i="4"/>
  <c r="AS106" i="4"/>
  <c r="AN106" i="4"/>
  <c r="AI106" i="4"/>
  <c r="AD106" i="4"/>
  <c r="Y106" i="4"/>
  <c r="T106" i="4"/>
  <c r="O106" i="4"/>
  <c r="J106" i="4"/>
  <c r="E106" i="4"/>
  <c r="BC105" i="4"/>
  <c r="AX105" i="4"/>
  <c r="AS105" i="4"/>
  <c r="AN105" i="4"/>
  <c r="AI105" i="4"/>
  <c r="AD105" i="4"/>
  <c r="Y105" i="4"/>
  <c r="T105" i="4"/>
  <c r="O105" i="4"/>
  <c r="J105" i="4"/>
  <c r="E105" i="4"/>
  <c r="BC104" i="4"/>
  <c r="AX104" i="4"/>
  <c r="AS104" i="4"/>
  <c r="AN104" i="4"/>
  <c r="AI104" i="4"/>
  <c r="AD104" i="4"/>
  <c r="Y104" i="4"/>
  <c r="T104" i="4"/>
  <c r="O104" i="4"/>
  <c r="J104" i="4"/>
  <c r="E104" i="4"/>
  <c r="BC103" i="4"/>
  <c r="AX103" i="4"/>
  <c r="AS103" i="4"/>
  <c r="AN103" i="4"/>
  <c r="AI103" i="4"/>
  <c r="AD103" i="4"/>
  <c r="Y103" i="4"/>
  <c r="T103" i="4"/>
  <c r="O103" i="4"/>
  <c r="J103" i="4"/>
  <c r="E103" i="4"/>
  <c r="BC102" i="4"/>
  <c r="AX102" i="4"/>
  <c r="AS102" i="4"/>
  <c r="AN102" i="4"/>
  <c r="AI102" i="4"/>
  <c r="AD102" i="4"/>
  <c r="Y102" i="4"/>
  <c r="T102" i="4"/>
  <c r="O102" i="4"/>
  <c r="J102" i="4"/>
  <c r="E102" i="4"/>
  <c r="BC101" i="4"/>
  <c r="AX101" i="4"/>
  <c r="AS101" i="4"/>
  <c r="AN101" i="4"/>
  <c r="AI101" i="4"/>
  <c r="AD101" i="4"/>
  <c r="Y101" i="4"/>
  <c r="T101" i="4"/>
  <c r="O101" i="4"/>
  <c r="J101" i="4"/>
  <c r="E101" i="4"/>
  <c r="BC100" i="4"/>
  <c r="AX100" i="4"/>
  <c r="AS100" i="4"/>
  <c r="AN100" i="4"/>
  <c r="AI100" i="4"/>
  <c r="AD100" i="4"/>
  <c r="Y100" i="4"/>
  <c r="T100" i="4"/>
  <c r="O100" i="4"/>
  <c r="J100" i="4"/>
  <c r="E100" i="4"/>
  <c r="BC99" i="4"/>
  <c r="AX99" i="4"/>
  <c r="AS99" i="4"/>
  <c r="AN99" i="4"/>
  <c r="AI99" i="4"/>
  <c r="AD99" i="4"/>
  <c r="Y99" i="4"/>
  <c r="T99" i="4"/>
  <c r="O99" i="4"/>
  <c r="J99" i="4"/>
  <c r="E99" i="4"/>
  <c r="BC98" i="4"/>
  <c r="AX98" i="4"/>
  <c r="AS98" i="4"/>
  <c r="AN98" i="4"/>
  <c r="AI98" i="4"/>
  <c r="AD98" i="4"/>
  <c r="Y98" i="4"/>
  <c r="T98" i="4"/>
  <c r="O98" i="4"/>
  <c r="J98" i="4"/>
  <c r="E98" i="4"/>
  <c r="BC97" i="4"/>
  <c r="AX97" i="4"/>
  <c r="AS97" i="4"/>
  <c r="AN97" i="4"/>
  <c r="AI97" i="4"/>
  <c r="AD97" i="4"/>
  <c r="Y97" i="4"/>
  <c r="T97" i="4"/>
  <c r="O97" i="4"/>
  <c r="J97" i="4"/>
  <c r="E97" i="4"/>
  <c r="BC96" i="4"/>
  <c r="AX96" i="4"/>
  <c r="AS96" i="4"/>
  <c r="AN96" i="4"/>
  <c r="AI96" i="4"/>
  <c r="AD96" i="4"/>
  <c r="Y96" i="4"/>
  <c r="T96" i="4"/>
  <c r="O96" i="4"/>
  <c r="J96" i="4"/>
  <c r="E96" i="4"/>
  <c r="BC95" i="4"/>
  <c r="AX95" i="4"/>
  <c r="AS95" i="4"/>
  <c r="AN95" i="4"/>
  <c r="AI95" i="4"/>
  <c r="AD95" i="4"/>
  <c r="Y95" i="4"/>
  <c r="T95" i="4"/>
  <c r="O95" i="4"/>
  <c r="J95" i="4"/>
  <c r="E95" i="4"/>
  <c r="BC94" i="4"/>
  <c r="AX94" i="4"/>
  <c r="AS94" i="4"/>
  <c r="AN94" i="4"/>
  <c r="AI94" i="4"/>
  <c r="AD94" i="4"/>
  <c r="Y94" i="4"/>
  <c r="T94" i="4"/>
  <c r="O94" i="4"/>
  <c r="J94" i="4"/>
  <c r="E94" i="4"/>
  <c r="BC93" i="4"/>
  <c r="AX93" i="4"/>
  <c r="AS93" i="4"/>
  <c r="AN93" i="4"/>
  <c r="AI93" i="4"/>
  <c r="AD93" i="4"/>
  <c r="Y93" i="4"/>
  <c r="T93" i="4"/>
  <c r="O93" i="4"/>
  <c r="J93" i="4"/>
  <c r="E93" i="4"/>
  <c r="BC92" i="4"/>
  <c r="AX92" i="4"/>
  <c r="AS92" i="4"/>
  <c r="AN92" i="4"/>
  <c r="AI92" i="4"/>
  <c r="AD92" i="4"/>
  <c r="Y92" i="4"/>
  <c r="T92" i="4"/>
  <c r="O92" i="4"/>
  <c r="J92" i="4"/>
  <c r="E92" i="4"/>
  <c r="BC91" i="4"/>
  <c r="AX91" i="4"/>
  <c r="AS91" i="4"/>
  <c r="AN91" i="4"/>
  <c r="AI91" i="4"/>
  <c r="AD91" i="4"/>
  <c r="Y91" i="4"/>
  <c r="T91" i="4"/>
  <c r="O91" i="4"/>
  <c r="J91" i="4"/>
  <c r="E91" i="4"/>
  <c r="BC90" i="4"/>
  <c r="AX90" i="4"/>
  <c r="AS90" i="4"/>
  <c r="AN90" i="4"/>
  <c r="AI90" i="4"/>
  <c r="AD90" i="4"/>
  <c r="Y90" i="4"/>
  <c r="T90" i="4"/>
  <c r="O90" i="4"/>
  <c r="J90" i="4"/>
  <c r="E90" i="4"/>
  <c r="BC89" i="4"/>
  <c r="AX89" i="4"/>
  <c r="AS89" i="4"/>
  <c r="AN89" i="4"/>
  <c r="AI89" i="4"/>
  <c r="AD89" i="4"/>
  <c r="Y89" i="4"/>
  <c r="T89" i="4"/>
  <c r="O89" i="4"/>
  <c r="J89" i="4"/>
  <c r="E89" i="4"/>
  <c r="BC88" i="4"/>
  <c r="AX88" i="4"/>
  <c r="AS88" i="4"/>
  <c r="AN88" i="4"/>
  <c r="AI88" i="4"/>
  <c r="AD88" i="4"/>
  <c r="Y88" i="4"/>
  <c r="T88" i="4"/>
  <c r="O88" i="4"/>
  <c r="J88" i="4"/>
  <c r="E88" i="4"/>
  <c r="BC87" i="4"/>
  <c r="AX87" i="4"/>
  <c r="AS87" i="4"/>
  <c r="AN87" i="4"/>
  <c r="AI87" i="4"/>
  <c r="AD87" i="4"/>
  <c r="Y87" i="4"/>
  <c r="T87" i="4"/>
  <c r="O87" i="4"/>
  <c r="J87" i="4"/>
  <c r="E87" i="4"/>
  <c r="BC86" i="4"/>
  <c r="AX86" i="4"/>
  <c r="AS86" i="4"/>
  <c r="AN86" i="4"/>
  <c r="AI86" i="4"/>
  <c r="AD86" i="4"/>
  <c r="Y86" i="4"/>
  <c r="T86" i="4"/>
  <c r="O86" i="4"/>
  <c r="J86" i="4"/>
  <c r="E86" i="4"/>
  <c r="BC85" i="4"/>
  <c r="BC82" i="4" s="1"/>
  <c r="AX85" i="4"/>
  <c r="AS85" i="4"/>
  <c r="AN85" i="4"/>
  <c r="AI85" i="4"/>
  <c r="AI82" i="4" s="1"/>
  <c r="AD85" i="4"/>
  <c r="Y85" i="4"/>
  <c r="T85" i="4"/>
  <c r="O85" i="4"/>
  <c r="O82" i="4" s="1"/>
  <c r="J85" i="4"/>
  <c r="E85" i="4"/>
  <c r="C83" i="4"/>
  <c r="BG82" i="4"/>
  <c r="BA82" i="4"/>
  <c r="AV82" i="4"/>
  <c r="AQ82" i="4"/>
  <c r="AL82" i="4"/>
  <c r="AG82" i="4"/>
  <c r="AB82" i="4"/>
  <c r="W82" i="4"/>
  <c r="R82" i="4"/>
  <c r="M82" i="4"/>
  <c r="H82" i="4"/>
  <c r="C82" i="4"/>
  <c r="BC80" i="4"/>
  <c r="AX80" i="4"/>
  <c r="AS80" i="4"/>
  <c r="AN80" i="4"/>
  <c r="AI80" i="4"/>
  <c r="AD80" i="4"/>
  <c r="Y80" i="4"/>
  <c r="T80" i="4"/>
  <c r="O80" i="4"/>
  <c r="J80" i="4"/>
  <c r="E80" i="4"/>
  <c r="BC79" i="4"/>
  <c r="BC74" i="4" s="1"/>
  <c r="AX79" i="4"/>
  <c r="AS79" i="4"/>
  <c r="AN79" i="4"/>
  <c r="AI79" i="4"/>
  <c r="AI74" i="4" s="1"/>
  <c r="AD79" i="4"/>
  <c r="Y79" i="4"/>
  <c r="T79" i="4"/>
  <c r="O79" i="4"/>
  <c r="O74" i="4" s="1"/>
  <c r="J79" i="4"/>
  <c r="E79" i="4"/>
  <c r="BC78" i="4"/>
  <c r="AX78" i="4"/>
  <c r="AX74" i="4" s="1"/>
  <c r="AS78" i="4"/>
  <c r="AN78" i="4"/>
  <c r="AI78" i="4"/>
  <c r="AD78" i="4"/>
  <c r="AD74" i="4" s="1"/>
  <c r="Y78" i="4"/>
  <c r="T78" i="4"/>
  <c r="O78" i="4"/>
  <c r="J78" i="4"/>
  <c r="J74" i="4" s="1"/>
  <c r="E78" i="4"/>
  <c r="BC77" i="4"/>
  <c r="AX77" i="4"/>
  <c r="AS77" i="4"/>
  <c r="AS74" i="4" s="1"/>
  <c r="AN77" i="4"/>
  <c r="AI77" i="4"/>
  <c r="AD77" i="4"/>
  <c r="Y77" i="4"/>
  <c r="Y74" i="4" s="1"/>
  <c r="T77" i="4"/>
  <c r="O77" i="4"/>
  <c r="J77" i="4"/>
  <c r="E77" i="4"/>
  <c r="E74" i="4" s="1"/>
  <c r="AQ76" i="4"/>
  <c r="C75" i="4"/>
  <c r="BG74" i="4"/>
  <c r="G29" i="7" s="1"/>
  <c r="BA74" i="4"/>
  <c r="AW74" i="4"/>
  <c r="AV74" i="4"/>
  <c r="AQ74" i="4"/>
  <c r="AN74" i="4"/>
  <c r="AL74" i="4"/>
  <c r="AG74" i="4"/>
  <c r="AB74" i="4"/>
  <c r="W74" i="4"/>
  <c r="T74" i="4"/>
  <c r="R74" i="4"/>
  <c r="M74" i="4"/>
  <c r="I74" i="4"/>
  <c r="H74" i="4"/>
  <c r="C74" i="4"/>
  <c r="B74" i="4" s="1"/>
  <c r="BC72" i="4"/>
  <c r="AX72" i="4"/>
  <c r="AS72" i="4"/>
  <c r="AN72" i="4"/>
  <c r="AI72" i="4"/>
  <c r="AD72" i="4"/>
  <c r="Y72" i="4"/>
  <c r="T72" i="4"/>
  <c r="O72" i="4"/>
  <c r="J72" i="4"/>
  <c r="E72" i="4"/>
  <c r="BC71" i="4"/>
  <c r="AX71" i="4"/>
  <c r="AS71" i="4"/>
  <c r="AN71" i="4"/>
  <c r="AI71" i="4"/>
  <c r="AD71" i="4"/>
  <c r="Y71" i="4"/>
  <c r="T71" i="4"/>
  <c r="O71" i="4"/>
  <c r="J71" i="4"/>
  <c r="E71" i="4"/>
  <c r="BC70" i="4"/>
  <c r="AX70" i="4"/>
  <c r="AS70" i="4"/>
  <c r="AN70" i="4"/>
  <c r="AI70" i="4"/>
  <c r="AD70" i="4"/>
  <c r="Y70" i="4"/>
  <c r="T70" i="4"/>
  <c r="O70" i="4"/>
  <c r="J70" i="4"/>
  <c r="E70" i="4"/>
  <c r="BC69" i="4"/>
  <c r="AX69" i="4"/>
  <c r="AS69" i="4"/>
  <c r="AN69" i="4"/>
  <c r="AI69" i="4"/>
  <c r="AD69" i="4"/>
  <c r="Y69" i="4"/>
  <c r="T69" i="4"/>
  <c r="O69" i="4"/>
  <c r="J69" i="4"/>
  <c r="E69" i="4"/>
  <c r="BC68" i="4"/>
  <c r="AX68" i="4"/>
  <c r="AS68" i="4"/>
  <c r="AN68" i="4"/>
  <c r="AI68" i="4"/>
  <c r="AD68" i="4"/>
  <c r="Y68" i="4"/>
  <c r="T68" i="4"/>
  <c r="O68" i="4"/>
  <c r="J68" i="4"/>
  <c r="E68" i="4"/>
  <c r="BC67" i="4"/>
  <c r="AX67" i="4"/>
  <c r="AS67" i="4"/>
  <c r="AN67" i="4"/>
  <c r="AI67" i="4"/>
  <c r="AD67" i="4"/>
  <c r="Y67" i="4"/>
  <c r="T67" i="4"/>
  <c r="O67" i="4"/>
  <c r="J67" i="4"/>
  <c r="E67" i="4"/>
  <c r="BC66" i="4"/>
  <c r="AX66" i="4"/>
  <c r="AS66" i="4"/>
  <c r="AN66" i="4"/>
  <c r="AI66" i="4"/>
  <c r="AD66" i="4"/>
  <c r="Y66" i="4"/>
  <c r="T66" i="4"/>
  <c r="O66" i="4"/>
  <c r="J66" i="4"/>
  <c r="E66" i="4"/>
  <c r="BC65" i="4"/>
  <c r="AX65" i="4"/>
  <c r="AS65" i="4"/>
  <c r="AN65" i="4"/>
  <c r="AI65" i="4"/>
  <c r="AD65" i="4"/>
  <c r="Y65" i="4"/>
  <c r="T65" i="4"/>
  <c r="O65" i="4"/>
  <c r="J65" i="4"/>
  <c r="E65" i="4"/>
  <c r="BC64" i="4"/>
  <c r="AX64" i="4"/>
  <c r="AS64" i="4"/>
  <c r="AN64" i="4"/>
  <c r="AI64" i="4"/>
  <c r="AD64" i="4"/>
  <c r="Y64" i="4"/>
  <c r="T64" i="4"/>
  <c r="O64" i="4"/>
  <c r="J64" i="4"/>
  <c r="E64" i="4"/>
  <c r="BC63" i="4"/>
  <c r="AX63" i="4"/>
  <c r="AS63" i="4"/>
  <c r="AN63" i="4"/>
  <c r="AI63" i="4"/>
  <c r="AD63" i="4"/>
  <c r="Y63" i="4"/>
  <c r="T63" i="4"/>
  <c r="O63" i="4"/>
  <c r="J63" i="4"/>
  <c r="E63" i="4"/>
  <c r="BC62" i="4"/>
  <c r="AX62" i="4"/>
  <c r="AS62" i="4"/>
  <c r="AN62" i="4"/>
  <c r="AI62" i="4"/>
  <c r="AD62" i="4"/>
  <c r="Y62" i="4"/>
  <c r="T62" i="4"/>
  <c r="O62" i="4"/>
  <c r="J62" i="4"/>
  <c r="E62" i="4"/>
  <c r="BC61" i="4"/>
  <c r="AX61" i="4"/>
  <c r="AS61" i="4"/>
  <c r="AN61" i="4"/>
  <c r="AI61" i="4"/>
  <c r="AD61" i="4"/>
  <c r="Y61" i="4"/>
  <c r="T61" i="4"/>
  <c r="O61" i="4"/>
  <c r="J61" i="4"/>
  <c r="E61" i="4"/>
  <c r="BC60" i="4"/>
  <c r="AX60" i="4"/>
  <c r="AS60" i="4"/>
  <c r="AN60" i="4"/>
  <c r="AI60" i="4"/>
  <c r="AD60" i="4"/>
  <c r="Y60" i="4"/>
  <c r="T60" i="4"/>
  <c r="O60" i="4"/>
  <c r="J60" i="4"/>
  <c r="E60" i="4"/>
  <c r="BC59" i="4"/>
  <c r="AX59" i="4"/>
  <c r="AS59" i="4"/>
  <c r="AN59" i="4"/>
  <c r="AI59" i="4"/>
  <c r="AD59" i="4"/>
  <c r="Y59" i="4"/>
  <c r="T59" i="4"/>
  <c r="O59" i="4"/>
  <c r="J59" i="4"/>
  <c r="E59" i="4"/>
  <c r="BC58" i="4"/>
  <c r="AX58" i="4"/>
  <c r="AS58" i="4"/>
  <c r="AS53" i="4" s="1"/>
  <c r="AN58" i="4"/>
  <c r="AI58" i="4"/>
  <c r="AD58" i="4"/>
  <c r="Y58" i="4"/>
  <c r="Y53" i="4" s="1"/>
  <c r="T58" i="4"/>
  <c r="O58" i="4"/>
  <c r="J58" i="4"/>
  <c r="E58" i="4"/>
  <c r="E53" i="4" s="1"/>
  <c r="BC57" i="4"/>
  <c r="AX57" i="4"/>
  <c r="AS57" i="4"/>
  <c r="AN57" i="4"/>
  <c r="AN53" i="4" s="1"/>
  <c r="AI57" i="4"/>
  <c r="AD57" i="4"/>
  <c r="Y57" i="4"/>
  <c r="T57" i="4"/>
  <c r="T53" i="4" s="1"/>
  <c r="O57" i="4"/>
  <c r="J57" i="4"/>
  <c r="E57" i="4"/>
  <c r="BC56" i="4"/>
  <c r="BC53" i="4" s="1"/>
  <c r="AX56" i="4"/>
  <c r="AS56" i="4"/>
  <c r="AN56" i="4"/>
  <c r="AI56" i="4"/>
  <c r="AI53" i="4" s="1"/>
  <c r="AD56" i="4"/>
  <c r="Y56" i="4"/>
  <c r="T56" i="4"/>
  <c r="O56" i="4"/>
  <c r="O53" i="4" s="1"/>
  <c r="J56" i="4"/>
  <c r="E56" i="4"/>
  <c r="C54" i="4"/>
  <c r="BG53" i="4"/>
  <c r="BA53" i="4"/>
  <c r="AV53" i="4"/>
  <c r="AQ53" i="4"/>
  <c r="AL53" i="4"/>
  <c r="AG53" i="4"/>
  <c r="AB53" i="4"/>
  <c r="W53" i="4"/>
  <c r="R53" i="4"/>
  <c r="M53" i="4"/>
  <c r="H53" i="4"/>
  <c r="C53" i="4"/>
  <c r="BC51" i="4"/>
  <c r="AX51" i="4"/>
  <c r="AS51" i="4"/>
  <c r="AN51" i="4"/>
  <c r="AI51" i="4"/>
  <c r="AD51" i="4"/>
  <c r="Y51" i="4"/>
  <c r="T51" i="4"/>
  <c r="O51" i="4"/>
  <c r="J51" i="4"/>
  <c r="E51" i="4"/>
  <c r="BC50" i="4"/>
  <c r="AX50" i="4"/>
  <c r="AS50" i="4"/>
  <c r="AN50" i="4"/>
  <c r="AI50" i="4"/>
  <c r="AD50" i="4"/>
  <c r="Y50" i="4"/>
  <c r="T50" i="4"/>
  <c r="O50" i="4"/>
  <c r="J50" i="4"/>
  <c r="E50" i="4"/>
  <c r="BC49" i="4"/>
  <c r="AX49" i="4"/>
  <c r="AS49" i="4"/>
  <c r="AN49" i="4"/>
  <c r="AI49" i="4"/>
  <c r="AD49" i="4"/>
  <c r="Y49" i="4"/>
  <c r="T49" i="4"/>
  <c r="O49" i="4"/>
  <c r="J49" i="4"/>
  <c r="E49" i="4"/>
  <c r="BC48" i="4"/>
  <c r="AX48" i="4"/>
  <c r="AS48" i="4"/>
  <c r="AN48" i="4"/>
  <c r="AI48" i="4"/>
  <c r="AD48" i="4"/>
  <c r="Y48" i="4"/>
  <c r="T48" i="4"/>
  <c r="O48" i="4"/>
  <c r="J48" i="4"/>
  <c r="E48" i="4"/>
  <c r="BC47" i="4"/>
  <c r="AX47" i="4"/>
  <c r="AS47" i="4"/>
  <c r="AN47" i="4"/>
  <c r="AI47" i="4"/>
  <c r="AD47" i="4"/>
  <c r="Y47" i="4"/>
  <c r="T47" i="4"/>
  <c r="O47" i="4"/>
  <c r="J47" i="4"/>
  <c r="E47" i="4"/>
  <c r="BC46" i="4"/>
  <c r="AX46" i="4"/>
  <c r="AS46" i="4"/>
  <c r="AN46" i="4"/>
  <c r="AI46" i="4"/>
  <c r="AD46" i="4"/>
  <c r="Y46" i="4"/>
  <c r="T46" i="4"/>
  <c r="O46" i="4"/>
  <c r="J46" i="4"/>
  <c r="E46" i="4"/>
  <c r="BC45" i="4"/>
  <c r="AX45" i="4"/>
  <c r="AS45" i="4"/>
  <c r="AN45" i="4"/>
  <c r="AI45" i="4"/>
  <c r="AD45" i="4"/>
  <c r="Y45" i="4"/>
  <c r="T45" i="4"/>
  <c r="O45" i="4"/>
  <c r="J45" i="4"/>
  <c r="E45" i="4"/>
  <c r="BC44" i="4"/>
  <c r="AX44" i="4"/>
  <c r="AS44" i="4"/>
  <c r="AN44" i="4"/>
  <c r="AI44" i="4"/>
  <c r="AD44" i="4"/>
  <c r="Y44" i="4"/>
  <c r="T44" i="4"/>
  <c r="O44" i="4"/>
  <c r="J44" i="4"/>
  <c r="E44" i="4"/>
  <c r="BC43" i="4"/>
  <c r="AX43" i="4"/>
  <c r="AS43" i="4"/>
  <c r="AN43" i="4"/>
  <c r="AI43" i="4"/>
  <c r="AD43" i="4"/>
  <c r="Y43" i="4"/>
  <c r="T43" i="4"/>
  <c r="O43" i="4"/>
  <c r="J43" i="4"/>
  <c r="E43" i="4"/>
  <c r="BC42" i="4"/>
  <c r="AX42" i="4"/>
  <c r="AS42" i="4"/>
  <c r="AN42" i="4"/>
  <c r="AI42" i="4"/>
  <c r="AD42" i="4"/>
  <c r="Y42" i="4"/>
  <c r="T42" i="4"/>
  <c r="O42" i="4"/>
  <c r="J42" i="4"/>
  <c r="E42" i="4"/>
  <c r="BC41" i="4"/>
  <c r="AX41" i="4"/>
  <c r="AS41" i="4"/>
  <c r="AN41" i="4"/>
  <c r="AI41" i="4"/>
  <c r="AD41" i="4"/>
  <c r="Y41" i="4"/>
  <c r="T41" i="4"/>
  <c r="O41" i="4"/>
  <c r="J41" i="4"/>
  <c r="E41" i="4"/>
  <c r="BC40" i="4"/>
  <c r="AX40" i="4"/>
  <c r="AS40" i="4"/>
  <c r="AN40" i="4"/>
  <c r="AI40" i="4"/>
  <c r="AD40" i="4"/>
  <c r="Y40" i="4"/>
  <c r="T40" i="4"/>
  <c r="O40" i="4"/>
  <c r="J40" i="4"/>
  <c r="E40" i="4"/>
  <c r="BC39" i="4"/>
  <c r="AX39" i="4"/>
  <c r="AS39" i="4"/>
  <c r="AN39" i="4"/>
  <c r="AI39" i="4"/>
  <c r="AD39" i="4"/>
  <c r="Y39" i="4"/>
  <c r="T39" i="4"/>
  <c r="O39" i="4"/>
  <c r="J39" i="4"/>
  <c r="E39" i="4"/>
  <c r="BC38" i="4"/>
  <c r="AX38" i="4"/>
  <c r="AS38" i="4"/>
  <c r="AN38" i="4"/>
  <c r="AI38" i="4"/>
  <c r="AD38" i="4"/>
  <c r="Y38" i="4"/>
  <c r="T38" i="4"/>
  <c r="O38" i="4"/>
  <c r="J38" i="4"/>
  <c r="E38" i="4"/>
  <c r="BC37" i="4"/>
  <c r="AX37" i="4"/>
  <c r="AS37" i="4"/>
  <c r="AN37" i="4"/>
  <c r="AI37" i="4"/>
  <c r="AD37" i="4"/>
  <c r="Y37" i="4"/>
  <c r="T37" i="4"/>
  <c r="O37" i="4"/>
  <c r="J37" i="4"/>
  <c r="E37" i="4"/>
  <c r="BC36" i="4"/>
  <c r="AX36" i="4"/>
  <c r="AS36" i="4"/>
  <c r="AN36" i="4"/>
  <c r="AI36" i="4"/>
  <c r="AD36" i="4"/>
  <c r="Y36" i="4"/>
  <c r="T36" i="4"/>
  <c r="O36" i="4"/>
  <c r="J36" i="4"/>
  <c r="E36" i="4"/>
  <c r="BC35" i="4"/>
  <c r="AX35" i="4"/>
  <c r="AS35" i="4"/>
  <c r="AN35" i="4"/>
  <c r="AI35" i="4"/>
  <c r="AD35" i="4"/>
  <c r="Y35" i="4"/>
  <c r="T35" i="4"/>
  <c r="O35" i="4"/>
  <c r="J35" i="4"/>
  <c r="E35" i="4"/>
  <c r="BC34" i="4"/>
  <c r="AX34" i="4"/>
  <c r="AS34" i="4"/>
  <c r="AN34" i="4"/>
  <c r="AI34" i="4"/>
  <c r="AD34" i="4"/>
  <c r="Y34" i="4"/>
  <c r="T34" i="4"/>
  <c r="O34" i="4"/>
  <c r="J34" i="4"/>
  <c r="E34" i="4"/>
  <c r="BC33" i="4"/>
  <c r="AX33" i="4"/>
  <c r="AS33" i="4"/>
  <c r="AN33" i="4"/>
  <c r="AI33" i="4"/>
  <c r="AD33" i="4"/>
  <c r="Y33" i="4"/>
  <c r="T33" i="4"/>
  <c r="O33" i="4"/>
  <c r="J33" i="4"/>
  <c r="E33" i="4"/>
  <c r="BC32" i="4"/>
  <c r="AX32" i="4"/>
  <c r="AS32" i="4"/>
  <c r="AN32" i="4"/>
  <c r="AI32" i="4"/>
  <c r="AD32" i="4"/>
  <c r="Y32" i="4"/>
  <c r="T32" i="4"/>
  <c r="O32" i="4"/>
  <c r="J32" i="4"/>
  <c r="E32" i="4"/>
  <c r="BC31" i="4"/>
  <c r="AX31" i="4"/>
  <c r="AS31" i="4"/>
  <c r="AN31" i="4"/>
  <c r="AI31" i="4"/>
  <c r="AD31" i="4"/>
  <c r="Y31" i="4"/>
  <c r="T31" i="4"/>
  <c r="O31" i="4"/>
  <c r="J31" i="4"/>
  <c r="E31" i="4"/>
  <c r="BC30" i="4"/>
  <c r="AX30" i="4"/>
  <c r="AS30" i="4"/>
  <c r="AN30" i="4"/>
  <c r="AI30" i="4"/>
  <c r="AD30" i="4"/>
  <c r="Y30" i="4"/>
  <c r="T30" i="4"/>
  <c r="O30" i="4"/>
  <c r="J30" i="4"/>
  <c r="E30" i="4"/>
  <c r="BC29" i="4"/>
  <c r="AX29" i="4"/>
  <c r="AS29" i="4"/>
  <c r="AN29" i="4"/>
  <c r="AI29" i="4"/>
  <c r="AD29" i="4"/>
  <c r="Y29" i="4"/>
  <c r="T29" i="4"/>
  <c r="O29" i="4"/>
  <c r="J29" i="4"/>
  <c r="E29" i="4"/>
  <c r="BC28" i="4"/>
  <c r="AX28" i="4"/>
  <c r="AS28" i="4"/>
  <c r="AN28" i="4"/>
  <c r="AI28" i="4"/>
  <c r="AD28" i="4"/>
  <c r="Y28" i="4"/>
  <c r="T28" i="4"/>
  <c r="O28" i="4"/>
  <c r="J28" i="4"/>
  <c r="E28" i="4"/>
  <c r="BC27" i="4"/>
  <c r="AX27" i="4"/>
  <c r="AS27" i="4"/>
  <c r="AN27" i="4"/>
  <c r="AI27" i="4"/>
  <c r="AD27" i="4"/>
  <c r="Y27" i="4"/>
  <c r="T27" i="4"/>
  <c r="O27" i="4"/>
  <c r="J27" i="4"/>
  <c r="E27" i="4"/>
  <c r="BC26" i="4"/>
  <c r="AX26" i="4"/>
  <c r="AS26" i="4"/>
  <c r="AN26" i="4"/>
  <c r="AI26" i="4"/>
  <c r="AD26" i="4"/>
  <c r="Y26" i="4"/>
  <c r="T26" i="4"/>
  <c r="O26" i="4"/>
  <c r="J26" i="4"/>
  <c r="E26" i="4"/>
  <c r="BC25" i="4"/>
  <c r="AX25" i="4"/>
  <c r="AS25" i="4"/>
  <c r="AN25" i="4"/>
  <c r="AI25" i="4"/>
  <c r="AD25" i="4"/>
  <c r="Y25" i="4"/>
  <c r="T25" i="4"/>
  <c r="O25" i="4"/>
  <c r="J25" i="4"/>
  <c r="E25" i="4"/>
  <c r="BC24" i="4"/>
  <c r="AX24" i="4"/>
  <c r="AS24" i="4"/>
  <c r="AN24" i="4"/>
  <c r="AI24" i="4"/>
  <c r="AD24" i="4"/>
  <c r="Y24" i="4"/>
  <c r="T24" i="4"/>
  <c r="O24" i="4"/>
  <c r="J24" i="4"/>
  <c r="E24" i="4"/>
  <c r="BC23" i="4"/>
  <c r="AX23" i="4"/>
  <c r="AS23" i="4"/>
  <c r="AN23" i="4"/>
  <c r="AI23" i="4"/>
  <c r="AD23" i="4"/>
  <c r="Y23" i="4"/>
  <c r="T23" i="4"/>
  <c r="O23" i="4"/>
  <c r="J23" i="4"/>
  <c r="E23" i="4"/>
  <c r="BC22" i="4"/>
  <c r="AX22" i="4"/>
  <c r="AS22" i="4"/>
  <c r="AN22" i="4"/>
  <c r="AI22" i="4"/>
  <c r="AD22" i="4"/>
  <c r="Y22" i="4"/>
  <c r="T22" i="4"/>
  <c r="O22" i="4"/>
  <c r="J22" i="4"/>
  <c r="E22" i="4"/>
  <c r="BC21" i="4"/>
  <c r="AX21" i="4"/>
  <c r="AS21" i="4"/>
  <c r="AN21" i="4"/>
  <c r="AI21" i="4"/>
  <c r="AD21" i="4"/>
  <c r="Y21" i="4"/>
  <c r="T21" i="4"/>
  <c r="O21" i="4"/>
  <c r="J21" i="4"/>
  <c r="E21" i="4"/>
  <c r="BC20" i="4"/>
  <c r="AX20" i="4"/>
  <c r="AS20" i="4"/>
  <c r="AN20" i="4"/>
  <c r="AI20" i="4"/>
  <c r="AD20" i="4"/>
  <c r="Y20" i="4"/>
  <c r="T20" i="4"/>
  <c r="O20" i="4"/>
  <c r="J20" i="4"/>
  <c r="E20" i="4"/>
  <c r="BC19" i="4"/>
  <c r="AX19" i="4"/>
  <c r="AS19" i="4"/>
  <c r="AN19" i="4"/>
  <c r="AI19" i="4"/>
  <c r="AD19" i="4"/>
  <c r="Y19" i="4"/>
  <c r="T19" i="4"/>
  <c r="O19" i="4"/>
  <c r="J19" i="4"/>
  <c r="E19" i="4"/>
  <c r="BC18" i="4"/>
  <c r="AX18" i="4"/>
  <c r="AS18" i="4"/>
  <c r="AN18" i="4"/>
  <c r="AI18" i="4"/>
  <c r="AD18" i="4"/>
  <c r="Y18" i="4"/>
  <c r="T18" i="4"/>
  <c r="O18" i="4"/>
  <c r="J18" i="4"/>
  <c r="E18" i="4"/>
  <c r="BC17" i="4"/>
  <c r="AX17" i="4"/>
  <c r="AS17" i="4"/>
  <c r="AN17" i="4"/>
  <c r="AI17" i="4"/>
  <c r="AD17" i="4"/>
  <c r="Y17" i="4"/>
  <c r="T17" i="4"/>
  <c r="O17" i="4"/>
  <c r="J17" i="4"/>
  <c r="E17" i="4"/>
  <c r="BC16" i="4"/>
  <c r="AX16" i="4"/>
  <c r="AS16" i="4"/>
  <c r="AN16" i="4"/>
  <c r="AI16" i="4"/>
  <c r="AD16" i="4"/>
  <c r="Y16" i="4"/>
  <c r="T16" i="4"/>
  <c r="O16" i="4"/>
  <c r="J16" i="4"/>
  <c r="E16" i="4"/>
  <c r="BC15" i="4"/>
  <c r="AX15" i="4"/>
  <c r="AS15" i="4"/>
  <c r="AN15" i="4"/>
  <c r="AI15" i="4"/>
  <c r="AD15" i="4"/>
  <c r="Y15" i="4"/>
  <c r="T15" i="4"/>
  <c r="O15" i="4"/>
  <c r="J15" i="4"/>
  <c r="E15" i="4"/>
  <c r="BC14" i="4"/>
  <c r="AX14" i="4"/>
  <c r="AS14" i="4"/>
  <c r="AN14" i="4"/>
  <c r="AI14" i="4"/>
  <c r="AD14" i="4"/>
  <c r="Y14" i="4"/>
  <c r="T14" i="4"/>
  <c r="O14" i="4"/>
  <c r="J14" i="4"/>
  <c r="E14" i="4"/>
  <c r="BC13" i="4"/>
  <c r="AX13" i="4"/>
  <c r="AS13" i="4"/>
  <c r="AN13" i="4"/>
  <c r="AI13" i="4"/>
  <c r="AD13" i="4"/>
  <c r="Y13" i="4"/>
  <c r="T13" i="4"/>
  <c r="O13" i="4"/>
  <c r="J13" i="4"/>
  <c r="E13" i="4"/>
  <c r="BC12" i="4"/>
  <c r="AX12" i="4"/>
  <c r="AS12" i="4"/>
  <c r="AN12" i="4"/>
  <c r="AI12" i="4"/>
  <c r="AD12" i="4"/>
  <c r="Y12" i="4"/>
  <c r="T12" i="4"/>
  <c r="O12" i="4"/>
  <c r="J12" i="4"/>
  <c r="E12" i="4"/>
  <c r="BC11" i="4"/>
  <c r="AX11" i="4"/>
  <c r="AS11" i="4"/>
  <c r="AS5" i="4" s="1"/>
  <c r="AN11" i="4"/>
  <c r="AI11" i="4"/>
  <c r="AD11" i="4"/>
  <c r="Y11" i="4"/>
  <c r="Y5" i="4" s="1"/>
  <c r="T11" i="4"/>
  <c r="O11" i="4"/>
  <c r="J11" i="4"/>
  <c r="E11" i="4"/>
  <c r="E5" i="4" s="1"/>
  <c r="BC10" i="4"/>
  <c r="AX10" i="4"/>
  <c r="AS10" i="4"/>
  <c r="AN10" i="4"/>
  <c r="AI10" i="4"/>
  <c r="AD10" i="4"/>
  <c r="Y10" i="4"/>
  <c r="T10" i="4"/>
  <c r="O10" i="4"/>
  <c r="J10" i="4"/>
  <c r="E10" i="4"/>
  <c r="BC9" i="4"/>
  <c r="BC5" i="4" s="1"/>
  <c r="AX9" i="4"/>
  <c r="AS9" i="4"/>
  <c r="AN9" i="4"/>
  <c r="AI9" i="4"/>
  <c r="AI5" i="4" s="1"/>
  <c r="AD9" i="4"/>
  <c r="Y9" i="4"/>
  <c r="T9" i="4"/>
  <c r="O9" i="4"/>
  <c r="O5" i="4" s="1"/>
  <c r="J9" i="4"/>
  <c r="E9" i="4"/>
  <c r="BC8" i="4"/>
  <c r="AX8" i="4"/>
  <c r="AX5" i="4" s="1"/>
  <c r="AS8" i="4"/>
  <c r="AN8" i="4"/>
  <c r="AI8" i="4"/>
  <c r="AD8" i="4"/>
  <c r="AD5" i="4" s="1"/>
  <c r="Y8" i="4"/>
  <c r="T8" i="4"/>
  <c r="O8" i="4"/>
  <c r="J8" i="4"/>
  <c r="J5" i="4" s="1"/>
  <c r="E8" i="4"/>
  <c r="C6" i="4"/>
  <c r="BG5" i="4"/>
  <c r="E29" i="7" s="1"/>
  <c r="BA5" i="4"/>
  <c r="AV5" i="4"/>
  <c r="AV7" i="4" s="1"/>
  <c r="AQ5" i="4"/>
  <c r="AN5" i="4"/>
  <c r="AL5" i="4"/>
  <c r="AG5" i="4"/>
  <c r="AB5" i="4"/>
  <c r="AB7" i="4" s="1"/>
  <c r="W5" i="4"/>
  <c r="T5" i="4"/>
  <c r="R5" i="4"/>
  <c r="M5" i="4"/>
  <c r="H5" i="4"/>
  <c r="H7" i="4" s="1"/>
  <c r="C5" i="4"/>
  <c r="B5" i="4"/>
  <c r="W7" i="4" s="1"/>
  <c r="AV4" i="4"/>
  <c r="R4" i="4"/>
  <c r="H4" i="4"/>
  <c r="AB3" i="4"/>
  <c r="K29" i="3"/>
  <c r="J29" i="3"/>
  <c r="G29" i="3"/>
  <c r="F29" i="3"/>
  <c r="E29" i="3"/>
  <c r="B3" i="3"/>
  <c r="D12" i="3" s="1"/>
  <c r="BD86" i="2"/>
  <c r="BB86" i="2"/>
  <c r="T86" i="2"/>
  <c r="BB83" i="2"/>
  <c r="BD83" i="2" s="1"/>
  <c r="T83" i="2"/>
  <c r="BB82" i="2"/>
  <c r="BD82" i="2" s="1"/>
  <c r="T82" i="2"/>
  <c r="BB81" i="2"/>
  <c r="BD81" i="2" s="1"/>
  <c r="T81" i="2"/>
  <c r="BB79" i="2"/>
  <c r="BD79" i="2" s="1"/>
  <c r="T79" i="2"/>
  <c r="BB78" i="2"/>
  <c r="T78" i="2"/>
  <c r="BD77" i="2"/>
  <c r="BB77" i="2"/>
  <c r="T77" i="2"/>
  <c r="C77" i="2"/>
  <c r="C76" i="2"/>
  <c r="C75" i="2"/>
  <c r="BD74" i="2"/>
  <c r="BB74" i="2"/>
  <c r="T74" i="2"/>
  <c r="C74" i="2"/>
  <c r="BD71" i="2"/>
  <c r="BB71" i="2"/>
  <c r="T71" i="2"/>
  <c r="BD70" i="2"/>
  <c r="BB70" i="2"/>
  <c r="T70" i="2"/>
  <c r="BB69" i="2"/>
  <c r="BD69" i="2" s="1"/>
  <c r="T69" i="2"/>
  <c r="BD67" i="2"/>
  <c r="BB67" i="2"/>
  <c r="T67" i="2"/>
  <c r="BD66" i="2"/>
  <c r="BB66" i="2"/>
  <c r="T66" i="2"/>
  <c r="BD65" i="2"/>
  <c r="BB65" i="2"/>
  <c r="T65" i="2"/>
  <c r="BD62" i="2"/>
  <c r="BB62" i="2"/>
  <c r="T62" i="2"/>
  <c r="BB59" i="2"/>
  <c r="BD59" i="2" s="1"/>
  <c r="T59" i="2"/>
  <c r="BD58" i="2"/>
  <c r="BB58" i="2"/>
  <c r="T58" i="2"/>
  <c r="BD57" i="2"/>
  <c r="BB57" i="2"/>
  <c r="T57" i="2"/>
  <c r="BB55" i="2"/>
  <c r="BD55" i="2" s="1"/>
  <c r="T55" i="2"/>
  <c r="BD54" i="2"/>
  <c r="BB54" i="2"/>
  <c r="T54" i="2"/>
  <c r="BB53" i="2"/>
  <c r="BD53" i="2" s="1"/>
  <c r="T53" i="2"/>
  <c r="BB50" i="2"/>
  <c r="BD50" i="2" s="1"/>
  <c r="T50" i="2"/>
  <c r="BB47" i="2"/>
  <c r="BD47" i="2" s="1"/>
  <c r="T47" i="2"/>
  <c r="BB46" i="2"/>
  <c r="BD46" i="2" s="1"/>
  <c r="T46" i="2"/>
  <c r="BD45" i="2"/>
  <c r="BB45" i="2"/>
  <c r="T45" i="2"/>
  <c r="BB43" i="2"/>
  <c r="BD43" i="2" s="1"/>
  <c r="T43" i="2"/>
  <c r="BB42" i="2"/>
  <c r="BD42" i="2" s="1"/>
  <c r="T42" i="2"/>
  <c r="BB41" i="2"/>
  <c r="Z41" i="2"/>
  <c r="T41" i="2"/>
  <c r="BB38" i="2"/>
  <c r="BD38" i="2" s="1"/>
  <c r="T38" i="2"/>
  <c r="BD35" i="2"/>
  <c r="BB35" i="2"/>
  <c r="T35" i="2"/>
  <c r="BB34" i="2"/>
  <c r="BD34" i="2" s="1"/>
  <c r="T34" i="2"/>
  <c r="BD33" i="2"/>
  <c r="BB33" i="2"/>
  <c r="T33" i="2"/>
  <c r="BD31" i="2"/>
  <c r="BB31" i="2"/>
  <c r="T31" i="2"/>
  <c r="BB30" i="2"/>
  <c r="BC29" i="2" s="1"/>
  <c r="T30" i="2"/>
  <c r="BB29" i="2"/>
  <c r="BD29" i="2" s="1"/>
  <c r="T29" i="2"/>
  <c r="BB26" i="2"/>
  <c r="BD26" i="2" s="1"/>
  <c r="T26" i="2"/>
  <c r="BB23" i="2"/>
  <c r="BD23" i="2" s="1"/>
  <c r="T23" i="2"/>
  <c r="BB22" i="2"/>
  <c r="BD22" i="2" s="1"/>
  <c r="T22" i="2"/>
  <c r="BB21" i="2"/>
  <c r="BD21" i="2" s="1"/>
  <c r="T21" i="2"/>
  <c r="BB19" i="2"/>
  <c r="BD19" i="2" s="1"/>
  <c r="T19" i="2"/>
  <c r="H19" i="2"/>
  <c r="BB18" i="2"/>
  <c r="BD18" i="2" s="1"/>
  <c r="T18" i="2"/>
  <c r="H18" i="2"/>
  <c r="BB17" i="2"/>
  <c r="Z17" i="2"/>
  <c r="T17" i="2"/>
  <c r="BL16" i="2"/>
  <c r="G15" i="2"/>
  <c r="C15" i="2"/>
  <c r="BD14" i="2"/>
  <c r="BB14" i="2"/>
  <c r="H14" i="2"/>
  <c r="G14" i="2"/>
  <c r="F14" i="2"/>
  <c r="G13" i="2"/>
  <c r="G12" i="2"/>
  <c r="BD11" i="2"/>
  <c r="BB11" i="2"/>
  <c r="T11" i="2"/>
  <c r="G11" i="2"/>
  <c r="BB10" i="2"/>
  <c r="T10" i="2"/>
  <c r="H10" i="2"/>
  <c r="G10" i="2"/>
  <c r="BI9" i="2"/>
  <c r="BJ9" i="2" s="1"/>
  <c r="BD9" i="2"/>
  <c r="BB9" i="2"/>
  <c r="T9" i="2"/>
  <c r="H9" i="2"/>
  <c r="G9" i="2"/>
  <c r="BL8" i="2"/>
  <c r="BJ8" i="2"/>
  <c r="G8" i="2"/>
  <c r="BB7" i="2"/>
  <c r="T7" i="2"/>
  <c r="G7" i="2"/>
  <c r="BD6" i="2"/>
  <c r="BB6" i="2"/>
  <c r="T6" i="2"/>
  <c r="G6" i="2"/>
  <c r="F6" i="2"/>
  <c r="BD5" i="2"/>
  <c r="BC5" i="2"/>
  <c r="BB5" i="2"/>
  <c r="BI5" i="2" s="1"/>
  <c r="BJ5" i="2" s="1"/>
  <c r="AQ5" i="2"/>
  <c r="Z5" i="2"/>
  <c r="T5" i="2"/>
  <c r="G5" i="2"/>
  <c r="BA4" i="2"/>
  <c r="Z53" i="2" s="1"/>
  <c r="Y4" i="2"/>
  <c r="G4" i="2"/>
  <c r="C4" i="2"/>
  <c r="BD86" i="1"/>
  <c r="BB86" i="1"/>
  <c r="T86" i="1"/>
  <c r="BD83" i="1"/>
  <c r="BB83" i="1"/>
  <c r="T83" i="1"/>
  <c r="BD82" i="1"/>
  <c r="BB82" i="1"/>
  <c r="T82" i="1"/>
  <c r="BD81" i="1"/>
  <c r="BB81" i="1"/>
  <c r="T81" i="1"/>
  <c r="BD79" i="1"/>
  <c r="BB79" i="1"/>
  <c r="T79" i="1"/>
  <c r="BD78" i="1"/>
  <c r="BB78" i="1"/>
  <c r="T78" i="1"/>
  <c r="BB77" i="1"/>
  <c r="BD77" i="1" s="1"/>
  <c r="BE77" i="1" s="1"/>
  <c r="T77" i="1"/>
  <c r="BB74" i="1"/>
  <c r="BD74" i="1" s="1"/>
  <c r="T74" i="1"/>
  <c r="BB71" i="1"/>
  <c r="BD71" i="1" s="1"/>
  <c r="T71" i="1"/>
  <c r="BB70" i="1"/>
  <c r="BD70" i="1" s="1"/>
  <c r="T70" i="1"/>
  <c r="BD69" i="1"/>
  <c r="BB69" i="1"/>
  <c r="T69" i="1"/>
  <c r="BD67" i="1"/>
  <c r="BB67" i="1"/>
  <c r="T67" i="1"/>
  <c r="BB66" i="1"/>
  <c r="BD66" i="1" s="1"/>
  <c r="T66" i="1"/>
  <c r="BB65" i="1"/>
  <c r="BC65" i="1" s="1"/>
  <c r="T65" i="1"/>
  <c r="BD62" i="1"/>
  <c r="BB62" i="1"/>
  <c r="T62" i="1"/>
  <c r="BD59" i="1"/>
  <c r="BB59" i="1"/>
  <c r="T59" i="1"/>
  <c r="BB58" i="1"/>
  <c r="BD58" i="1" s="1"/>
  <c r="T58" i="1"/>
  <c r="BD57" i="1"/>
  <c r="BB57" i="1"/>
  <c r="T57" i="1"/>
  <c r="BB55" i="1"/>
  <c r="BD55" i="1" s="1"/>
  <c r="T55" i="1"/>
  <c r="BB54" i="1"/>
  <c r="BC53" i="1" s="1"/>
  <c r="T54" i="1"/>
  <c r="BD53" i="1"/>
  <c r="BB53" i="1"/>
  <c r="T53" i="1"/>
  <c r="BB50" i="1"/>
  <c r="BD50" i="1" s="1"/>
  <c r="T50" i="1"/>
  <c r="BB47" i="1"/>
  <c r="BD47" i="1" s="1"/>
  <c r="T47" i="1"/>
  <c r="BB46" i="1"/>
  <c r="BD46" i="1" s="1"/>
  <c r="T46" i="1"/>
  <c r="BB45" i="1"/>
  <c r="BD45" i="1" s="1"/>
  <c r="T45" i="1"/>
  <c r="BB43" i="1"/>
  <c r="BD43" i="1" s="1"/>
  <c r="T43" i="1"/>
  <c r="BB42" i="1"/>
  <c r="BD42" i="1" s="1"/>
  <c r="T42" i="1"/>
  <c r="BD41" i="1"/>
  <c r="BC41" i="1"/>
  <c r="BB41" i="1"/>
  <c r="T41" i="1"/>
  <c r="BD38" i="1"/>
  <c r="BB38" i="1"/>
  <c r="T38" i="1"/>
  <c r="BD35" i="1"/>
  <c r="BB35" i="1"/>
  <c r="T35" i="1"/>
  <c r="BD34" i="1"/>
  <c r="BB34" i="1"/>
  <c r="T34" i="1"/>
  <c r="BD33" i="1"/>
  <c r="BB33" i="1"/>
  <c r="T33" i="1"/>
  <c r="BB31" i="1"/>
  <c r="BD31" i="1" s="1"/>
  <c r="T31" i="1"/>
  <c r="BB30" i="1"/>
  <c r="BD30" i="1" s="1"/>
  <c r="T30" i="1"/>
  <c r="BD29" i="1"/>
  <c r="BE29" i="1" s="1"/>
  <c r="BB29" i="1"/>
  <c r="BC29" i="1" s="1"/>
  <c r="T29" i="1"/>
  <c r="BB26" i="1"/>
  <c r="BD26" i="1" s="1"/>
  <c r="T26" i="1"/>
  <c r="BB23" i="1"/>
  <c r="BD23" i="1" s="1"/>
  <c r="T23" i="1"/>
  <c r="BB22" i="1"/>
  <c r="BD22" i="1" s="1"/>
  <c r="T22" i="1"/>
  <c r="BB21" i="1"/>
  <c r="BD21" i="1" s="1"/>
  <c r="T21" i="1"/>
  <c r="BB19" i="1"/>
  <c r="BD19" i="1" s="1"/>
  <c r="T19" i="1"/>
  <c r="H19" i="1"/>
  <c r="BB18" i="1"/>
  <c r="BD18" i="1" s="1"/>
  <c r="T18" i="1"/>
  <c r="H18" i="1"/>
  <c r="BB17" i="1"/>
  <c r="BD17" i="1" s="1"/>
  <c r="BE17" i="1" s="1"/>
  <c r="T17" i="1"/>
  <c r="BL16" i="1"/>
  <c r="G15" i="1"/>
  <c r="C15" i="1"/>
  <c r="BD14" i="1"/>
  <c r="BK14" i="1" s="1"/>
  <c r="BL14" i="1" s="1"/>
  <c r="BB14" i="1"/>
  <c r="F14" i="1"/>
  <c r="G14" i="1" s="1"/>
  <c r="G13" i="1"/>
  <c r="G12" i="1"/>
  <c r="BI11" i="1"/>
  <c r="BJ11" i="1" s="1"/>
  <c r="BB11" i="1"/>
  <c r="BD11" i="1" s="1"/>
  <c r="T11" i="1"/>
  <c r="G11" i="1"/>
  <c r="BB10" i="1"/>
  <c r="BI10" i="1" s="1"/>
  <c r="BJ10" i="1" s="1"/>
  <c r="T10" i="1"/>
  <c r="G10" i="1"/>
  <c r="BI9" i="1"/>
  <c r="BJ9" i="1" s="1"/>
  <c r="BB9" i="1"/>
  <c r="BD9" i="1" s="1"/>
  <c r="T9" i="1"/>
  <c r="G9" i="1"/>
  <c r="BL8" i="1"/>
  <c r="BJ8" i="1"/>
  <c r="G8" i="1"/>
  <c r="BB7" i="1"/>
  <c r="BI7" i="1" s="1"/>
  <c r="BJ7" i="1" s="1"/>
  <c r="T7" i="1"/>
  <c r="G7" i="1"/>
  <c r="BD6" i="1"/>
  <c r="BB6" i="1"/>
  <c r="T6" i="1"/>
  <c r="F6" i="1"/>
  <c r="G6" i="1" s="1"/>
  <c r="BD5" i="1"/>
  <c r="BB5" i="1"/>
  <c r="BC5" i="1" s="1"/>
  <c r="AQ5" i="1"/>
  <c r="T5" i="1"/>
  <c r="G5" i="1"/>
  <c r="BA4" i="1"/>
  <c r="Z53" i="1" s="1"/>
  <c r="Y4" i="1"/>
  <c r="C4" i="1"/>
  <c r="C14" i="7" l="1"/>
  <c r="C4" i="7"/>
  <c r="C20" i="7"/>
  <c r="C6" i="7"/>
  <c r="C12" i="7"/>
  <c r="C6" i="6"/>
  <c r="C8" i="6"/>
  <c r="C22" i="6"/>
  <c r="C14" i="6"/>
  <c r="C16" i="6"/>
  <c r="D4" i="3"/>
  <c r="D16" i="3"/>
  <c r="D6" i="3"/>
  <c r="D24" i="3"/>
  <c r="D8" i="3"/>
  <c r="D14" i="3"/>
  <c r="AI4" i="4"/>
  <c r="AJ5" i="4" s="1"/>
  <c r="BK11" i="1"/>
  <c r="BL11" i="1" s="1"/>
  <c r="Z4" i="2"/>
  <c r="O4" i="4"/>
  <c r="P53" i="4" s="1"/>
  <c r="H14" i="1"/>
  <c r="H6" i="1"/>
  <c r="BK9" i="1"/>
  <c r="BL9" i="1" s="1"/>
  <c r="E6" i="14"/>
  <c r="E6" i="13"/>
  <c r="H7" i="2"/>
  <c r="E14" i="14"/>
  <c r="E14" i="13"/>
  <c r="E22" i="14"/>
  <c r="E22" i="13"/>
  <c r="AQ4" i="4"/>
  <c r="AQ3" i="4"/>
  <c r="G22" i="12"/>
  <c r="G23" i="12" s="1"/>
  <c r="G94" i="12" s="1"/>
  <c r="G4" i="7"/>
  <c r="G5" i="7" s="1"/>
  <c r="G47" i="7" s="1"/>
  <c r="AJ82" i="4"/>
  <c r="K6" i="12"/>
  <c r="K7" i="12" s="1"/>
  <c r="G56" i="12" s="1"/>
  <c r="K20" i="7"/>
  <c r="K21" i="7" s="1"/>
  <c r="G107" i="7" s="1"/>
  <c r="K14" i="14"/>
  <c r="K14" i="13"/>
  <c r="K18" i="14"/>
  <c r="K18" i="13"/>
  <c r="G4" i="1"/>
  <c r="H5" i="1"/>
  <c r="Z5" i="1"/>
  <c r="BD10" i="1"/>
  <c r="BK10" i="1" s="1"/>
  <c r="BL10" i="1" s="1"/>
  <c r="Z41" i="1"/>
  <c r="BD54" i="1"/>
  <c r="BE53" i="1" s="1"/>
  <c r="BD30" i="2"/>
  <c r="BD41" i="2"/>
  <c r="BE41" i="2" s="1"/>
  <c r="BC41" i="2"/>
  <c r="S5" i="4"/>
  <c r="S74" i="4"/>
  <c r="AL4" i="4"/>
  <c r="AM82" i="4" s="1"/>
  <c r="M7" i="4"/>
  <c r="AG7" i="4"/>
  <c r="AG55" i="4"/>
  <c r="AG3" i="4"/>
  <c r="AG4" i="4"/>
  <c r="I12" i="12"/>
  <c r="I13" i="12" s="1"/>
  <c r="G47" i="12" s="1"/>
  <c r="I22" i="7"/>
  <c r="I23" i="7" s="1"/>
  <c r="G112" i="7" s="1"/>
  <c r="W139" i="4"/>
  <c r="I22" i="12"/>
  <c r="I23" i="12" s="1"/>
  <c r="G96" i="12" s="1"/>
  <c r="I4" i="7"/>
  <c r="I5" i="7" s="1"/>
  <c r="G49" i="7" s="1"/>
  <c r="AL145" i="4"/>
  <c r="K6" i="14"/>
  <c r="K6" i="13"/>
  <c r="K16" i="14"/>
  <c r="K16" i="13"/>
  <c r="K22" i="14"/>
  <c r="K22" i="13"/>
  <c r="BD7" i="1"/>
  <c r="BK7" i="1" s="1"/>
  <c r="BL7" i="1" s="1"/>
  <c r="BC17" i="1"/>
  <c r="Z29" i="1"/>
  <c r="Z65" i="1"/>
  <c r="Z77" i="1"/>
  <c r="BI6" i="2"/>
  <c r="BI10" i="2"/>
  <c r="BJ10" i="2" s="1"/>
  <c r="BK11" i="2"/>
  <c r="BL11" i="2" s="1"/>
  <c r="BE53" i="2"/>
  <c r="BC65" i="2"/>
  <c r="BC77" i="2"/>
  <c r="W4" i="4"/>
  <c r="W55" i="4"/>
  <c r="AL76" i="4"/>
  <c r="W76" i="4"/>
  <c r="C76" i="4"/>
  <c r="R84" i="4"/>
  <c r="S82" i="4"/>
  <c r="H29" i="7"/>
  <c r="I29" i="3"/>
  <c r="G30" i="6"/>
  <c r="H29" i="5"/>
  <c r="P137" i="4"/>
  <c r="B143" i="4"/>
  <c r="R145" i="4" s="1"/>
  <c r="C145" i="4"/>
  <c r="K24" i="14"/>
  <c r="K24" i="13"/>
  <c r="BK9" i="2"/>
  <c r="BL9" i="2" s="1"/>
  <c r="BK14" i="2"/>
  <c r="BL14" i="2" s="1"/>
  <c r="E8" i="14"/>
  <c r="E8" i="13"/>
  <c r="D53" i="4"/>
  <c r="B53" i="4"/>
  <c r="C4" i="4"/>
  <c r="G12" i="12"/>
  <c r="G13" i="12" s="1"/>
  <c r="G45" i="12" s="1"/>
  <c r="G22" i="7"/>
  <c r="G23" i="7" s="1"/>
  <c r="G110" i="7" s="1"/>
  <c r="G20" i="14"/>
  <c r="G20" i="13"/>
  <c r="I6" i="12"/>
  <c r="I7" i="12" s="1"/>
  <c r="G54" i="12" s="1"/>
  <c r="I20" i="7"/>
  <c r="I21" i="7" s="1"/>
  <c r="G105" i="7" s="1"/>
  <c r="AH137" i="4"/>
  <c r="K4" i="14"/>
  <c r="K4" i="13"/>
  <c r="BI6" i="1"/>
  <c r="BJ6" i="1" s="1"/>
  <c r="H10" i="1"/>
  <c r="BI14" i="1"/>
  <c r="BJ14" i="1" s="1"/>
  <c r="Z17" i="1"/>
  <c r="BE41" i="1"/>
  <c r="BD65" i="1"/>
  <c r="BE65" i="1" s="1"/>
  <c r="BC77" i="1"/>
  <c r="H5" i="2"/>
  <c r="H6" i="2"/>
  <c r="H11" i="2"/>
  <c r="BI14" i="2"/>
  <c r="BJ14" i="2" s="1"/>
  <c r="BD17" i="2"/>
  <c r="BC17" i="2"/>
  <c r="BA7" i="4"/>
  <c r="R7" i="4"/>
  <c r="AQ7" i="4"/>
  <c r="C7" i="4"/>
  <c r="AQ55" i="4"/>
  <c r="B82" i="4"/>
  <c r="AL84" i="4" s="1"/>
  <c r="K20" i="14"/>
  <c r="K20" i="13"/>
  <c r="BI5" i="1"/>
  <c r="H7" i="1"/>
  <c r="H9" i="1"/>
  <c r="H11" i="1"/>
  <c r="Z65" i="2"/>
  <c r="Z77" i="2"/>
  <c r="BI7" i="2"/>
  <c r="BJ7" i="2" s="1"/>
  <c r="BD7" i="2"/>
  <c r="BK7" i="2" s="1"/>
  <c r="BL7" i="2" s="1"/>
  <c r="BD10" i="2"/>
  <c r="BK10" i="2" s="1"/>
  <c r="BL10" i="2" s="1"/>
  <c r="BI11" i="2"/>
  <c r="BJ11" i="2" s="1"/>
  <c r="Z29" i="2"/>
  <c r="BE29" i="2"/>
  <c r="BC53" i="2"/>
  <c r="BE65" i="2"/>
  <c r="BD78" i="2"/>
  <c r="BE77" i="2" s="1"/>
  <c r="I5" i="4"/>
  <c r="I162" i="4"/>
  <c r="AB4" i="4"/>
  <c r="AW5" i="4"/>
  <c r="AW162" i="4"/>
  <c r="AL7" i="4"/>
  <c r="M55" i="4"/>
  <c r="N53" i="4"/>
  <c r="M4" i="4"/>
  <c r="N137" i="4" s="1"/>
  <c r="BA55" i="4"/>
  <c r="BA4" i="4"/>
  <c r="BB137" i="4" s="1"/>
  <c r="C55" i="4"/>
  <c r="H76" i="4"/>
  <c r="AB76" i="4"/>
  <c r="AV76" i="4"/>
  <c r="R76" i="4"/>
  <c r="I82" i="4"/>
  <c r="H84" i="4"/>
  <c r="AW82" i="4"/>
  <c r="AV84" i="4"/>
  <c r="B137" i="4"/>
  <c r="AG139" i="4" s="1"/>
  <c r="C139" i="4"/>
  <c r="D137" i="4"/>
  <c r="AR137" i="4"/>
  <c r="S143" i="4"/>
  <c r="AG145" i="4"/>
  <c r="T143" i="4"/>
  <c r="AN143" i="4"/>
  <c r="K8" i="13"/>
  <c r="K8" i="14"/>
  <c r="K12" i="14"/>
  <c r="K12" i="13"/>
  <c r="D22" i="3"/>
  <c r="D20" i="3"/>
  <c r="D10" i="3"/>
  <c r="D18" i="3"/>
  <c r="D5" i="4"/>
  <c r="I53" i="4"/>
  <c r="R55" i="4"/>
  <c r="S53" i="4"/>
  <c r="AL55" i="4"/>
  <c r="AL3" i="4"/>
  <c r="AM53" i="4"/>
  <c r="AW53" i="4"/>
  <c r="F29" i="7"/>
  <c r="F29" i="5"/>
  <c r="H29" i="3"/>
  <c r="C84" i="4"/>
  <c r="D82" i="4"/>
  <c r="N82" i="4"/>
  <c r="W84" i="4"/>
  <c r="X82" i="4"/>
  <c r="AH82" i="4"/>
  <c r="AQ84" i="4"/>
  <c r="AR82" i="4"/>
  <c r="E137" i="4"/>
  <c r="Y137" i="4"/>
  <c r="AS137" i="4"/>
  <c r="H145" i="4"/>
  <c r="AB145" i="4"/>
  <c r="AV145" i="4"/>
  <c r="J29" i="7"/>
  <c r="J29" i="5"/>
  <c r="R164" i="4"/>
  <c r="C24" i="5"/>
  <c r="C16" i="5"/>
  <c r="C8" i="5"/>
  <c r="C22" i="5"/>
  <c r="C14" i="5"/>
  <c r="C6" i="5"/>
  <c r="C20" i="5"/>
  <c r="C12" i="5"/>
  <c r="C4" i="5"/>
  <c r="AB55" i="4"/>
  <c r="J53" i="4"/>
  <c r="AD53" i="4"/>
  <c r="AD4" i="4" s="1"/>
  <c r="AX53" i="4"/>
  <c r="M76" i="4"/>
  <c r="AG76" i="4"/>
  <c r="BA76" i="4"/>
  <c r="M84" i="4"/>
  <c r="BA84" i="4"/>
  <c r="T82" i="4"/>
  <c r="AN82" i="4"/>
  <c r="AN4" i="4" s="1"/>
  <c r="E82" i="4"/>
  <c r="Y82" i="4"/>
  <c r="AS82" i="4"/>
  <c r="AS4" i="4" s="1"/>
  <c r="J82" i="4"/>
  <c r="AD82" i="4"/>
  <c r="AX82" i="4"/>
  <c r="H139" i="4"/>
  <c r="AB139" i="4"/>
  <c r="AV139" i="4"/>
  <c r="I29" i="7"/>
  <c r="H30" i="6"/>
  <c r="I29" i="5"/>
  <c r="I143" i="4"/>
  <c r="AM143" i="4"/>
  <c r="AW143" i="4"/>
  <c r="O143" i="4"/>
  <c r="AI143" i="4"/>
  <c r="BC143" i="4"/>
  <c r="BC4" i="4" s="1"/>
  <c r="E30" i="6"/>
  <c r="C24" i="6"/>
  <c r="F30" i="6"/>
  <c r="J30" i="6"/>
  <c r="C24" i="11"/>
  <c r="C16" i="11"/>
  <c r="C8" i="11"/>
  <c r="C22" i="11"/>
  <c r="C14" i="11"/>
  <c r="C6" i="11"/>
  <c r="C12" i="11"/>
  <c r="C10" i="11"/>
  <c r="C20" i="11"/>
  <c r="C4" i="11"/>
  <c r="E29" i="5"/>
  <c r="C10" i="6"/>
  <c r="C18" i="6"/>
  <c r="C8" i="7"/>
  <c r="C4" i="6"/>
  <c r="C12" i="6"/>
  <c r="D30" i="6"/>
  <c r="C24" i="7"/>
  <c r="C22" i="7"/>
  <c r="C10" i="7"/>
  <c r="C18" i="7"/>
  <c r="D14" i="8"/>
  <c r="D10" i="8"/>
  <c r="D6" i="8"/>
  <c r="D13" i="8"/>
  <c r="D9" i="8"/>
  <c r="D5" i="8"/>
  <c r="D12" i="8"/>
  <c r="D8" i="8"/>
  <c r="D4" i="8"/>
  <c r="C12" i="9"/>
  <c r="C6" i="10"/>
  <c r="C14" i="10"/>
  <c r="C22" i="10"/>
  <c r="C24" i="10"/>
  <c r="F35" i="8"/>
  <c r="C8" i="10"/>
  <c r="C16" i="10"/>
  <c r="C24" i="13"/>
  <c r="C16" i="13"/>
  <c r="C8" i="13"/>
  <c r="C22" i="13"/>
  <c r="C14" i="13"/>
  <c r="C6" i="13"/>
  <c r="C20" i="13"/>
  <c r="C12" i="13"/>
  <c r="C4" i="13"/>
  <c r="C18" i="13"/>
  <c r="C10" i="13"/>
  <c r="C10" i="10"/>
  <c r="B4" i="32"/>
  <c r="C5" i="32"/>
  <c r="C24" i="12"/>
  <c r="C22" i="12"/>
  <c r="C10" i="12"/>
  <c r="C18" i="12"/>
  <c r="C24" i="14"/>
  <c r="C16" i="14"/>
  <c r="C8" i="14"/>
  <c r="C22" i="14"/>
  <c r="C14" i="14"/>
  <c r="C20" i="14"/>
  <c r="C10" i="14"/>
  <c r="C18" i="14"/>
  <c r="C6" i="14"/>
  <c r="C12" i="14"/>
  <c r="C4" i="14"/>
  <c r="C4" i="12"/>
  <c r="C12" i="12"/>
  <c r="C20" i="12"/>
  <c r="U28" i="32"/>
  <c r="T4" i="32"/>
  <c r="B2" i="38"/>
  <c r="K2" i="38" s="1"/>
  <c r="K4" i="38" s="1"/>
  <c r="C10" i="30"/>
  <c r="C8" i="30"/>
  <c r="C6" i="30"/>
  <c r="F5" i="32"/>
  <c r="AF4" i="32"/>
  <c r="U5" i="32"/>
  <c r="C28" i="32"/>
  <c r="U45" i="32"/>
  <c r="C2" i="38"/>
  <c r="E6" i="30"/>
  <c r="E8" i="30"/>
  <c r="E4" i="32"/>
  <c r="I24" i="12" l="1"/>
  <c r="I25" i="12" s="1"/>
  <c r="G103" i="12" s="1"/>
  <c r="I24" i="7"/>
  <c r="I25" i="7" s="1"/>
  <c r="G119" i="7" s="1"/>
  <c r="BD53" i="4"/>
  <c r="BD82" i="4"/>
  <c r="BD74" i="4"/>
  <c r="BD137" i="4"/>
  <c r="BD5" i="4"/>
  <c r="BD162" i="4"/>
  <c r="H18" i="14"/>
  <c r="H18" i="13"/>
  <c r="I16" i="14"/>
  <c r="I16" i="13"/>
  <c r="I4" i="12"/>
  <c r="I5" i="12" s="1"/>
  <c r="G33" i="12" s="1"/>
  <c r="I16" i="7"/>
  <c r="I17" i="7" s="1"/>
  <c r="G91" i="7" s="1"/>
  <c r="AT53" i="4"/>
  <c r="AT5" i="4"/>
  <c r="AT143" i="4"/>
  <c r="AT162" i="4"/>
  <c r="AT74" i="4"/>
  <c r="AO74" i="4"/>
  <c r="AO162" i="4"/>
  <c r="AO53" i="4"/>
  <c r="AO137" i="4"/>
  <c r="AO5" i="4"/>
  <c r="AE162" i="4"/>
  <c r="AE143" i="4"/>
  <c r="AE137" i="4"/>
  <c r="AE5" i="4"/>
  <c r="AE74" i="4"/>
  <c r="H18" i="12"/>
  <c r="H19" i="12" s="1"/>
  <c r="G81" i="12" s="1"/>
  <c r="H8" i="7"/>
  <c r="H9" i="7" s="1"/>
  <c r="G62" i="7" s="1"/>
  <c r="E16" i="10"/>
  <c r="E16" i="11"/>
  <c r="D16" i="6"/>
  <c r="G8" i="3"/>
  <c r="E16" i="5"/>
  <c r="I8" i="14"/>
  <c r="I8" i="13"/>
  <c r="K53" i="4"/>
  <c r="AT137" i="4"/>
  <c r="I14" i="12"/>
  <c r="I15" i="12" s="1"/>
  <c r="G61" i="12" s="1"/>
  <c r="I10" i="7"/>
  <c r="I11" i="7" s="1"/>
  <c r="G70" i="7" s="1"/>
  <c r="AC5" i="4"/>
  <c r="AC162" i="4"/>
  <c r="AC137" i="4"/>
  <c r="AC74" i="4"/>
  <c r="E24" i="14"/>
  <c r="E24" i="13"/>
  <c r="F14" i="12"/>
  <c r="F15" i="12" s="1"/>
  <c r="G58" i="12" s="1"/>
  <c r="F10" i="7"/>
  <c r="F11" i="7" s="1"/>
  <c r="G67" i="7" s="1"/>
  <c r="BJ6" i="2"/>
  <c r="BI4" i="2"/>
  <c r="BJ4" i="2" s="1"/>
  <c r="I6" i="14"/>
  <c r="I6" i="13"/>
  <c r="F16" i="14"/>
  <c r="F16" i="13"/>
  <c r="E20" i="7"/>
  <c r="E6" i="12"/>
  <c r="S4" i="4"/>
  <c r="H4" i="1"/>
  <c r="H16" i="11"/>
  <c r="H17" i="11" s="1"/>
  <c r="G99" i="11" s="1"/>
  <c r="H16" i="10"/>
  <c r="H17" i="10" s="1"/>
  <c r="G78" i="10" s="1"/>
  <c r="H16" i="5"/>
  <c r="H17" i="5" s="1"/>
  <c r="G48" i="5" s="1"/>
  <c r="G16" i="6"/>
  <c r="G17" i="6" s="1"/>
  <c r="F46" i="6" s="1"/>
  <c r="I8" i="3"/>
  <c r="E23" i="13"/>
  <c r="L97" i="13"/>
  <c r="E7" i="13"/>
  <c r="L41" i="13"/>
  <c r="BK6" i="1"/>
  <c r="BL6" i="1" s="1"/>
  <c r="C60" i="32"/>
  <c r="C8" i="32"/>
  <c r="C42" i="32"/>
  <c r="C22" i="32"/>
  <c r="AJ143" i="4"/>
  <c r="AC143" i="4"/>
  <c r="AY82" i="4"/>
  <c r="H24" i="14"/>
  <c r="H24" i="13"/>
  <c r="G4" i="14"/>
  <c r="G4" i="13"/>
  <c r="F14" i="14"/>
  <c r="F14" i="13"/>
  <c r="H20" i="14"/>
  <c r="H20" i="13"/>
  <c r="H4" i="12"/>
  <c r="H5" i="12" s="1"/>
  <c r="G32" i="12" s="1"/>
  <c r="H16" i="7"/>
  <c r="H17" i="7" s="1"/>
  <c r="G90" i="7" s="1"/>
  <c r="F10" i="13"/>
  <c r="F10" i="14"/>
  <c r="I12" i="14"/>
  <c r="I12" i="13"/>
  <c r="H8" i="14"/>
  <c r="H8" i="13"/>
  <c r="G14" i="14"/>
  <c r="G14" i="13"/>
  <c r="BB53" i="4"/>
  <c r="F4" i="14"/>
  <c r="F4" i="13"/>
  <c r="K12" i="12"/>
  <c r="K13" i="12" s="1"/>
  <c r="G49" i="12" s="1"/>
  <c r="K22" i="7"/>
  <c r="K23" i="7" s="1"/>
  <c r="G114" i="7" s="1"/>
  <c r="K174" i="14"/>
  <c r="K21" i="14"/>
  <c r="G97" i="14" s="1"/>
  <c r="F20" i="14"/>
  <c r="F20" i="13"/>
  <c r="E12" i="14"/>
  <c r="E12" i="13"/>
  <c r="B7" i="4"/>
  <c r="P82" i="4"/>
  <c r="L110" i="13"/>
  <c r="K25" i="13"/>
  <c r="G110" i="13" s="1"/>
  <c r="BB143" i="4"/>
  <c r="J10" i="14"/>
  <c r="J10" i="13"/>
  <c r="G12" i="14"/>
  <c r="G12" i="13"/>
  <c r="X5" i="4"/>
  <c r="X162" i="4"/>
  <c r="X74" i="4"/>
  <c r="K17" i="14"/>
  <c r="G83" i="14" s="1"/>
  <c r="K160" i="14"/>
  <c r="AH5" i="4"/>
  <c r="AH143" i="4"/>
  <c r="AH162" i="4"/>
  <c r="AH74" i="4"/>
  <c r="E4" i="14"/>
  <c r="E4" i="13"/>
  <c r="BK6" i="2"/>
  <c r="BL6" i="2" s="1"/>
  <c r="K153" i="14"/>
  <c r="K15" i="14"/>
  <c r="G76" i="14" s="1"/>
  <c r="K175" i="14"/>
  <c r="E23" i="14"/>
  <c r="K119" i="14"/>
  <c r="E7" i="14"/>
  <c r="AJ74" i="4"/>
  <c r="X143" i="4"/>
  <c r="BK5" i="1"/>
  <c r="J18" i="12"/>
  <c r="J19" i="12" s="1"/>
  <c r="G83" i="12" s="1"/>
  <c r="J8" i="7"/>
  <c r="J9" i="7" s="1"/>
  <c r="G64" i="7" s="1"/>
  <c r="AT82" i="4"/>
  <c r="G16" i="14"/>
  <c r="G16" i="13"/>
  <c r="H20" i="12"/>
  <c r="H21" i="12" s="1"/>
  <c r="G88" i="12" s="1"/>
  <c r="H14" i="7"/>
  <c r="H15" i="7" s="1"/>
  <c r="G83" i="7" s="1"/>
  <c r="F6" i="12"/>
  <c r="F7" i="12" s="1"/>
  <c r="G51" i="12" s="1"/>
  <c r="F20" i="7"/>
  <c r="F21" i="7" s="1"/>
  <c r="G102" i="7" s="1"/>
  <c r="AO143" i="4"/>
  <c r="BB5" i="4"/>
  <c r="BB162" i="4"/>
  <c r="BB74" i="4"/>
  <c r="L96" i="13"/>
  <c r="K21" i="13"/>
  <c r="G96" i="13" s="1"/>
  <c r="I10" i="12"/>
  <c r="I11" i="12" s="1"/>
  <c r="G75" i="12" s="1"/>
  <c r="I6" i="7"/>
  <c r="I4" i="11"/>
  <c r="I5" i="11" s="1"/>
  <c r="G86" i="11" s="1"/>
  <c r="I4" i="10"/>
  <c r="I5" i="10" s="1"/>
  <c r="G37" i="10" s="1"/>
  <c r="I4" i="5"/>
  <c r="I5" i="5" s="1"/>
  <c r="K14" i="3"/>
  <c r="H4" i="6"/>
  <c r="H5" i="6" s="1"/>
  <c r="H10" i="14"/>
  <c r="H10" i="13"/>
  <c r="L82" i="13"/>
  <c r="K17" i="13"/>
  <c r="G82" i="13" s="1"/>
  <c r="E16" i="14"/>
  <c r="E16" i="13"/>
  <c r="F4" i="11"/>
  <c r="F5" i="11" s="1"/>
  <c r="G83" i="11" s="1"/>
  <c r="F4" i="10"/>
  <c r="F5" i="10" s="1"/>
  <c r="G34" i="10" s="1"/>
  <c r="F4" i="5"/>
  <c r="F5" i="5" s="1"/>
  <c r="E4" i="6"/>
  <c r="E5" i="6" s="1"/>
  <c r="H14" i="3"/>
  <c r="C45" i="32"/>
  <c r="P143" i="4"/>
  <c r="J22" i="7"/>
  <c r="J23" i="7" s="1"/>
  <c r="G113" i="7" s="1"/>
  <c r="J12" i="12"/>
  <c r="J13" i="12" s="1"/>
  <c r="G48" i="12" s="1"/>
  <c r="I22" i="14"/>
  <c r="I22" i="13"/>
  <c r="AE82" i="4"/>
  <c r="H4" i="13"/>
  <c r="H4" i="14"/>
  <c r="AY53" i="4"/>
  <c r="AJ162" i="4"/>
  <c r="J22" i="14"/>
  <c r="J22" i="13"/>
  <c r="F137" i="4"/>
  <c r="H10" i="12"/>
  <c r="H11" i="12" s="1"/>
  <c r="G74" i="12" s="1"/>
  <c r="H6" i="7"/>
  <c r="H14" i="12"/>
  <c r="H15" i="12" s="1"/>
  <c r="G60" i="12" s="1"/>
  <c r="H10" i="7"/>
  <c r="H11" i="7" s="1"/>
  <c r="G69" i="7" s="1"/>
  <c r="F18" i="14"/>
  <c r="F18" i="13"/>
  <c r="F12" i="12"/>
  <c r="F13" i="12" s="1"/>
  <c r="G44" i="12" s="1"/>
  <c r="F22" i="7"/>
  <c r="F23" i="7" s="1"/>
  <c r="G109" i="7" s="1"/>
  <c r="K132" i="14"/>
  <c r="K9" i="14"/>
  <c r="G55" i="14" s="1"/>
  <c r="J16" i="14"/>
  <c r="J16" i="13"/>
  <c r="I20" i="12"/>
  <c r="I21" i="12" s="1"/>
  <c r="G89" i="12" s="1"/>
  <c r="I14" i="7"/>
  <c r="I15" i="7" s="1"/>
  <c r="G84" i="7" s="1"/>
  <c r="R139" i="4"/>
  <c r="BA139" i="4"/>
  <c r="AL139" i="4"/>
  <c r="M139" i="4"/>
  <c r="H12" i="12"/>
  <c r="H13" i="12" s="1"/>
  <c r="G46" i="12" s="1"/>
  <c r="H22" i="7"/>
  <c r="H23" i="7" s="1"/>
  <c r="G111" i="7" s="1"/>
  <c r="G8" i="13"/>
  <c r="G8" i="14"/>
  <c r="F24" i="14"/>
  <c r="F24" i="13"/>
  <c r="E18" i="14"/>
  <c r="E18" i="13"/>
  <c r="K22" i="12"/>
  <c r="K23" i="12" s="1"/>
  <c r="G98" i="12" s="1"/>
  <c r="K4" i="7"/>
  <c r="K5" i="7" s="1"/>
  <c r="G51" i="7" s="1"/>
  <c r="E22" i="7"/>
  <c r="E12" i="12"/>
  <c r="I4" i="4"/>
  <c r="Y4" i="4"/>
  <c r="E20" i="14"/>
  <c r="E20" i="13"/>
  <c r="H4" i="2"/>
  <c r="L92" i="13"/>
  <c r="G21" i="13"/>
  <c r="G92" i="13" s="1"/>
  <c r="D162" i="4"/>
  <c r="D74" i="4"/>
  <c r="D143" i="4"/>
  <c r="L48" i="13"/>
  <c r="E9" i="13"/>
  <c r="K188" i="14"/>
  <c r="K25" i="14"/>
  <c r="G111" i="14" s="1"/>
  <c r="AQ145" i="4"/>
  <c r="G6" i="13"/>
  <c r="G6" i="14"/>
  <c r="X53" i="4"/>
  <c r="L103" i="13"/>
  <c r="K23" i="13"/>
  <c r="G103" i="13" s="1"/>
  <c r="L47" i="13"/>
  <c r="K7" i="13"/>
  <c r="G47" i="13" s="1"/>
  <c r="AM5" i="4"/>
  <c r="AM74" i="4"/>
  <c r="AM162" i="4"/>
  <c r="AM137" i="4"/>
  <c r="BE5" i="1"/>
  <c r="BE4" i="1" s="1"/>
  <c r="K19" i="13"/>
  <c r="G89" i="13" s="1"/>
  <c r="L89" i="13"/>
  <c r="AR5" i="4"/>
  <c r="AR162" i="4"/>
  <c r="AR74" i="4"/>
  <c r="AR143" i="4"/>
  <c r="E15" i="13"/>
  <c r="L69" i="13"/>
  <c r="BA145" i="4"/>
  <c r="AJ53" i="4"/>
  <c r="BD143" i="4"/>
  <c r="K10" i="14"/>
  <c r="K10" i="13"/>
  <c r="J8" i="14"/>
  <c r="J8" i="13"/>
  <c r="H6" i="13"/>
  <c r="H6" i="14"/>
  <c r="F18" i="12"/>
  <c r="F19" i="12" s="1"/>
  <c r="G79" i="12" s="1"/>
  <c r="F8" i="7"/>
  <c r="F9" i="7" s="1"/>
  <c r="G60" i="7" s="1"/>
  <c r="K146" i="14"/>
  <c r="K13" i="14"/>
  <c r="G69" i="14" s="1"/>
  <c r="H22" i="12"/>
  <c r="H23" i="12" s="1"/>
  <c r="G95" i="12" s="1"/>
  <c r="H4" i="7"/>
  <c r="H5" i="7" s="1"/>
  <c r="G48" i="7" s="1"/>
  <c r="G22" i="14"/>
  <c r="G22" i="13"/>
  <c r="F4" i="12"/>
  <c r="F5" i="12" s="1"/>
  <c r="G30" i="12" s="1"/>
  <c r="F16" i="7"/>
  <c r="F17" i="7" s="1"/>
  <c r="G88" i="7" s="1"/>
  <c r="K118" i="14"/>
  <c r="K5" i="14"/>
  <c r="J12" i="14"/>
  <c r="J12" i="13"/>
  <c r="F6" i="14"/>
  <c r="F6" i="13"/>
  <c r="J18" i="14"/>
  <c r="J18" i="13"/>
  <c r="L75" i="13"/>
  <c r="K15" i="13"/>
  <c r="G75" i="13" s="1"/>
  <c r="T4" i="4"/>
  <c r="U143" i="4" s="1"/>
  <c r="F42" i="32"/>
  <c r="F22" i="32"/>
  <c r="F60" i="32"/>
  <c r="F8" i="32"/>
  <c r="F28" i="32"/>
  <c r="F45" i="32"/>
  <c r="U42" i="32"/>
  <c r="U60" i="32"/>
  <c r="U8" i="32"/>
  <c r="U22" i="32"/>
  <c r="J22" i="12"/>
  <c r="J23" i="12" s="1"/>
  <c r="G97" i="12" s="1"/>
  <c r="J4" i="7"/>
  <c r="J5" i="7" s="1"/>
  <c r="G50" i="7" s="1"/>
  <c r="I14" i="14"/>
  <c r="I14" i="13"/>
  <c r="AO82" i="4"/>
  <c r="G24" i="14"/>
  <c r="G24" i="13"/>
  <c r="AE53" i="4"/>
  <c r="P162" i="4"/>
  <c r="J14" i="14"/>
  <c r="J14" i="13"/>
  <c r="BB82" i="4"/>
  <c r="H8" i="12"/>
  <c r="H9" i="12" s="1"/>
  <c r="G39" i="12" s="1"/>
  <c r="H12" i="7"/>
  <c r="H13" i="7" s="1"/>
  <c r="G76" i="7" s="1"/>
  <c r="H12" i="14"/>
  <c r="H12" i="13"/>
  <c r="F22" i="12"/>
  <c r="F23" i="12" s="1"/>
  <c r="G93" i="12" s="1"/>
  <c r="F4" i="7"/>
  <c r="F5" i="7" s="1"/>
  <c r="G46" i="7" s="1"/>
  <c r="AC53" i="4"/>
  <c r="E14" i="12"/>
  <c r="E10" i="7"/>
  <c r="L68" i="13"/>
  <c r="K13" i="13"/>
  <c r="G68" i="13" s="1"/>
  <c r="L54" i="13"/>
  <c r="K9" i="13"/>
  <c r="G54" i="13" s="1"/>
  <c r="J6" i="12"/>
  <c r="J7" i="12" s="1"/>
  <c r="G55" i="12" s="1"/>
  <c r="J20" i="7"/>
  <c r="J21" i="7" s="1"/>
  <c r="G106" i="7" s="1"/>
  <c r="AQ139" i="4"/>
  <c r="H22" i="14"/>
  <c r="H22" i="13"/>
  <c r="G10" i="14"/>
  <c r="G10" i="13"/>
  <c r="F12" i="14"/>
  <c r="F12" i="13"/>
  <c r="N5" i="4"/>
  <c r="N74" i="4"/>
  <c r="N162" i="4"/>
  <c r="E22" i="12"/>
  <c r="AW4" i="4"/>
  <c r="E4" i="7"/>
  <c r="BJ5" i="1"/>
  <c r="BI4" i="1"/>
  <c r="BJ4" i="1" s="1"/>
  <c r="AG84" i="4"/>
  <c r="AB84" i="4"/>
  <c r="E4" i="4"/>
  <c r="J4" i="4"/>
  <c r="E10" i="13"/>
  <c r="E10" i="14"/>
  <c r="BK5" i="2"/>
  <c r="BE17" i="2"/>
  <c r="L40" i="13"/>
  <c r="K27" i="13"/>
  <c r="K5" i="13"/>
  <c r="G40" i="13" s="1"/>
  <c r="W145" i="4"/>
  <c r="K170" i="14"/>
  <c r="G21" i="14"/>
  <c r="G93" i="14" s="1"/>
  <c r="AV55" i="4"/>
  <c r="H55" i="4"/>
  <c r="K126" i="14"/>
  <c r="E9" i="14"/>
  <c r="N143" i="4"/>
  <c r="AJ137" i="4"/>
  <c r="H6" i="12"/>
  <c r="H7" i="12" s="1"/>
  <c r="G53" i="12" s="1"/>
  <c r="H20" i="7"/>
  <c r="H21" i="7" s="1"/>
  <c r="G104" i="7" s="1"/>
  <c r="G18" i="14"/>
  <c r="G18" i="13"/>
  <c r="K181" i="14"/>
  <c r="K23" i="14"/>
  <c r="G104" i="14" s="1"/>
  <c r="K125" i="14"/>
  <c r="K7" i="14"/>
  <c r="G48" i="14" s="1"/>
  <c r="X137" i="4"/>
  <c r="AC82" i="4"/>
  <c r="AH53" i="4"/>
  <c r="AX4" i="4"/>
  <c r="G6" i="12"/>
  <c r="G7" i="12" s="1"/>
  <c r="G52" i="12" s="1"/>
  <c r="G20" i="7"/>
  <c r="G21" i="7" s="1"/>
  <c r="G103" i="7" s="1"/>
  <c r="Z4" i="1"/>
  <c r="K167" i="14"/>
  <c r="K19" i="14"/>
  <c r="G90" i="14" s="1"/>
  <c r="AR53" i="4"/>
  <c r="K147" i="14"/>
  <c r="E15" i="14"/>
  <c r="M145" i="4"/>
  <c r="P5" i="4"/>
  <c r="BE5" i="2"/>
  <c r="BE4" i="2" s="1"/>
  <c r="P74" i="4"/>
  <c r="J10" i="11" l="1"/>
  <c r="J11" i="11" s="1"/>
  <c r="G73" i="11" s="1"/>
  <c r="J10" i="10"/>
  <c r="J11" i="10" s="1"/>
  <c r="G59" i="10" s="1"/>
  <c r="J10" i="5"/>
  <c r="J11" i="5" s="1"/>
  <c r="G99" i="5" s="1"/>
  <c r="F16" i="3"/>
  <c r="I10" i="6"/>
  <c r="I11" i="6" s="1"/>
  <c r="F97" i="6" s="1"/>
  <c r="G4" i="10"/>
  <c r="G5" i="10" s="1"/>
  <c r="G35" i="10" s="1"/>
  <c r="G4" i="11"/>
  <c r="G5" i="11" s="1"/>
  <c r="G84" i="11" s="1"/>
  <c r="F4" i="6"/>
  <c r="F5" i="6" s="1"/>
  <c r="G4" i="5"/>
  <c r="G5" i="5" s="1"/>
  <c r="E14" i="3"/>
  <c r="I8" i="12"/>
  <c r="I9" i="12" s="1"/>
  <c r="G40" i="12" s="1"/>
  <c r="I12" i="7"/>
  <c r="I13" i="7" s="1"/>
  <c r="G77" i="7" s="1"/>
  <c r="K133" i="14"/>
  <c r="E11" i="14"/>
  <c r="N10" i="14"/>
  <c r="G4" i="12"/>
  <c r="G5" i="12" s="1"/>
  <c r="G31" i="12" s="1"/>
  <c r="G16" i="7"/>
  <c r="G17" i="7" s="1"/>
  <c r="G89" i="7" s="1"/>
  <c r="E11" i="7"/>
  <c r="G25" i="14"/>
  <c r="G107" i="14" s="1"/>
  <c r="K184" i="14"/>
  <c r="J24" i="14"/>
  <c r="J24" i="13"/>
  <c r="Z5" i="4"/>
  <c r="Z74" i="4"/>
  <c r="Z143" i="4"/>
  <c r="Z53" i="4"/>
  <c r="Z162" i="4"/>
  <c r="L105" i="13"/>
  <c r="F25" i="13"/>
  <c r="G105" i="13" s="1"/>
  <c r="L81" i="13"/>
  <c r="J17" i="13"/>
  <c r="G81" i="13" s="1"/>
  <c r="F22" i="10"/>
  <c r="F23" i="10" s="1"/>
  <c r="G97" i="10" s="1"/>
  <c r="F22" i="11"/>
  <c r="F23" i="11" s="1"/>
  <c r="G104" i="11" s="1"/>
  <c r="E22" i="6"/>
  <c r="E23" i="6" s="1"/>
  <c r="F37" i="6" s="1"/>
  <c r="F22" i="5"/>
  <c r="F23" i="5" s="1"/>
  <c r="G39" i="5" s="1"/>
  <c r="H6" i="3"/>
  <c r="H14" i="11"/>
  <c r="H15" i="11" s="1"/>
  <c r="G50" i="11" s="1"/>
  <c r="H14" i="10"/>
  <c r="H15" i="10" s="1"/>
  <c r="G71" i="10" s="1"/>
  <c r="H14" i="5"/>
  <c r="H15" i="5" s="1"/>
  <c r="G90" i="5" s="1"/>
  <c r="I18" i="3"/>
  <c r="G14" i="6"/>
  <c r="G15" i="6" s="1"/>
  <c r="F88" i="6" s="1"/>
  <c r="BL5" i="1"/>
  <c r="BK4" i="1"/>
  <c r="G11" i="13"/>
  <c r="G57" i="13" s="1"/>
  <c r="L57" i="13"/>
  <c r="K4" i="10"/>
  <c r="K5" i="10" s="1"/>
  <c r="G39" i="10" s="1"/>
  <c r="K4" i="11"/>
  <c r="K5" i="11" s="1"/>
  <c r="G88" i="11" s="1"/>
  <c r="J4" i="6"/>
  <c r="J5" i="6" s="1"/>
  <c r="J14" i="3"/>
  <c r="K4" i="5"/>
  <c r="K5" i="5" s="1"/>
  <c r="K166" i="14"/>
  <c r="J19" i="14"/>
  <c r="G89" i="14" s="1"/>
  <c r="K145" i="14"/>
  <c r="J13" i="14"/>
  <c r="G68" i="14" s="1"/>
  <c r="J9" i="13"/>
  <c r="G53" i="13" s="1"/>
  <c r="L53" i="13"/>
  <c r="U82" i="4"/>
  <c r="G20" i="12"/>
  <c r="G21" i="12" s="1"/>
  <c r="G87" i="12" s="1"/>
  <c r="G14" i="7"/>
  <c r="G15" i="7" s="1"/>
  <c r="G82" i="7" s="1"/>
  <c r="G18" i="12"/>
  <c r="G19" i="12" s="1"/>
  <c r="G80" i="12" s="1"/>
  <c r="G8" i="7"/>
  <c r="G9" i="7" s="1"/>
  <c r="G61" i="7" s="1"/>
  <c r="L43" i="13"/>
  <c r="G7" i="13"/>
  <c r="G43" i="13" s="1"/>
  <c r="G48" i="13"/>
  <c r="G14" i="12"/>
  <c r="G15" i="12" s="1"/>
  <c r="G59" i="12" s="1"/>
  <c r="G10" i="7"/>
  <c r="G11" i="7" s="1"/>
  <c r="G68" i="7" s="1"/>
  <c r="K183" i="14"/>
  <c r="F25" i="14"/>
  <c r="G106" i="14" s="1"/>
  <c r="I10" i="14"/>
  <c r="I10" i="13"/>
  <c r="K159" i="14"/>
  <c r="J17" i="14"/>
  <c r="G82" i="14" s="1"/>
  <c r="L102" i="13"/>
  <c r="J23" i="13"/>
  <c r="G102" i="13" s="1"/>
  <c r="K115" i="14"/>
  <c r="H5" i="14"/>
  <c r="L101" i="13"/>
  <c r="I23" i="13"/>
  <c r="G101" i="13" s="1"/>
  <c r="J4" i="11"/>
  <c r="J5" i="11" s="1"/>
  <c r="G87" i="11" s="1"/>
  <c r="J4" i="10"/>
  <c r="J5" i="10" s="1"/>
  <c r="G38" i="10" s="1"/>
  <c r="J4" i="5"/>
  <c r="J5" i="5" s="1"/>
  <c r="I4" i="6"/>
  <c r="I5" i="6" s="1"/>
  <c r="F14" i="3"/>
  <c r="G81" i="5"/>
  <c r="K154" i="14"/>
  <c r="E17" i="14"/>
  <c r="H11" i="14"/>
  <c r="G59" i="14" s="1"/>
  <c r="K136" i="14"/>
  <c r="E24" i="12"/>
  <c r="E24" i="7"/>
  <c r="BB4" i="4"/>
  <c r="H20" i="11"/>
  <c r="H21" i="11" s="1"/>
  <c r="G78" i="11" s="1"/>
  <c r="G20" i="6"/>
  <c r="G21" i="6" s="1"/>
  <c r="F74" i="6" s="1"/>
  <c r="H20" i="10"/>
  <c r="H21" i="10" s="1"/>
  <c r="G92" i="10" s="1"/>
  <c r="H20" i="5"/>
  <c r="H21" i="5" s="1"/>
  <c r="G76" i="5" s="1"/>
  <c r="I22" i="3"/>
  <c r="J8" i="12"/>
  <c r="J9" i="12" s="1"/>
  <c r="G41" i="12" s="1"/>
  <c r="J12" i="7"/>
  <c r="J13" i="7" s="1"/>
  <c r="G78" i="7" s="1"/>
  <c r="E28" i="14"/>
  <c r="K112" i="14"/>
  <c r="E5" i="14"/>
  <c r="E10" i="12"/>
  <c r="E6" i="7"/>
  <c r="AH4" i="4"/>
  <c r="K8" i="12"/>
  <c r="K9" i="12" s="1"/>
  <c r="G42" i="12" s="1"/>
  <c r="K12" i="7"/>
  <c r="K13" i="7" s="1"/>
  <c r="G79" i="7" s="1"/>
  <c r="L60" i="13"/>
  <c r="J11" i="13"/>
  <c r="G60" i="13" s="1"/>
  <c r="K140" i="14"/>
  <c r="E13" i="14"/>
  <c r="N12" i="14"/>
  <c r="K113" i="14"/>
  <c r="F5" i="14"/>
  <c r="H9" i="13"/>
  <c r="G51" i="13" s="1"/>
  <c r="L51" i="13"/>
  <c r="L70" i="13"/>
  <c r="F15" i="13"/>
  <c r="G70" i="13" s="1"/>
  <c r="L107" i="13"/>
  <c r="H25" i="13"/>
  <c r="G107" i="13" s="1"/>
  <c r="J16" i="12"/>
  <c r="J17" i="12" s="1"/>
  <c r="G69" i="12" s="1"/>
  <c r="J18" i="7"/>
  <c r="J19" i="7" s="1"/>
  <c r="G99" i="7" s="1"/>
  <c r="G97" i="13"/>
  <c r="M6" i="12"/>
  <c r="E7" i="12"/>
  <c r="I7" i="13"/>
  <c r="G45" i="13" s="1"/>
  <c r="L45" i="13"/>
  <c r="G16" i="12"/>
  <c r="G17" i="12" s="1"/>
  <c r="G66" i="12" s="1"/>
  <c r="G18" i="7"/>
  <c r="G19" i="7" s="1"/>
  <c r="G96" i="7" s="1"/>
  <c r="L52" i="13"/>
  <c r="I9" i="13"/>
  <c r="G52" i="13" s="1"/>
  <c r="G9" i="3"/>
  <c r="M9" i="3" s="1"/>
  <c r="M8" i="3"/>
  <c r="N31" i="2"/>
  <c r="N31" i="1"/>
  <c r="I14" i="11"/>
  <c r="I15" i="11" s="1"/>
  <c r="G51" i="11" s="1"/>
  <c r="I14" i="10"/>
  <c r="I15" i="10" s="1"/>
  <c r="G72" i="10" s="1"/>
  <c r="I14" i="5"/>
  <c r="I15" i="5" s="1"/>
  <c r="G91" i="5" s="1"/>
  <c r="H14" i="6"/>
  <c r="H15" i="6" s="1"/>
  <c r="F89" i="6" s="1"/>
  <c r="K18" i="3"/>
  <c r="I18" i="11"/>
  <c r="I19" i="11" s="1"/>
  <c r="G44" i="11" s="1"/>
  <c r="H18" i="6"/>
  <c r="H19" i="6" s="1"/>
  <c r="F54" i="6" s="1"/>
  <c r="I18" i="10"/>
  <c r="I19" i="10" s="1"/>
  <c r="G86" i="10" s="1"/>
  <c r="I18" i="5"/>
  <c r="I19" i="5" s="1"/>
  <c r="G56" i="5" s="1"/>
  <c r="K10" i="3"/>
  <c r="G20" i="10"/>
  <c r="G21" i="10" s="1"/>
  <c r="G91" i="10" s="1"/>
  <c r="G20" i="11"/>
  <c r="G21" i="11" s="1"/>
  <c r="G77" i="11" s="1"/>
  <c r="F20" i="6"/>
  <c r="F21" i="6" s="1"/>
  <c r="F73" i="6" s="1"/>
  <c r="E22" i="3"/>
  <c r="G20" i="5"/>
  <c r="G21" i="5" s="1"/>
  <c r="G75" i="5" s="1"/>
  <c r="F20" i="11"/>
  <c r="F21" i="11" s="1"/>
  <c r="G76" i="11" s="1"/>
  <c r="F20" i="10"/>
  <c r="F21" i="10" s="1"/>
  <c r="G90" i="10" s="1"/>
  <c r="F20" i="5"/>
  <c r="F21" i="5" s="1"/>
  <c r="G74" i="5" s="1"/>
  <c r="H22" i="3"/>
  <c r="E20" i="6"/>
  <c r="E21" i="6" s="1"/>
  <c r="F72" i="6" s="1"/>
  <c r="K158" i="14"/>
  <c r="I17" i="14"/>
  <c r="G81" i="14" s="1"/>
  <c r="E24" i="10"/>
  <c r="E24" i="11"/>
  <c r="G24" i="3"/>
  <c r="D24" i="6"/>
  <c r="E24" i="5"/>
  <c r="BD4" i="4"/>
  <c r="F24" i="10"/>
  <c r="F25" i="10" s="1"/>
  <c r="G104" i="10" s="1"/>
  <c r="F24" i="11"/>
  <c r="F25" i="11" s="1"/>
  <c r="G62" i="11" s="1"/>
  <c r="E24" i="6"/>
  <c r="E25" i="6" s="1"/>
  <c r="F107" i="6" s="1"/>
  <c r="F24" i="5"/>
  <c r="F25" i="5" s="1"/>
  <c r="G109" i="5" s="1"/>
  <c r="H24" i="3"/>
  <c r="E5" i="7"/>
  <c r="M4" i="7"/>
  <c r="K141" i="14"/>
  <c r="F13" i="14"/>
  <c r="G64" i="14" s="1"/>
  <c r="K151" i="14"/>
  <c r="I15" i="14"/>
  <c r="G74" i="14" s="1"/>
  <c r="L67" i="13"/>
  <c r="J13" i="13"/>
  <c r="G67" i="13" s="1"/>
  <c r="H7" i="13"/>
  <c r="G44" i="13" s="1"/>
  <c r="L44" i="13"/>
  <c r="K182" i="14"/>
  <c r="E25" i="14"/>
  <c r="E16" i="12"/>
  <c r="AC4" i="4"/>
  <c r="E18" i="7"/>
  <c r="F8" i="11"/>
  <c r="F9" i="11" s="1"/>
  <c r="G34" i="11" s="1"/>
  <c r="E8" i="6"/>
  <c r="E9" i="6" s="1"/>
  <c r="F100" i="6" s="1"/>
  <c r="H20" i="3"/>
  <c r="F8" i="5"/>
  <c r="F9" i="5" s="1"/>
  <c r="G102" i="5" s="1"/>
  <c r="F8" i="10"/>
  <c r="F9" i="10" s="1"/>
  <c r="G48" i="10" s="1"/>
  <c r="E17" i="5"/>
  <c r="E17" i="10"/>
  <c r="E14" i="11"/>
  <c r="E14" i="10"/>
  <c r="E14" i="5"/>
  <c r="D14" i="6"/>
  <c r="AE4" i="4"/>
  <c r="G18" i="3"/>
  <c r="E18" i="11"/>
  <c r="D18" i="6"/>
  <c r="E18" i="10"/>
  <c r="E18" i="5"/>
  <c r="AO4" i="4"/>
  <c r="G10" i="3"/>
  <c r="G18" i="11"/>
  <c r="G19" i="11" s="1"/>
  <c r="G42" i="11" s="1"/>
  <c r="G18" i="10"/>
  <c r="G19" i="10" s="1"/>
  <c r="G84" i="10" s="1"/>
  <c r="G18" i="5"/>
  <c r="G19" i="5" s="1"/>
  <c r="G54" i="5" s="1"/>
  <c r="F18" i="6"/>
  <c r="F19" i="6" s="1"/>
  <c r="F52" i="6" s="1"/>
  <c r="E10" i="3"/>
  <c r="E20" i="11"/>
  <c r="E20" i="10"/>
  <c r="E20" i="5"/>
  <c r="G22" i="3"/>
  <c r="D20" i="6"/>
  <c r="AT4" i="4"/>
  <c r="L80" i="13"/>
  <c r="I17" i="13"/>
  <c r="G80" i="13" s="1"/>
  <c r="H24" i="11"/>
  <c r="H25" i="11" s="1"/>
  <c r="G64" i="11" s="1"/>
  <c r="H24" i="10"/>
  <c r="H25" i="10" s="1"/>
  <c r="G106" i="10" s="1"/>
  <c r="H24" i="5"/>
  <c r="H25" i="5" s="1"/>
  <c r="G111" i="5" s="1"/>
  <c r="G24" i="6"/>
  <c r="G25" i="6" s="1"/>
  <c r="F109" i="6" s="1"/>
  <c r="I24" i="3"/>
  <c r="G70" i="14"/>
  <c r="I16" i="10"/>
  <c r="I17" i="10" s="1"/>
  <c r="G79" i="10" s="1"/>
  <c r="I16" i="11"/>
  <c r="I17" i="11" s="1"/>
  <c r="G100" i="11" s="1"/>
  <c r="H16" i="6"/>
  <c r="H17" i="6" s="1"/>
  <c r="F47" i="6" s="1"/>
  <c r="I16" i="5"/>
  <c r="I17" i="5" s="1"/>
  <c r="G49" i="5" s="1"/>
  <c r="K8" i="3"/>
  <c r="E11" i="13"/>
  <c r="L55" i="13"/>
  <c r="M10" i="13"/>
  <c r="H16" i="14"/>
  <c r="H16" i="13"/>
  <c r="E4" i="12"/>
  <c r="E16" i="7"/>
  <c r="N4" i="4"/>
  <c r="I20" i="14"/>
  <c r="I20" i="13"/>
  <c r="E4" i="11"/>
  <c r="E4" i="10"/>
  <c r="E4" i="5"/>
  <c r="G14" i="3"/>
  <c r="D4" i="6"/>
  <c r="P4" i="4"/>
  <c r="F10" i="12"/>
  <c r="F11" i="12" s="1"/>
  <c r="G72" i="12" s="1"/>
  <c r="F6" i="7"/>
  <c r="K163" i="14"/>
  <c r="G19" i="14"/>
  <c r="G86" i="14" s="1"/>
  <c r="J4" i="12"/>
  <c r="J5" i="12" s="1"/>
  <c r="G34" i="12" s="1"/>
  <c r="J16" i="7"/>
  <c r="J17" i="7" s="1"/>
  <c r="G92" i="7" s="1"/>
  <c r="F8" i="13"/>
  <c r="F8" i="14"/>
  <c r="J6" i="14"/>
  <c r="J6" i="13"/>
  <c r="M6" i="13" s="1"/>
  <c r="K137" i="4"/>
  <c r="K5" i="4"/>
  <c r="K143" i="4"/>
  <c r="K74" i="4"/>
  <c r="K162" i="4"/>
  <c r="E23" i="12"/>
  <c r="M22" i="12"/>
  <c r="B55" i="4"/>
  <c r="K135" i="14"/>
  <c r="G11" i="14"/>
  <c r="G58" i="14" s="1"/>
  <c r="E15" i="12"/>
  <c r="L65" i="13"/>
  <c r="H13" i="13"/>
  <c r="G65" i="13" s="1"/>
  <c r="H24" i="12"/>
  <c r="H25" i="12" s="1"/>
  <c r="G102" i="12" s="1"/>
  <c r="H24" i="7"/>
  <c r="H25" i="7" s="1"/>
  <c r="G118" i="7" s="1"/>
  <c r="F14" i="10"/>
  <c r="F15" i="10" s="1"/>
  <c r="G69" i="10" s="1"/>
  <c r="E14" i="6"/>
  <c r="E15" i="6" s="1"/>
  <c r="F86" i="6" s="1"/>
  <c r="H18" i="3"/>
  <c r="F14" i="11"/>
  <c r="F15" i="11" s="1"/>
  <c r="G48" i="11" s="1"/>
  <c r="F14" i="5"/>
  <c r="F15" i="5" s="1"/>
  <c r="G88" i="5" s="1"/>
  <c r="K82" i="4"/>
  <c r="L42" i="13"/>
  <c r="F7" i="13"/>
  <c r="G42" i="13" s="1"/>
  <c r="G41" i="14"/>
  <c r="K131" i="14"/>
  <c r="J9" i="14"/>
  <c r="G54" i="14" s="1"/>
  <c r="J24" i="10"/>
  <c r="J25" i="10" s="1"/>
  <c r="G108" i="10" s="1"/>
  <c r="J24" i="11"/>
  <c r="J25" i="11" s="1"/>
  <c r="G66" i="11" s="1"/>
  <c r="I24" i="6"/>
  <c r="I25" i="6" s="1"/>
  <c r="F111" i="6" s="1"/>
  <c r="F24" i="3"/>
  <c r="J24" i="5"/>
  <c r="J25" i="5" s="1"/>
  <c r="G113" i="5" s="1"/>
  <c r="K20" i="12"/>
  <c r="K21" i="12" s="1"/>
  <c r="G91" i="12" s="1"/>
  <c r="K14" i="7"/>
  <c r="K15" i="7" s="1"/>
  <c r="G86" i="7" s="1"/>
  <c r="E18" i="12"/>
  <c r="E8" i="7"/>
  <c r="AM4" i="4"/>
  <c r="J20" i="14"/>
  <c r="J20" i="13"/>
  <c r="M20" i="13" s="1"/>
  <c r="K14" i="12"/>
  <c r="K15" i="12" s="1"/>
  <c r="G63" i="12" s="1"/>
  <c r="K10" i="7"/>
  <c r="K11" i="7" s="1"/>
  <c r="G72" i="7" s="1"/>
  <c r="E21" i="13"/>
  <c r="L90" i="13"/>
  <c r="M12" i="12"/>
  <c r="E13" i="12"/>
  <c r="E19" i="13"/>
  <c r="L83" i="13"/>
  <c r="K128" i="14"/>
  <c r="G9" i="14"/>
  <c r="G51" i="14" s="1"/>
  <c r="I4" i="13"/>
  <c r="I4" i="14"/>
  <c r="L84" i="13"/>
  <c r="F19" i="13"/>
  <c r="G84" i="13" s="1"/>
  <c r="H7" i="7"/>
  <c r="G55" i="7" s="1"/>
  <c r="K180" i="14"/>
  <c r="J23" i="14"/>
  <c r="G103" i="14" s="1"/>
  <c r="H27" i="13"/>
  <c r="H5" i="13"/>
  <c r="G37" i="13" s="1"/>
  <c r="L37" i="13"/>
  <c r="K179" i="14"/>
  <c r="I23" i="14"/>
  <c r="G102" i="14" s="1"/>
  <c r="F82" i="6"/>
  <c r="J18" i="11"/>
  <c r="J19" i="11" s="1"/>
  <c r="G45" i="11" s="1"/>
  <c r="J18" i="10"/>
  <c r="J19" i="10" s="1"/>
  <c r="G87" i="10" s="1"/>
  <c r="J18" i="5"/>
  <c r="J19" i="5" s="1"/>
  <c r="G57" i="5" s="1"/>
  <c r="I18" i="6"/>
  <c r="I19" i="6" s="1"/>
  <c r="F55" i="6" s="1"/>
  <c r="F10" i="3"/>
  <c r="G16" i="11"/>
  <c r="G17" i="11" s="1"/>
  <c r="G98" i="11" s="1"/>
  <c r="G16" i="10"/>
  <c r="G17" i="10" s="1"/>
  <c r="G77" i="10" s="1"/>
  <c r="G16" i="5"/>
  <c r="G17" i="5" s="1"/>
  <c r="G47" i="5" s="1"/>
  <c r="E8" i="3"/>
  <c r="F16" i="6"/>
  <c r="F17" i="6" s="1"/>
  <c r="F45" i="6" s="1"/>
  <c r="G10" i="12"/>
  <c r="G11" i="12" s="1"/>
  <c r="G73" i="12" s="1"/>
  <c r="G6" i="7"/>
  <c r="E8" i="12"/>
  <c r="X4" i="4"/>
  <c r="E12" i="7"/>
  <c r="J11" i="14"/>
  <c r="G61" i="14" s="1"/>
  <c r="K138" i="14"/>
  <c r="H4" i="11"/>
  <c r="H5" i="11" s="1"/>
  <c r="G85" i="11" s="1"/>
  <c r="G4" i="6"/>
  <c r="G5" i="6" s="1"/>
  <c r="H4" i="5"/>
  <c r="H5" i="5" s="1"/>
  <c r="H4" i="10"/>
  <c r="H5" i="10" s="1"/>
  <c r="G36" i="10" s="1"/>
  <c r="I14" i="3"/>
  <c r="L91" i="13"/>
  <c r="F21" i="13"/>
  <c r="G91" i="13" s="1"/>
  <c r="F24" i="12"/>
  <c r="F25" i="12" s="1"/>
  <c r="G100" i="12" s="1"/>
  <c r="F24" i="7"/>
  <c r="F25" i="7" s="1"/>
  <c r="G116" i="7" s="1"/>
  <c r="K129" i="14"/>
  <c r="H9" i="14"/>
  <c r="G52" i="14" s="1"/>
  <c r="K134" i="14"/>
  <c r="F11" i="14"/>
  <c r="G57" i="14" s="1"/>
  <c r="L93" i="13"/>
  <c r="H21" i="13"/>
  <c r="G93" i="13" s="1"/>
  <c r="K148" i="14"/>
  <c r="F15" i="14"/>
  <c r="G71" i="14" s="1"/>
  <c r="K185" i="14"/>
  <c r="H25" i="14"/>
  <c r="G108" i="14" s="1"/>
  <c r="J16" i="11"/>
  <c r="J17" i="11" s="1"/>
  <c r="G101" i="11" s="1"/>
  <c r="I16" i="6"/>
  <c r="I17" i="6" s="1"/>
  <c r="F48" i="6" s="1"/>
  <c r="J16" i="10"/>
  <c r="J17" i="10" s="1"/>
  <c r="G80" i="10" s="1"/>
  <c r="J16" i="5"/>
  <c r="J17" i="5" s="1"/>
  <c r="G50" i="5" s="1"/>
  <c r="F8" i="3"/>
  <c r="G41" i="13"/>
  <c r="I9" i="3"/>
  <c r="N55" i="2"/>
  <c r="N55" i="1"/>
  <c r="E21" i="7"/>
  <c r="M20" i="7"/>
  <c r="K123" i="14"/>
  <c r="I7" i="14"/>
  <c r="G46" i="14" s="1"/>
  <c r="I16" i="12"/>
  <c r="I17" i="12" s="1"/>
  <c r="G68" i="12" s="1"/>
  <c r="I18" i="7"/>
  <c r="I19" i="7" s="1"/>
  <c r="G98" i="7" s="1"/>
  <c r="I9" i="14"/>
  <c r="G53" i="14" s="1"/>
  <c r="K130" i="14"/>
  <c r="D17" i="6"/>
  <c r="J14" i="10"/>
  <c r="J15" i="10" s="1"/>
  <c r="G73" i="10" s="1"/>
  <c r="J14" i="11"/>
  <c r="J15" i="11" s="1"/>
  <c r="G52" i="11" s="1"/>
  <c r="I14" i="6"/>
  <c r="I15" i="6" s="1"/>
  <c r="F90" i="6" s="1"/>
  <c r="J14" i="5"/>
  <c r="J15" i="5" s="1"/>
  <c r="G92" i="5" s="1"/>
  <c r="F18" i="3"/>
  <c r="F18" i="11"/>
  <c r="F19" i="11" s="1"/>
  <c r="G41" i="11" s="1"/>
  <c r="F18" i="10"/>
  <c r="F19" i="10" s="1"/>
  <c r="G83" i="10" s="1"/>
  <c r="F18" i="5"/>
  <c r="F19" i="5" s="1"/>
  <c r="G53" i="5" s="1"/>
  <c r="H10" i="3"/>
  <c r="E18" i="6"/>
  <c r="E19" i="6" s="1"/>
  <c r="F51" i="6" s="1"/>
  <c r="K20" i="10"/>
  <c r="K21" i="10" s="1"/>
  <c r="G95" i="10" s="1"/>
  <c r="K20" i="11"/>
  <c r="K21" i="11" s="1"/>
  <c r="G81" i="11" s="1"/>
  <c r="J20" i="6"/>
  <c r="J21" i="6" s="1"/>
  <c r="F77" i="6" s="1"/>
  <c r="K20" i="5"/>
  <c r="K21" i="5" s="1"/>
  <c r="G79" i="5" s="1"/>
  <c r="J22" i="3"/>
  <c r="L86" i="13"/>
  <c r="H19" i="13"/>
  <c r="G86" i="13" s="1"/>
  <c r="I24" i="10"/>
  <c r="I25" i="10" s="1"/>
  <c r="G107" i="10" s="1"/>
  <c r="I24" i="11"/>
  <c r="I25" i="11" s="1"/>
  <c r="G65" i="11" s="1"/>
  <c r="K24" i="3"/>
  <c r="H24" i="6"/>
  <c r="H25" i="6" s="1"/>
  <c r="F110" i="6" s="1"/>
  <c r="I24" i="5"/>
  <c r="I25" i="5" s="1"/>
  <c r="G112" i="5" s="1"/>
  <c r="H14" i="14"/>
  <c r="H14" i="13"/>
  <c r="H23" i="14"/>
  <c r="G101" i="14" s="1"/>
  <c r="K178" i="14"/>
  <c r="K152" i="14"/>
  <c r="J15" i="14"/>
  <c r="G75" i="14" s="1"/>
  <c r="L88" i="13"/>
  <c r="J19" i="13"/>
  <c r="G88" i="13" s="1"/>
  <c r="K177" i="14"/>
  <c r="G23" i="14"/>
  <c r="G100" i="14" s="1"/>
  <c r="K139" i="14"/>
  <c r="K11" i="14"/>
  <c r="G62" i="14" s="1"/>
  <c r="J20" i="12"/>
  <c r="J21" i="12" s="1"/>
  <c r="G90" i="12" s="1"/>
  <c r="J14" i="7"/>
  <c r="J15" i="7" s="1"/>
  <c r="G85" i="7" s="1"/>
  <c r="K18" i="12"/>
  <c r="K19" i="12" s="1"/>
  <c r="G84" i="12" s="1"/>
  <c r="K8" i="7"/>
  <c r="K9" i="7" s="1"/>
  <c r="G65" i="7" s="1"/>
  <c r="K121" i="14"/>
  <c r="G7" i="14"/>
  <c r="G44" i="14" s="1"/>
  <c r="J14" i="12"/>
  <c r="J15" i="12" s="1"/>
  <c r="G62" i="12" s="1"/>
  <c r="J10" i="7"/>
  <c r="J11" i="7" s="1"/>
  <c r="G71" i="7" s="1"/>
  <c r="I24" i="14"/>
  <c r="I24" i="13"/>
  <c r="I12" i="11"/>
  <c r="I13" i="11" s="1"/>
  <c r="G58" i="11" s="1"/>
  <c r="I12" i="10"/>
  <c r="I13" i="10" s="1"/>
  <c r="G65" i="10" s="1"/>
  <c r="I12" i="5"/>
  <c r="I13" i="5" s="1"/>
  <c r="G63" i="5" s="1"/>
  <c r="K12" i="3"/>
  <c r="H12" i="6"/>
  <c r="H13" i="6" s="1"/>
  <c r="F61" i="6" s="1"/>
  <c r="F79" i="6"/>
  <c r="M16" i="13"/>
  <c r="L76" i="13"/>
  <c r="E17" i="13"/>
  <c r="L58" i="13"/>
  <c r="H11" i="13"/>
  <c r="G58" i="13" s="1"/>
  <c r="G84" i="5"/>
  <c r="K24" i="12"/>
  <c r="K25" i="12" s="1"/>
  <c r="G105" i="12" s="1"/>
  <c r="K24" i="7"/>
  <c r="K25" i="7" s="1"/>
  <c r="G121" i="7" s="1"/>
  <c r="K156" i="14"/>
  <c r="G17" i="14"/>
  <c r="G79" i="14" s="1"/>
  <c r="G42" i="14"/>
  <c r="E5" i="13"/>
  <c r="L34" i="13"/>
  <c r="M4" i="13"/>
  <c r="E27" i="13"/>
  <c r="J10" i="12"/>
  <c r="J11" i="12" s="1"/>
  <c r="G76" i="12" s="1"/>
  <c r="J6" i="7"/>
  <c r="G8" i="12"/>
  <c r="G9" i="12" s="1"/>
  <c r="G38" i="12" s="1"/>
  <c r="G12" i="7"/>
  <c r="G13" i="7" s="1"/>
  <c r="G75" i="7" s="1"/>
  <c r="K142" i="14"/>
  <c r="G13" i="14"/>
  <c r="G65" i="14" s="1"/>
  <c r="E13" i="13"/>
  <c r="M12" i="13"/>
  <c r="L62" i="13"/>
  <c r="F5" i="13"/>
  <c r="G35" i="13" s="1"/>
  <c r="F27" i="13"/>
  <c r="L35" i="13"/>
  <c r="K149" i="14"/>
  <c r="G15" i="14"/>
  <c r="G72" i="14" s="1"/>
  <c r="I13" i="14"/>
  <c r="G67" i="14" s="1"/>
  <c r="K144" i="14"/>
  <c r="Z137" i="4"/>
  <c r="G28" i="14"/>
  <c r="G5" i="14"/>
  <c r="K114" i="14"/>
  <c r="H22" i="11"/>
  <c r="H23" i="11" s="1"/>
  <c r="G106" i="11" s="1"/>
  <c r="H22" i="10"/>
  <c r="H23" i="10" s="1"/>
  <c r="G99" i="10" s="1"/>
  <c r="H22" i="5"/>
  <c r="H23" i="5" s="1"/>
  <c r="G41" i="5" s="1"/>
  <c r="G22" i="6"/>
  <c r="G23" i="6" s="1"/>
  <c r="F39" i="6" s="1"/>
  <c r="I6" i="3"/>
  <c r="K155" i="14"/>
  <c r="F17" i="14"/>
  <c r="G78" i="14" s="1"/>
  <c r="K24" i="11"/>
  <c r="K25" i="11" s="1"/>
  <c r="G67" i="11" s="1"/>
  <c r="K24" i="10"/>
  <c r="K25" i="10" s="1"/>
  <c r="G109" i="10" s="1"/>
  <c r="K24" i="5"/>
  <c r="K25" i="5" s="1"/>
  <c r="G114" i="5" s="1"/>
  <c r="J24" i="3"/>
  <c r="J24" i="6"/>
  <c r="J25" i="6" s="1"/>
  <c r="F112" i="6" s="1"/>
  <c r="AY5" i="4"/>
  <c r="AY162" i="4"/>
  <c r="AY74" i="4"/>
  <c r="AY143" i="4"/>
  <c r="AY137" i="4"/>
  <c r="G19" i="13"/>
  <c r="G85" i="13" s="1"/>
  <c r="L85" i="13"/>
  <c r="D4" i="4"/>
  <c r="H18" i="10"/>
  <c r="H19" i="10" s="1"/>
  <c r="G85" i="10" s="1"/>
  <c r="H18" i="11"/>
  <c r="H19" i="11" s="1"/>
  <c r="G43" i="11" s="1"/>
  <c r="G18" i="6"/>
  <c r="G19" i="6" s="1"/>
  <c r="F53" i="6" s="1"/>
  <c r="I10" i="3"/>
  <c r="H18" i="5"/>
  <c r="H19" i="5" s="1"/>
  <c r="G55" i="5" s="1"/>
  <c r="U74" i="4"/>
  <c r="U53" i="4"/>
  <c r="U5" i="4"/>
  <c r="U162" i="4"/>
  <c r="U137" i="4"/>
  <c r="J4" i="14"/>
  <c r="J4" i="13"/>
  <c r="F14" i="7"/>
  <c r="F15" i="7" s="1"/>
  <c r="G81" i="7" s="1"/>
  <c r="F20" i="12"/>
  <c r="F21" i="12" s="1"/>
  <c r="G86" i="12" s="1"/>
  <c r="H18" i="7"/>
  <c r="H19" i="7" s="1"/>
  <c r="G97" i="7" s="1"/>
  <c r="H16" i="12"/>
  <c r="H17" i="12" s="1"/>
  <c r="G67" i="12" s="1"/>
  <c r="G49" i="14"/>
  <c r="F22" i="14"/>
  <c r="F22" i="13"/>
  <c r="BL5" i="2"/>
  <c r="BK4" i="2"/>
  <c r="F53" i="4"/>
  <c r="F143" i="4"/>
  <c r="F74" i="4"/>
  <c r="F162" i="4"/>
  <c r="F5" i="4"/>
  <c r="K4" i="12"/>
  <c r="K5" i="12" s="1"/>
  <c r="G35" i="12" s="1"/>
  <c r="K16" i="7"/>
  <c r="K17" i="7" s="1"/>
  <c r="G93" i="7" s="1"/>
  <c r="L63" i="13"/>
  <c r="F13" i="13"/>
  <c r="G63" i="13" s="1"/>
  <c r="L100" i="13"/>
  <c r="H23" i="13"/>
  <c r="G100" i="13" s="1"/>
  <c r="F16" i="12"/>
  <c r="F17" i="12" s="1"/>
  <c r="G65" i="12" s="1"/>
  <c r="F18" i="7"/>
  <c r="F19" i="7" s="1"/>
  <c r="G95" i="7" s="1"/>
  <c r="K143" i="14"/>
  <c r="H13" i="14"/>
  <c r="G66" i="14" s="1"/>
  <c r="L74" i="13"/>
  <c r="J15" i="13"/>
  <c r="G74" i="13" s="1"/>
  <c r="G25" i="13"/>
  <c r="G106" i="13" s="1"/>
  <c r="L106" i="13"/>
  <c r="L73" i="13"/>
  <c r="I15" i="13"/>
  <c r="G73" i="13" s="1"/>
  <c r="K120" i="14"/>
  <c r="F7" i="14"/>
  <c r="G43" i="14" s="1"/>
  <c r="K28" i="14"/>
  <c r="G23" i="13"/>
  <c r="G99" i="13" s="1"/>
  <c r="L99" i="13"/>
  <c r="H7" i="14"/>
  <c r="G45" i="14" s="1"/>
  <c r="K122" i="14"/>
  <c r="K11" i="13"/>
  <c r="G61" i="13" s="1"/>
  <c r="L61" i="13"/>
  <c r="F16" i="11"/>
  <c r="F17" i="11" s="1"/>
  <c r="G97" i="11" s="1"/>
  <c r="E16" i="6"/>
  <c r="E17" i="6" s="1"/>
  <c r="F44" i="6" s="1"/>
  <c r="F16" i="10"/>
  <c r="F17" i="10" s="1"/>
  <c r="G76" i="10" s="1"/>
  <c r="F16" i="5"/>
  <c r="F17" i="5" s="1"/>
  <c r="G46" i="5" s="1"/>
  <c r="H8" i="3"/>
  <c r="G69" i="13"/>
  <c r="E20" i="12"/>
  <c r="E14" i="7"/>
  <c r="AR4" i="4"/>
  <c r="I18" i="12"/>
  <c r="I19" i="12" s="1"/>
  <c r="G82" i="12" s="1"/>
  <c r="I8" i="7"/>
  <c r="I9" i="7" s="1"/>
  <c r="G63" i="7" s="1"/>
  <c r="F8" i="12"/>
  <c r="F9" i="12" s="1"/>
  <c r="G37" i="12" s="1"/>
  <c r="F12" i="7"/>
  <c r="F13" i="7" s="1"/>
  <c r="G74" i="7" s="1"/>
  <c r="E21" i="14"/>
  <c r="N20" i="14"/>
  <c r="K168" i="14"/>
  <c r="E23" i="7"/>
  <c r="M22" i="7"/>
  <c r="K161" i="14"/>
  <c r="E19" i="14"/>
  <c r="L50" i="13"/>
  <c r="G9" i="13"/>
  <c r="G50" i="13" s="1"/>
  <c r="I18" i="14"/>
  <c r="N18" i="14" s="1"/>
  <c r="I18" i="13"/>
  <c r="F19" i="14"/>
  <c r="G85" i="14" s="1"/>
  <c r="K162" i="14"/>
  <c r="K16" i="11"/>
  <c r="K17" i="11" s="1"/>
  <c r="G102" i="11" s="1"/>
  <c r="K16" i="10"/>
  <c r="K17" i="10" s="1"/>
  <c r="G81" i="10" s="1"/>
  <c r="K16" i="5"/>
  <c r="K17" i="5" s="1"/>
  <c r="G51" i="5" s="1"/>
  <c r="J8" i="3"/>
  <c r="J16" i="6"/>
  <c r="J17" i="6" s="1"/>
  <c r="F49" i="6" s="1"/>
  <c r="F82" i="4"/>
  <c r="N46" i="2"/>
  <c r="H15" i="3"/>
  <c r="N46" i="1"/>
  <c r="K15" i="3"/>
  <c r="N82" i="2"/>
  <c r="N82" i="1"/>
  <c r="I27" i="7"/>
  <c r="I28" i="7" s="1"/>
  <c r="I30" i="7" s="1"/>
  <c r="I7" i="7"/>
  <c r="G56" i="7" s="1"/>
  <c r="G24" i="12"/>
  <c r="G25" i="12" s="1"/>
  <c r="G101" i="12" s="1"/>
  <c r="G24" i="7"/>
  <c r="G25" i="7" s="1"/>
  <c r="G117" i="7" s="1"/>
  <c r="G17" i="13"/>
  <c r="G78" i="13" s="1"/>
  <c r="L78" i="13"/>
  <c r="N6" i="14"/>
  <c r="G98" i="14"/>
  <c r="K10" i="12"/>
  <c r="K11" i="12" s="1"/>
  <c r="G77" i="12" s="1"/>
  <c r="K6" i="7"/>
  <c r="L64" i="13"/>
  <c r="G13" i="13"/>
  <c r="G64" i="13" s="1"/>
  <c r="J24" i="12"/>
  <c r="J25" i="12" s="1"/>
  <c r="G104" i="12" s="1"/>
  <c r="J24" i="7"/>
  <c r="J25" i="7" s="1"/>
  <c r="G120" i="7" s="1"/>
  <c r="K169" i="14"/>
  <c r="F21" i="14"/>
  <c r="G92" i="14" s="1"/>
  <c r="G15" i="13"/>
  <c r="G71" i="13" s="1"/>
  <c r="L71" i="13"/>
  <c r="L66" i="13"/>
  <c r="I13" i="13"/>
  <c r="G66" i="13" s="1"/>
  <c r="L56" i="13"/>
  <c r="F11" i="13"/>
  <c r="G56" i="13" s="1"/>
  <c r="K171" i="14"/>
  <c r="H21" i="14"/>
  <c r="G94" i="14" s="1"/>
  <c r="L36" i="13"/>
  <c r="G27" i="13"/>
  <c r="G5" i="13"/>
  <c r="G36" i="13" s="1"/>
  <c r="Z82" i="4"/>
  <c r="L77" i="13"/>
  <c r="F17" i="13"/>
  <c r="G77" i="13" s="1"/>
  <c r="M24" i="13"/>
  <c r="L104" i="13"/>
  <c r="E25" i="13"/>
  <c r="K18" i="7"/>
  <c r="K19" i="7" s="1"/>
  <c r="G100" i="7" s="1"/>
  <c r="K16" i="12"/>
  <c r="K17" i="12" s="1"/>
  <c r="G70" i="12" s="1"/>
  <c r="I20" i="11"/>
  <c r="I21" i="11" s="1"/>
  <c r="G79" i="11" s="1"/>
  <c r="I20" i="10"/>
  <c r="I21" i="10" s="1"/>
  <c r="G93" i="10" s="1"/>
  <c r="I20" i="5"/>
  <c r="I21" i="5" s="1"/>
  <c r="G77" i="5" s="1"/>
  <c r="K22" i="3"/>
  <c r="H20" i="6"/>
  <c r="H21" i="6" s="1"/>
  <c r="F75" i="6" s="1"/>
  <c r="AJ4" i="4"/>
  <c r="E17" i="11"/>
  <c r="G14" i="11"/>
  <c r="G15" i="11" s="1"/>
  <c r="G49" i="11" s="1"/>
  <c r="F14" i="6"/>
  <c r="F15" i="6" s="1"/>
  <c r="F87" i="6" s="1"/>
  <c r="G14" i="10"/>
  <c r="G15" i="10" s="1"/>
  <c r="G70" i="10" s="1"/>
  <c r="G14" i="5"/>
  <c r="G15" i="5" s="1"/>
  <c r="G89" i="5" s="1"/>
  <c r="E18" i="3"/>
  <c r="K14" i="11"/>
  <c r="K15" i="11" s="1"/>
  <c r="G53" i="11" s="1"/>
  <c r="J14" i="6"/>
  <c r="J15" i="6" s="1"/>
  <c r="F91" i="6" s="1"/>
  <c r="K14" i="10"/>
  <c r="K15" i="10" s="1"/>
  <c r="G74" i="10" s="1"/>
  <c r="K14" i="5"/>
  <c r="K15" i="5" s="1"/>
  <c r="G93" i="5" s="1"/>
  <c r="J18" i="3"/>
  <c r="K18" i="11"/>
  <c r="K19" i="11" s="1"/>
  <c r="G46" i="11" s="1"/>
  <c r="K18" i="10"/>
  <c r="K19" i="10" s="1"/>
  <c r="G88" i="10" s="1"/>
  <c r="K18" i="5"/>
  <c r="K19" i="5" s="1"/>
  <c r="G58" i="5" s="1"/>
  <c r="J18" i="6"/>
  <c r="J19" i="6" s="1"/>
  <c r="F56" i="6" s="1"/>
  <c r="J10" i="3"/>
  <c r="J20" i="11"/>
  <c r="J21" i="11" s="1"/>
  <c r="G80" i="11" s="1"/>
  <c r="J20" i="10"/>
  <c r="J21" i="10" s="1"/>
  <c r="G94" i="10" s="1"/>
  <c r="J20" i="5"/>
  <c r="J21" i="5" s="1"/>
  <c r="G78" i="5" s="1"/>
  <c r="I20" i="6"/>
  <c r="I21" i="6" s="1"/>
  <c r="F76" i="6" s="1"/>
  <c r="F22" i="3"/>
  <c r="K164" i="14"/>
  <c r="H19" i="14"/>
  <c r="G87" i="14" s="1"/>
  <c r="G24" i="11"/>
  <c r="G25" i="11" s="1"/>
  <c r="G63" i="11" s="1"/>
  <c r="G24" i="10"/>
  <c r="G25" i="10" s="1"/>
  <c r="G105" i="10" s="1"/>
  <c r="G24" i="5"/>
  <c r="G25" i="5" s="1"/>
  <c r="G110" i="5" s="1"/>
  <c r="F24" i="6"/>
  <c r="F25" i="6" s="1"/>
  <c r="F108" i="6" s="1"/>
  <c r="E24" i="3"/>
  <c r="H12" i="11" l="1"/>
  <c r="H13" i="11" s="1"/>
  <c r="G57" i="11" s="1"/>
  <c r="G12" i="6"/>
  <c r="G13" i="6" s="1"/>
  <c r="F60" i="6" s="1"/>
  <c r="H12" i="10"/>
  <c r="H13" i="10" s="1"/>
  <c r="G64" i="10" s="1"/>
  <c r="H12" i="5"/>
  <c r="H13" i="5" s="1"/>
  <c r="G62" i="5" s="1"/>
  <c r="I12" i="3"/>
  <c r="L87" i="13"/>
  <c r="I19" i="13"/>
  <c r="G87" i="13" s="1"/>
  <c r="G108" i="7"/>
  <c r="H108" i="7" s="1"/>
  <c r="M23" i="7"/>
  <c r="K12" i="10"/>
  <c r="K13" i="10" s="1"/>
  <c r="G67" i="10" s="1"/>
  <c r="K12" i="11"/>
  <c r="K13" i="11" s="1"/>
  <c r="G60" i="11" s="1"/>
  <c r="J12" i="6"/>
  <c r="J13" i="6" s="1"/>
  <c r="F63" i="6" s="1"/>
  <c r="J12" i="3"/>
  <c r="K12" i="5"/>
  <c r="K13" i="5" s="1"/>
  <c r="G65" i="5" s="1"/>
  <c r="BL4" i="2"/>
  <c r="BM4" i="2"/>
  <c r="BI16" i="2" s="1"/>
  <c r="BJ16" i="2" s="1"/>
  <c r="I10" i="11"/>
  <c r="I11" i="11" s="1"/>
  <c r="G72" i="11" s="1"/>
  <c r="H10" i="6"/>
  <c r="H11" i="6" s="1"/>
  <c r="F96" i="6" s="1"/>
  <c r="I10" i="10"/>
  <c r="I11" i="10" s="1"/>
  <c r="G58" i="10" s="1"/>
  <c r="I10" i="5"/>
  <c r="I11" i="5" s="1"/>
  <c r="G98" i="5" s="1"/>
  <c r="K16" i="3"/>
  <c r="G10" i="11"/>
  <c r="G11" i="11" s="1"/>
  <c r="G70" i="11" s="1"/>
  <c r="G10" i="10"/>
  <c r="G11" i="10" s="1"/>
  <c r="G56" i="10" s="1"/>
  <c r="G10" i="5"/>
  <c r="G11" i="5" s="1"/>
  <c r="G96" i="5" s="1"/>
  <c r="F10" i="6"/>
  <c r="F11" i="6" s="1"/>
  <c r="F94" i="6" s="1"/>
  <c r="E16" i="3"/>
  <c r="K22" i="11"/>
  <c r="K23" i="11" s="1"/>
  <c r="G109" i="11" s="1"/>
  <c r="K22" i="10"/>
  <c r="K23" i="10" s="1"/>
  <c r="G102" i="10" s="1"/>
  <c r="J22" i="6"/>
  <c r="J23" i="6" s="1"/>
  <c r="F42" i="6" s="1"/>
  <c r="K22" i="5"/>
  <c r="K23" i="5" s="1"/>
  <c r="G44" i="5" s="1"/>
  <c r="J6" i="3"/>
  <c r="G27" i="14"/>
  <c r="G37" i="14"/>
  <c r="G62" i="13"/>
  <c r="H62" i="13" s="1"/>
  <c r="M13" i="13"/>
  <c r="K186" i="14"/>
  <c r="I25" i="14"/>
  <c r="G109" i="14" s="1"/>
  <c r="K150" i="14"/>
  <c r="H15" i="14"/>
  <c r="G73" i="14" s="1"/>
  <c r="N14" i="14"/>
  <c r="N74" i="1"/>
  <c r="N74" i="2"/>
  <c r="J23" i="3"/>
  <c r="F43" i="6"/>
  <c r="G101" i="7"/>
  <c r="H101" i="7" s="1"/>
  <c r="M21" i="7"/>
  <c r="F81" i="6"/>
  <c r="E13" i="7"/>
  <c r="M12" i="7"/>
  <c r="K116" i="14"/>
  <c r="I28" i="14"/>
  <c r="I5" i="14"/>
  <c r="M18" i="13"/>
  <c r="K173" i="14"/>
  <c r="J21" i="14"/>
  <c r="G96" i="14" s="1"/>
  <c r="H19" i="3"/>
  <c r="N48" i="2"/>
  <c r="N48" i="1"/>
  <c r="G57" i="12"/>
  <c r="H57" i="12" s="1"/>
  <c r="M15" i="12"/>
  <c r="J8" i="11"/>
  <c r="J9" i="11" s="1"/>
  <c r="G38" i="11" s="1"/>
  <c r="I8" i="6"/>
  <c r="I9" i="6" s="1"/>
  <c r="F104" i="6" s="1"/>
  <c r="J8" i="10"/>
  <c r="J9" i="10" s="1"/>
  <c r="G52" i="10" s="1"/>
  <c r="J8" i="5"/>
  <c r="J9" i="5" s="1"/>
  <c r="G106" i="5" s="1"/>
  <c r="F20" i="3"/>
  <c r="K124" i="14"/>
  <c r="J7" i="14"/>
  <c r="G47" i="14" s="1"/>
  <c r="E5" i="5"/>
  <c r="M4" i="5"/>
  <c r="K172" i="14"/>
  <c r="I21" i="14"/>
  <c r="G95" i="14" s="1"/>
  <c r="L79" i="13"/>
  <c r="H17" i="13"/>
  <c r="G79" i="13" s="1"/>
  <c r="G55" i="13"/>
  <c r="H55" i="13" s="1"/>
  <c r="N63" i="2"/>
  <c r="N63" i="1"/>
  <c r="I25" i="3"/>
  <c r="D21" i="6"/>
  <c r="E21" i="11"/>
  <c r="M20" i="11"/>
  <c r="E19" i="5"/>
  <c r="M18" i="5"/>
  <c r="M18" i="3"/>
  <c r="G19" i="3"/>
  <c r="M19" i="3" s="1"/>
  <c r="N36" i="2"/>
  <c r="N36" i="1"/>
  <c r="E15" i="10"/>
  <c r="M14" i="10"/>
  <c r="G45" i="5"/>
  <c r="M17" i="5"/>
  <c r="H21" i="3"/>
  <c r="N49" i="2"/>
  <c r="N49" i="1"/>
  <c r="N24" i="14"/>
  <c r="M24" i="11"/>
  <c r="E25" i="11"/>
  <c r="P31" i="1"/>
  <c r="Q31" i="1"/>
  <c r="N4" i="14"/>
  <c r="E25" i="12"/>
  <c r="M24" i="12"/>
  <c r="N22" i="2"/>
  <c r="F15" i="3"/>
  <c r="N22" i="1"/>
  <c r="H28" i="14"/>
  <c r="G86" i="5"/>
  <c r="F6" i="10"/>
  <c r="F7" i="10" s="1"/>
  <c r="G41" i="10" s="1"/>
  <c r="F6" i="11"/>
  <c r="F7" i="11" s="1"/>
  <c r="G90" i="11" s="1"/>
  <c r="E6" i="6"/>
  <c r="F6" i="5"/>
  <c r="F7" i="5" s="1"/>
  <c r="H4" i="3"/>
  <c r="L109" i="13"/>
  <c r="J25" i="13"/>
  <c r="G109" i="13" s="1"/>
  <c r="G66" i="7"/>
  <c r="H66" i="7" s="1"/>
  <c r="M11" i="7"/>
  <c r="F17" i="3"/>
  <c r="N23" i="2"/>
  <c r="N23" i="1"/>
  <c r="N26" i="2"/>
  <c r="F23" i="3"/>
  <c r="N26" i="1"/>
  <c r="K23" i="3"/>
  <c r="N86" i="2"/>
  <c r="N86" i="1"/>
  <c r="K10" i="11"/>
  <c r="K11" i="11" s="1"/>
  <c r="G74" i="11" s="1"/>
  <c r="K10" i="10"/>
  <c r="K11" i="10" s="1"/>
  <c r="G60" i="10" s="1"/>
  <c r="K10" i="5"/>
  <c r="K11" i="5" s="1"/>
  <c r="G100" i="5" s="1"/>
  <c r="J10" i="6"/>
  <c r="J11" i="6" s="1"/>
  <c r="F98" i="6" s="1"/>
  <c r="J16" i="3"/>
  <c r="J27" i="7"/>
  <c r="J28" i="7" s="1"/>
  <c r="J30" i="7" s="1"/>
  <c r="J7" i="7"/>
  <c r="G57" i="7" s="1"/>
  <c r="G76" i="13"/>
  <c r="H76" i="13" s="1"/>
  <c r="M17" i="13"/>
  <c r="P55" i="1"/>
  <c r="Q55" i="1"/>
  <c r="N58" i="1"/>
  <c r="I15" i="3"/>
  <c r="N58" i="2"/>
  <c r="H27" i="7"/>
  <c r="H28" i="7" s="1"/>
  <c r="H30" i="7" s="1"/>
  <c r="L38" i="13"/>
  <c r="L112" i="13" s="1"/>
  <c r="I5" i="13"/>
  <c r="G38" i="13" s="1"/>
  <c r="I27" i="13"/>
  <c r="M83" i="13"/>
  <c r="M90" i="13"/>
  <c r="H8" i="11"/>
  <c r="H9" i="11" s="1"/>
  <c r="G36" i="11" s="1"/>
  <c r="H8" i="10"/>
  <c r="H9" i="10" s="1"/>
  <c r="G50" i="10" s="1"/>
  <c r="H8" i="5"/>
  <c r="H9" i="5" s="1"/>
  <c r="G104" i="5" s="1"/>
  <c r="G8" i="6"/>
  <c r="G9" i="6" s="1"/>
  <c r="F102" i="6" s="1"/>
  <c r="I20" i="3"/>
  <c r="G92" i="12"/>
  <c r="H92" i="12" s="1"/>
  <c r="M23" i="12"/>
  <c r="E8" i="10"/>
  <c r="E8" i="11"/>
  <c r="D8" i="6"/>
  <c r="E8" i="5"/>
  <c r="K4" i="4"/>
  <c r="G20" i="3"/>
  <c r="K127" i="14"/>
  <c r="F9" i="14"/>
  <c r="N8" i="14"/>
  <c r="E5" i="10"/>
  <c r="M4" i="10"/>
  <c r="K157" i="14"/>
  <c r="H17" i="14"/>
  <c r="G80" i="14" s="1"/>
  <c r="N79" i="2"/>
  <c r="K9" i="3"/>
  <c r="N79" i="1"/>
  <c r="M22" i="3"/>
  <c r="G23" i="3"/>
  <c r="M23" i="3" s="1"/>
  <c r="N38" i="2"/>
  <c r="N38" i="1"/>
  <c r="E11" i="3"/>
  <c r="N8" i="2"/>
  <c r="N8" i="1"/>
  <c r="M18" i="10"/>
  <c r="E19" i="10"/>
  <c r="E15" i="11"/>
  <c r="M14" i="11"/>
  <c r="M16" i="5"/>
  <c r="E17" i="12"/>
  <c r="M16" i="12"/>
  <c r="M24" i="5"/>
  <c r="E25" i="5"/>
  <c r="E25" i="10"/>
  <c r="M24" i="10"/>
  <c r="H23" i="3"/>
  <c r="N50" i="2"/>
  <c r="N50" i="1"/>
  <c r="P31" i="2"/>
  <c r="Q31" i="2"/>
  <c r="E27" i="7"/>
  <c r="E7" i="7"/>
  <c r="M6" i="7"/>
  <c r="I23" i="3"/>
  <c r="N62" i="1"/>
  <c r="N62" i="2"/>
  <c r="N16" i="14"/>
  <c r="F83" i="6"/>
  <c r="H10" i="10"/>
  <c r="H11" i="10" s="1"/>
  <c r="G57" i="10" s="1"/>
  <c r="G10" i="6"/>
  <c r="G11" i="6" s="1"/>
  <c r="F95" i="6" s="1"/>
  <c r="H10" i="11"/>
  <c r="H11" i="11" s="1"/>
  <c r="G71" i="11" s="1"/>
  <c r="I16" i="3"/>
  <c r="H10" i="5"/>
  <c r="H11" i="5" s="1"/>
  <c r="G97" i="5" s="1"/>
  <c r="J15" i="3"/>
  <c r="N70" i="2"/>
  <c r="N70" i="1"/>
  <c r="J6" i="10"/>
  <c r="J7" i="10" s="1"/>
  <c r="G45" i="10" s="1"/>
  <c r="I6" i="6"/>
  <c r="J6" i="11"/>
  <c r="J7" i="11" s="1"/>
  <c r="G94" i="11" s="1"/>
  <c r="J6" i="5"/>
  <c r="J7" i="5" s="1"/>
  <c r="G71" i="5" s="1"/>
  <c r="F4" i="3"/>
  <c r="K187" i="14"/>
  <c r="J25" i="14"/>
  <c r="G110" i="14" s="1"/>
  <c r="M10" i="7"/>
  <c r="G56" i="14"/>
  <c r="N10" i="2"/>
  <c r="N10" i="1"/>
  <c r="E15" i="3"/>
  <c r="G96" i="11"/>
  <c r="M17" i="11"/>
  <c r="H6" i="11"/>
  <c r="H7" i="11" s="1"/>
  <c r="G92" i="11" s="1"/>
  <c r="H6" i="10"/>
  <c r="H7" i="10" s="1"/>
  <c r="G43" i="10" s="1"/>
  <c r="H6" i="5"/>
  <c r="H7" i="5" s="1"/>
  <c r="G69" i="5" s="1"/>
  <c r="G6" i="6"/>
  <c r="I4" i="3"/>
  <c r="K165" i="14"/>
  <c r="I19" i="14"/>
  <c r="G88" i="14" s="1"/>
  <c r="G84" i="14"/>
  <c r="E15" i="7"/>
  <c r="M14" i="7"/>
  <c r="N43" i="2"/>
  <c r="N43" i="1"/>
  <c r="H9" i="3"/>
  <c r="G12" i="10"/>
  <c r="G13" i="10" s="1"/>
  <c r="G63" i="10" s="1"/>
  <c r="G12" i="11"/>
  <c r="G13" i="11" s="1"/>
  <c r="G56" i="11" s="1"/>
  <c r="F12" i="6"/>
  <c r="F13" i="6" s="1"/>
  <c r="F59" i="6" s="1"/>
  <c r="E12" i="3"/>
  <c r="G12" i="5"/>
  <c r="G13" i="5" s="1"/>
  <c r="G61" i="5" s="1"/>
  <c r="I22" i="11"/>
  <c r="I23" i="11" s="1"/>
  <c r="G107" i="11" s="1"/>
  <c r="I22" i="10"/>
  <c r="I23" i="10" s="1"/>
  <c r="G100" i="10" s="1"/>
  <c r="I22" i="5"/>
  <c r="I23" i="5" s="1"/>
  <c r="G42" i="5" s="1"/>
  <c r="H22" i="6"/>
  <c r="H23" i="6" s="1"/>
  <c r="F40" i="6" s="1"/>
  <c r="K6" i="3"/>
  <c r="E22" i="11"/>
  <c r="E22" i="10"/>
  <c r="E22" i="5"/>
  <c r="D22" i="6"/>
  <c r="G6" i="3"/>
  <c r="AY4" i="4"/>
  <c r="N15" i="2"/>
  <c r="E25" i="3"/>
  <c r="N15" i="1"/>
  <c r="N68" i="2"/>
  <c r="J11" i="3"/>
  <c r="N68" i="1"/>
  <c r="M16" i="11"/>
  <c r="P82" i="1"/>
  <c r="Q82" i="1"/>
  <c r="J9" i="3"/>
  <c r="N67" i="2"/>
  <c r="N67" i="1"/>
  <c r="M20" i="12"/>
  <c r="E21" i="12"/>
  <c r="J12" i="11"/>
  <c r="J13" i="11" s="1"/>
  <c r="G59" i="11" s="1"/>
  <c r="J12" i="10"/>
  <c r="J13" i="10" s="1"/>
  <c r="G66" i="10" s="1"/>
  <c r="J12" i="5"/>
  <c r="J13" i="5" s="1"/>
  <c r="G64" i="5" s="1"/>
  <c r="I12" i="6"/>
  <c r="I13" i="6" s="1"/>
  <c r="F62" i="6" s="1"/>
  <c r="F12" i="3"/>
  <c r="L98" i="13"/>
  <c r="M97" i="13" s="1"/>
  <c r="F23" i="13"/>
  <c r="M22" i="13"/>
  <c r="J5" i="13"/>
  <c r="G39" i="13" s="1"/>
  <c r="J27" i="13"/>
  <c r="L39" i="13"/>
  <c r="E10" i="11"/>
  <c r="D10" i="6"/>
  <c r="E10" i="5"/>
  <c r="U4" i="4"/>
  <c r="E10" i="10"/>
  <c r="G16" i="3"/>
  <c r="I11" i="3"/>
  <c r="N56" i="2"/>
  <c r="N56" i="1"/>
  <c r="J22" i="10"/>
  <c r="J23" i="10" s="1"/>
  <c r="G101" i="10" s="1"/>
  <c r="I22" i="6"/>
  <c r="I23" i="6" s="1"/>
  <c r="F41" i="6" s="1"/>
  <c r="J22" i="11"/>
  <c r="J23" i="11" s="1"/>
  <c r="G108" i="11" s="1"/>
  <c r="J22" i="5"/>
  <c r="J23" i="5" s="1"/>
  <c r="G43" i="5" s="1"/>
  <c r="F6" i="3"/>
  <c r="N54" i="1"/>
  <c r="N54" i="2"/>
  <c r="I7" i="3"/>
  <c r="I6" i="11"/>
  <c r="I7" i="11" s="1"/>
  <c r="G93" i="11" s="1"/>
  <c r="I6" i="10"/>
  <c r="I7" i="10" s="1"/>
  <c r="G44" i="10" s="1"/>
  <c r="I6" i="5"/>
  <c r="I7" i="5" s="1"/>
  <c r="H6" i="6"/>
  <c r="K4" i="3"/>
  <c r="M62" i="13"/>
  <c r="G34" i="13"/>
  <c r="M76" i="13"/>
  <c r="H11" i="3"/>
  <c r="N44" i="1"/>
  <c r="N44" i="2"/>
  <c r="N24" i="2"/>
  <c r="N24" i="1"/>
  <c r="F19" i="3"/>
  <c r="P55" i="2"/>
  <c r="Q55" i="2"/>
  <c r="F9" i="3"/>
  <c r="N19" i="2"/>
  <c r="N19" i="1"/>
  <c r="E9" i="12"/>
  <c r="M8" i="12"/>
  <c r="N7" i="2"/>
  <c r="E9" i="3"/>
  <c r="N7" i="1"/>
  <c r="N20" i="2"/>
  <c r="F11" i="3"/>
  <c r="N20" i="1"/>
  <c r="G83" i="13"/>
  <c r="H83" i="13" s="1"/>
  <c r="M19" i="13"/>
  <c r="E9" i="7"/>
  <c r="M8" i="7"/>
  <c r="K27" i="14"/>
  <c r="K8" i="11"/>
  <c r="K9" i="11" s="1"/>
  <c r="G39" i="11" s="1"/>
  <c r="K8" i="10"/>
  <c r="K9" i="10" s="1"/>
  <c r="G53" i="10" s="1"/>
  <c r="K8" i="5"/>
  <c r="K9" i="5" s="1"/>
  <c r="G107" i="5" s="1"/>
  <c r="J20" i="3"/>
  <c r="J8" i="6"/>
  <c r="J9" i="6" s="1"/>
  <c r="F105" i="6" s="1"/>
  <c r="I8" i="10"/>
  <c r="I9" i="10" s="1"/>
  <c r="G51" i="10" s="1"/>
  <c r="I8" i="11"/>
  <c r="I9" i="11" s="1"/>
  <c r="G37" i="11" s="1"/>
  <c r="H8" i="6"/>
  <c r="H9" i="6" s="1"/>
  <c r="F103" i="6" s="1"/>
  <c r="K20" i="3"/>
  <c r="I8" i="5"/>
  <c r="I9" i="5" s="1"/>
  <c r="G105" i="5" s="1"/>
  <c r="F9" i="13"/>
  <c r="L49" i="13"/>
  <c r="M48" i="13" s="1"/>
  <c r="M8" i="13"/>
  <c r="D5" i="6"/>
  <c r="E5" i="11"/>
  <c r="M4" i="11"/>
  <c r="E17" i="7"/>
  <c r="M16" i="7"/>
  <c r="E21" i="5"/>
  <c r="M20" i="5"/>
  <c r="M10" i="3"/>
  <c r="N32" i="2"/>
  <c r="N32" i="1"/>
  <c r="G11" i="3"/>
  <c r="M11" i="3" s="1"/>
  <c r="D19" i="6"/>
  <c r="D15" i="6"/>
  <c r="M16" i="10"/>
  <c r="G105" i="14"/>
  <c r="G45" i="7"/>
  <c r="M5" i="7"/>
  <c r="D25" i="6"/>
  <c r="E23" i="3"/>
  <c r="N14" i="2"/>
  <c r="N14" i="1"/>
  <c r="N80" i="2"/>
  <c r="N80" i="1"/>
  <c r="K11" i="3"/>
  <c r="G50" i="12"/>
  <c r="H50" i="12" s="1"/>
  <c r="M7" i="12"/>
  <c r="F28" i="14"/>
  <c r="G63" i="14"/>
  <c r="N13" i="14"/>
  <c r="E11" i="12"/>
  <c r="M10" i="12"/>
  <c r="G85" i="5"/>
  <c r="L59" i="13"/>
  <c r="I11" i="13"/>
  <c r="G59" i="13" s="1"/>
  <c r="F84" i="6"/>
  <c r="I19" i="3"/>
  <c r="N60" i="2"/>
  <c r="N60" i="1"/>
  <c r="N42" i="2"/>
  <c r="H7" i="3"/>
  <c r="N42" i="1"/>
  <c r="G6" i="11"/>
  <c r="G7" i="11" s="1"/>
  <c r="G91" i="11" s="1"/>
  <c r="F6" i="6"/>
  <c r="G6" i="5"/>
  <c r="G7" i="5" s="1"/>
  <c r="G68" i="5" s="1"/>
  <c r="G6" i="10"/>
  <c r="G7" i="10" s="1"/>
  <c r="G42" i="10" s="1"/>
  <c r="E4" i="3"/>
  <c r="G82" i="5"/>
  <c r="E19" i="3"/>
  <c r="N12" i="1"/>
  <c r="N12" i="2"/>
  <c r="P46" i="1"/>
  <c r="Q46" i="1"/>
  <c r="J19" i="3"/>
  <c r="N72" i="2"/>
  <c r="N72" i="1"/>
  <c r="G104" i="13"/>
  <c r="H104" i="13" s="1"/>
  <c r="M25" i="13"/>
  <c r="K27" i="7"/>
  <c r="K28" i="7" s="1"/>
  <c r="K30" i="7" s="1"/>
  <c r="K7" i="7"/>
  <c r="G58" i="7" s="1"/>
  <c r="P82" i="2"/>
  <c r="Q82" i="2"/>
  <c r="P46" i="2"/>
  <c r="Q46" i="2"/>
  <c r="G91" i="14"/>
  <c r="N21" i="14"/>
  <c r="E12" i="11"/>
  <c r="E12" i="10"/>
  <c r="E12" i="5"/>
  <c r="D12" i="6"/>
  <c r="G12" i="3"/>
  <c r="F4" i="4"/>
  <c r="F12" i="11"/>
  <c r="F13" i="11" s="1"/>
  <c r="G55" i="11" s="1"/>
  <c r="F12" i="10"/>
  <c r="F13" i="10" s="1"/>
  <c r="G62" i="10" s="1"/>
  <c r="F12" i="5"/>
  <c r="F13" i="5" s="1"/>
  <c r="G60" i="5" s="1"/>
  <c r="E12" i="6"/>
  <c r="E13" i="6" s="1"/>
  <c r="F58" i="6" s="1"/>
  <c r="H12" i="3"/>
  <c r="K176" i="14"/>
  <c r="F23" i="14"/>
  <c r="N22" i="14"/>
  <c r="K117" i="14"/>
  <c r="J5" i="14"/>
  <c r="J28" i="14"/>
  <c r="F10" i="11"/>
  <c r="F11" i="11" s="1"/>
  <c r="G69" i="11" s="1"/>
  <c r="F10" i="10"/>
  <c r="F11" i="10" s="1"/>
  <c r="G55" i="10" s="1"/>
  <c r="F10" i="5"/>
  <c r="F11" i="5" s="1"/>
  <c r="G95" i="5" s="1"/>
  <c r="E10" i="6"/>
  <c r="E11" i="6" s="1"/>
  <c r="F93" i="6" s="1"/>
  <c r="H16" i="3"/>
  <c r="G22" i="11"/>
  <c r="G23" i="11" s="1"/>
  <c r="G105" i="11" s="1"/>
  <c r="F22" i="6"/>
  <c r="F23" i="6" s="1"/>
  <c r="F38" i="6" s="1"/>
  <c r="G22" i="10"/>
  <c r="G23" i="10" s="1"/>
  <c r="G98" i="10" s="1"/>
  <c r="G22" i="5"/>
  <c r="G23" i="5" s="1"/>
  <c r="G40" i="5" s="1"/>
  <c r="E6" i="3"/>
  <c r="J25" i="3"/>
  <c r="N75" i="2"/>
  <c r="N75" i="1"/>
  <c r="N7" i="14"/>
  <c r="K13" i="3"/>
  <c r="N81" i="2"/>
  <c r="N81" i="1"/>
  <c r="L108" i="13"/>
  <c r="M104" i="13" s="1"/>
  <c r="I25" i="13"/>
  <c r="G108" i="13" s="1"/>
  <c r="L72" i="13"/>
  <c r="M69" i="13" s="1"/>
  <c r="H15" i="13"/>
  <c r="G72" i="13" s="1"/>
  <c r="H69" i="13" s="1"/>
  <c r="M14" i="13"/>
  <c r="K25" i="3"/>
  <c r="N87" i="2"/>
  <c r="N87" i="1"/>
  <c r="H27" i="5"/>
  <c r="H28" i="5" s="1"/>
  <c r="H30" i="5" s="1"/>
  <c r="G83" i="5"/>
  <c r="G27" i="7"/>
  <c r="G28" i="7" s="1"/>
  <c r="G30" i="7" s="1"/>
  <c r="G7" i="7"/>
  <c r="G54" i="7" s="1"/>
  <c r="G43" i="12"/>
  <c r="H43" i="12" s="1"/>
  <c r="M13" i="12"/>
  <c r="G90" i="13"/>
  <c r="M21" i="13"/>
  <c r="L95" i="13"/>
  <c r="J21" i="13"/>
  <c r="G95" i="13" s="1"/>
  <c r="E19" i="12"/>
  <c r="M18" i="12"/>
  <c r="F25" i="3"/>
  <c r="N27" i="1"/>
  <c r="N27" i="2"/>
  <c r="M14" i="12"/>
  <c r="G8" i="11"/>
  <c r="G9" i="11" s="1"/>
  <c r="G35" i="11" s="1"/>
  <c r="G8" i="10"/>
  <c r="G9" i="10" s="1"/>
  <c r="G49" i="10" s="1"/>
  <c r="G8" i="5"/>
  <c r="G9" i="5" s="1"/>
  <c r="G103" i="5" s="1"/>
  <c r="F8" i="6"/>
  <c r="F9" i="6" s="1"/>
  <c r="F101" i="6" s="1"/>
  <c r="E20" i="3"/>
  <c r="L46" i="13"/>
  <c r="M41" i="13" s="1"/>
  <c r="J7" i="13"/>
  <c r="F7" i="7"/>
  <c r="G53" i="7" s="1"/>
  <c r="F27" i="7"/>
  <c r="F28" i="7" s="1"/>
  <c r="F30" i="7" s="1"/>
  <c r="G15" i="3"/>
  <c r="N34" i="2"/>
  <c r="N34" i="1"/>
  <c r="M14" i="3"/>
  <c r="L94" i="13"/>
  <c r="I21" i="13"/>
  <c r="G94" i="13" s="1"/>
  <c r="M4" i="12"/>
  <c r="E5" i="12"/>
  <c r="M55" i="13"/>
  <c r="N15" i="14"/>
  <c r="E21" i="10"/>
  <c r="M20" i="10"/>
  <c r="E19" i="11"/>
  <c r="M18" i="11"/>
  <c r="E15" i="5"/>
  <c r="M14" i="5"/>
  <c r="G75" i="10"/>
  <c r="M17" i="10"/>
  <c r="M18" i="7"/>
  <c r="E19" i="7"/>
  <c r="H25" i="3"/>
  <c r="N51" i="2"/>
  <c r="N51" i="1"/>
  <c r="G25" i="3"/>
  <c r="M25" i="3" s="1"/>
  <c r="N39" i="2"/>
  <c r="M24" i="3"/>
  <c r="N39" i="1"/>
  <c r="N84" i="2"/>
  <c r="K19" i="3"/>
  <c r="N84" i="1"/>
  <c r="G36" i="14"/>
  <c r="G35" i="14"/>
  <c r="N5" i="14"/>
  <c r="E27" i="14"/>
  <c r="E25" i="7"/>
  <c r="M24" i="7"/>
  <c r="G77" i="14"/>
  <c r="G38" i="14"/>
  <c r="K137" i="14"/>
  <c r="I11" i="14"/>
  <c r="G60" i="14" s="1"/>
  <c r="BM4" i="1"/>
  <c r="BI16" i="1" s="1"/>
  <c r="BJ16" i="1" s="1"/>
  <c r="BL4" i="1"/>
  <c r="K6" i="11"/>
  <c r="K7" i="11" s="1"/>
  <c r="G95" i="11" s="1"/>
  <c r="J6" i="6"/>
  <c r="K6" i="10"/>
  <c r="K7" i="10" s="1"/>
  <c r="G46" i="10" s="1"/>
  <c r="K6" i="5"/>
  <c r="K7" i="5" s="1"/>
  <c r="G72" i="5" s="1"/>
  <c r="J4" i="3"/>
  <c r="E6" i="11"/>
  <c r="E6" i="10"/>
  <c r="E6" i="5"/>
  <c r="D6" i="6"/>
  <c r="G4" i="3"/>
  <c r="Z4" i="4"/>
  <c r="F80" i="6"/>
  <c r="J7" i="6" l="1"/>
  <c r="J27" i="6"/>
  <c r="P51" i="1"/>
  <c r="Q51" i="1"/>
  <c r="AE51" i="1" s="1"/>
  <c r="E13" i="5"/>
  <c r="M12" i="5"/>
  <c r="N5" i="2"/>
  <c r="N5" i="1"/>
  <c r="P60" i="1"/>
  <c r="Q60" i="1"/>
  <c r="AE60" i="1" s="1"/>
  <c r="P14" i="2"/>
  <c r="Q14" i="2"/>
  <c r="P19" i="2"/>
  <c r="Q19" i="2"/>
  <c r="P44" i="1"/>
  <c r="Q44" i="1"/>
  <c r="AE44" i="1" s="1"/>
  <c r="G70" i="5"/>
  <c r="I27" i="5"/>
  <c r="I28" i="5" s="1"/>
  <c r="I30" i="5" s="1"/>
  <c r="P54" i="2"/>
  <c r="Q54" i="2"/>
  <c r="P43" i="2"/>
  <c r="Q43" i="2"/>
  <c r="G27" i="6"/>
  <c r="G7" i="6"/>
  <c r="P70" i="2"/>
  <c r="Q70" i="2"/>
  <c r="P62" i="1"/>
  <c r="Q62" i="1"/>
  <c r="P50" i="1"/>
  <c r="Q50" i="1"/>
  <c r="E9" i="10"/>
  <c r="M8" i="10"/>
  <c r="E13" i="10"/>
  <c r="M12" i="10"/>
  <c r="S46" i="1"/>
  <c r="AE46" i="1"/>
  <c r="AG46" i="1" s="1"/>
  <c r="AR46" i="1" s="1"/>
  <c r="AS46" i="1" s="1"/>
  <c r="AT46" i="1" s="1"/>
  <c r="P42" i="1"/>
  <c r="Q42" i="1"/>
  <c r="P60" i="2"/>
  <c r="Q60" i="2"/>
  <c r="AE60" i="2" s="1"/>
  <c r="P80" i="1"/>
  <c r="Q80" i="1"/>
  <c r="AE80" i="1" s="1"/>
  <c r="N85" i="2"/>
  <c r="N85" i="1"/>
  <c r="K21" i="3"/>
  <c r="P20" i="2"/>
  <c r="Q20" i="2"/>
  <c r="AE20" i="2" s="1"/>
  <c r="P24" i="1"/>
  <c r="Q24" i="1"/>
  <c r="AE24" i="1" s="1"/>
  <c r="P54" i="1"/>
  <c r="Q54" i="1"/>
  <c r="E11" i="5"/>
  <c r="M10" i="5"/>
  <c r="P67" i="1"/>
  <c r="Q67" i="1"/>
  <c r="S82" i="1"/>
  <c r="AE82" i="1"/>
  <c r="AG82" i="1" s="1"/>
  <c r="AR82" i="1" s="1"/>
  <c r="AS82" i="1" s="1"/>
  <c r="AT82" i="1" s="1"/>
  <c r="Q15" i="2"/>
  <c r="AE15" i="2" s="1"/>
  <c r="P15" i="2"/>
  <c r="E23" i="5"/>
  <c r="M22" i="5"/>
  <c r="N11" i="14"/>
  <c r="I27" i="6"/>
  <c r="I7" i="6"/>
  <c r="P50" i="2"/>
  <c r="Q50" i="2"/>
  <c r="M25" i="5"/>
  <c r="G108" i="5"/>
  <c r="P38" i="1"/>
  <c r="Q38" i="1"/>
  <c r="P79" i="1"/>
  <c r="Q79" i="1"/>
  <c r="G50" i="14"/>
  <c r="N9" i="14"/>
  <c r="M8" i="5"/>
  <c r="E9" i="5"/>
  <c r="Q23" i="1"/>
  <c r="P23" i="1"/>
  <c r="G67" i="5"/>
  <c r="F27" i="5"/>
  <c r="F28" i="5" s="1"/>
  <c r="F30" i="5" s="1"/>
  <c r="G68" i="10"/>
  <c r="M15" i="10"/>
  <c r="G75" i="11"/>
  <c r="M21" i="11"/>
  <c r="P63" i="1"/>
  <c r="Q63" i="1"/>
  <c r="AE63" i="1" s="1"/>
  <c r="N25" i="1"/>
  <c r="N25" i="2"/>
  <c r="F21" i="3"/>
  <c r="F27" i="3" s="1"/>
  <c r="F28" i="3" s="1"/>
  <c r="F30" i="3" s="1"/>
  <c r="P48" i="2"/>
  <c r="Q48" i="2"/>
  <c r="AE48" i="2" s="1"/>
  <c r="J7" i="3"/>
  <c r="N66" i="1"/>
  <c r="N66" i="2"/>
  <c r="E7" i="11"/>
  <c r="M6" i="11"/>
  <c r="H13" i="3"/>
  <c r="N45" i="1"/>
  <c r="N45" i="2"/>
  <c r="AE82" i="2"/>
  <c r="AG82" i="2" s="1"/>
  <c r="AR82" i="2" s="1"/>
  <c r="AS82" i="2" s="1"/>
  <c r="AT82" i="2" s="1"/>
  <c r="S82" i="2"/>
  <c r="C36" i="2" s="1"/>
  <c r="F50" i="6"/>
  <c r="G87" i="7"/>
  <c r="H87" i="7" s="1"/>
  <c r="M17" i="7"/>
  <c r="G59" i="7"/>
  <c r="H59" i="7" s="1"/>
  <c r="M9" i="7"/>
  <c r="P7" i="2"/>
  <c r="Q7" i="2"/>
  <c r="H34" i="13"/>
  <c r="Q56" i="2"/>
  <c r="AE56" i="2" s="1"/>
  <c r="P56" i="2"/>
  <c r="P58" i="1"/>
  <c r="Q58" i="1"/>
  <c r="P86" i="2"/>
  <c r="Q86" i="2"/>
  <c r="N41" i="2"/>
  <c r="N41" i="1"/>
  <c r="G99" i="12"/>
  <c r="H99" i="12" s="1"/>
  <c r="M25" i="12"/>
  <c r="P49" i="2"/>
  <c r="Q49" i="2"/>
  <c r="AE49" i="2" s="1"/>
  <c r="P48" i="1"/>
  <c r="Q48" i="1"/>
  <c r="AE48" i="1" s="1"/>
  <c r="P34" i="2"/>
  <c r="Q34" i="2"/>
  <c r="G46" i="13"/>
  <c r="H41" i="13" s="1"/>
  <c r="M7" i="13"/>
  <c r="Q27" i="2"/>
  <c r="AE27" i="2" s="1"/>
  <c r="P27" i="2"/>
  <c r="G78" i="12"/>
  <c r="H78" i="12" s="1"/>
  <c r="M19" i="12"/>
  <c r="P87" i="1"/>
  <c r="Q87" i="1"/>
  <c r="AE87" i="1" s="1"/>
  <c r="P81" i="1"/>
  <c r="Q81" i="1"/>
  <c r="P75" i="1"/>
  <c r="Q75" i="1"/>
  <c r="AE75" i="1" s="1"/>
  <c r="N47" i="2"/>
  <c r="H17" i="3"/>
  <c r="N47" i="1"/>
  <c r="E7" i="5"/>
  <c r="M6" i="5"/>
  <c r="P39" i="2"/>
  <c r="Q39" i="2"/>
  <c r="AE39" i="2" s="1"/>
  <c r="G40" i="11"/>
  <c r="M19" i="11"/>
  <c r="M15" i="3"/>
  <c r="P27" i="1"/>
  <c r="Q27" i="1"/>
  <c r="AE27" i="1" s="1"/>
  <c r="P87" i="2"/>
  <c r="Q87" i="2"/>
  <c r="AE87" i="2" s="1"/>
  <c r="P81" i="2"/>
  <c r="Q81" i="2"/>
  <c r="P75" i="2"/>
  <c r="Q75" i="2"/>
  <c r="AE75" i="2" s="1"/>
  <c r="G99" i="14"/>
  <c r="N23" i="14"/>
  <c r="M12" i="3"/>
  <c r="G13" i="3"/>
  <c r="M13" i="3" s="1"/>
  <c r="N33" i="2"/>
  <c r="N33" i="1"/>
  <c r="E13" i="11"/>
  <c r="M12" i="11"/>
  <c r="AE46" i="2"/>
  <c r="AG46" i="2" s="1"/>
  <c r="AR46" i="2" s="1"/>
  <c r="AS46" i="2" s="1"/>
  <c r="AT46" i="2" s="1"/>
  <c r="S46" i="2"/>
  <c r="C33" i="2" s="1"/>
  <c r="P72" i="1"/>
  <c r="Q72" i="1"/>
  <c r="AE72" i="1" s="1"/>
  <c r="G71" i="12"/>
  <c r="H71" i="12" s="1"/>
  <c r="M11" i="12"/>
  <c r="P80" i="2"/>
  <c r="Q80" i="2"/>
  <c r="AE80" i="2" s="1"/>
  <c r="F85" i="6"/>
  <c r="P32" i="1"/>
  <c r="Q32" i="1"/>
  <c r="AE32" i="1" s="1"/>
  <c r="G73" i="5"/>
  <c r="M21" i="5"/>
  <c r="G82" i="11"/>
  <c r="M5" i="11"/>
  <c r="J21" i="3"/>
  <c r="N73" i="2"/>
  <c r="N73" i="1"/>
  <c r="L188" i="14"/>
  <c r="G188" i="14" s="1"/>
  <c r="L160" i="14"/>
  <c r="G160" i="14" s="1"/>
  <c r="L132" i="14"/>
  <c r="G132" i="14" s="1"/>
  <c r="L174" i="14"/>
  <c r="G174" i="14" s="1"/>
  <c r="L146" i="14"/>
  <c r="G146" i="14" s="1"/>
  <c r="L118" i="14"/>
  <c r="G118" i="14" s="1"/>
  <c r="L153" i="14"/>
  <c r="G153" i="14" s="1"/>
  <c r="L139" i="14"/>
  <c r="G139" i="14" s="1"/>
  <c r="L181" i="14"/>
  <c r="G181" i="14" s="1"/>
  <c r="L125" i="14"/>
  <c r="G125" i="14" s="1"/>
  <c r="L167" i="14"/>
  <c r="G167" i="14" s="1"/>
  <c r="P7" i="1"/>
  <c r="Q7" i="1"/>
  <c r="G36" i="12"/>
  <c r="H36" i="12" s="1"/>
  <c r="M9" i="12"/>
  <c r="AE55" i="2"/>
  <c r="P24" i="2"/>
  <c r="Q24" i="2"/>
  <c r="AE24" i="2" s="1"/>
  <c r="N77" i="2"/>
  <c r="N77" i="1"/>
  <c r="F7" i="3"/>
  <c r="N18" i="2"/>
  <c r="N18" i="1"/>
  <c r="N35" i="1"/>
  <c r="M16" i="3"/>
  <c r="G17" i="3"/>
  <c r="M17" i="3" s="1"/>
  <c r="N35" i="2"/>
  <c r="D11" i="6"/>
  <c r="N21" i="2"/>
  <c r="N21" i="1"/>
  <c r="F13" i="3"/>
  <c r="P67" i="2"/>
  <c r="Q67" i="2"/>
  <c r="P68" i="2"/>
  <c r="Q68" i="2"/>
  <c r="AE68" i="2" s="1"/>
  <c r="E23" i="10"/>
  <c r="M22" i="10"/>
  <c r="N9" i="2"/>
  <c r="E13" i="3"/>
  <c r="N9" i="1"/>
  <c r="G80" i="7"/>
  <c r="H80" i="7" s="1"/>
  <c r="M15" i="7"/>
  <c r="N17" i="2"/>
  <c r="N17" i="1"/>
  <c r="AE31" i="2"/>
  <c r="P8" i="1"/>
  <c r="Q8" i="1"/>
  <c r="AE8" i="1" s="1"/>
  <c r="Q38" i="2"/>
  <c r="P38" i="2"/>
  <c r="D9" i="6"/>
  <c r="P58" i="2"/>
  <c r="Q58" i="2"/>
  <c r="AE55" i="1"/>
  <c r="M34" i="13"/>
  <c r="J17" i="3"/>
  <c r="N71" i="2"/>
  <c r="N71" i="1"/>
  <c r="P26" i="1"/>
  <c r="Q26" i="1"/>
  <c r="P23" i="2"/>
  <c r="Q23" i="2"/>
  <c r="E27" i="6"/>
  <c r="E7" i="6"/>
  <c r="K27" i="5"/>
  <c r="K28" i="5" s="1"/>
  <c r="K30" i="5" s="1"/>
  <c r="P22" i="2"/>
  <c r="Q22" i="2"/>
  <c r="AE31" i="1"/>
  <c r="AG31" i="1" s="1"/>
  <c r="AR31" i="1" s="1"/>
  <c r="AS31" i="1" s="1"/>
  <c r="AT31" i="1" s="1"/>
  <c r="P36" i="1"/>
  <c r="Q36" i="1"/>
  <c r="AE36" i="1" s="1"/>
  <c r="F71" i="6"/>
  <c r="P63" i="2"/>
  <c r="Q63" i="2"/>
  <c r="AE63" i="2" s="1"/>
  <c r="G80" i="5"/>
  <c r="M5" i="5"/>
  <c r="G39" i="14"/>
  <c r="I27" i="14"/>
  <c r="G73" i="7"/>
  <c r="H73" i="7" s="1"/>
  <c r="M13" i="7"/>
  <c r="P74" i="2"/>
  <c r="Q74" i="2"/>
  <c r="E17" i="3"/>
  <c r="N11" i="2"/>
  <c r="N11" i="1"/>
  <c r="M4" i="3"/>
  <c r="N29" i="1"/>
  <c r="N29" i="2"/>
  <c r="L168" i="14"/>
  <c r="G168" i="14" s="1"/>
  <c r="L140" i="14"/>
  <c r="G140" i="14" s="1"/>
  <c r="L112" i="14"/>
  <c r="G112" i="14" s="1"/>
  <c r="L182" i="14"/>
  <c r="G182" i="14" s="1"/>
  <c r="L154" i="14"/>
  <c r="G154" i="14" s="1"/>
  <c r="L126" i="14"/>
  <c r="G126" i="14" s="1"/>
  <c r="L161" i="14"/>
  <c r="G161" i="14" s="1"/>
  <c r="L147" i="14"/>
  <c r="G147" i="14" s="1"/>
  <c r="L133" i="14"/>
  <c r="G133" i="14" s="1"/>
  <c r="L175" i="14"/>
  <c r="G175" i="14" s="1"/>
  <c r="L119" i="14"/>
  <c r="G119" i="14" s="1"/>
  <c r="P39" i="1"/>
  <c r="Q39" i="1"/>
  <c r="AE39" i="1" s="1"/>
  <c r="M15" i="5"/>
  <c r="G87" i="5"/>
  <c r="G89" i="10"/>
  <c r="M21" i="10"/>
  <c r="P34" i="1"/>
  <c r="Q34" i="1"/>
  <c r="E7" i="3"/>
  <c r="E27" i="3" s="1"/>
  <c r="E28" i="3" s="1"/>
  <c r="E30" i="3" s="1"/>
  <c r="N6" i="2"/>
  <c r="N6" i="1"/>
  <c r="P12" i="1"/>
  <c r="Q12" i="1"/>
  <c r="AE12" i="1" s="1"/>
  <c r="G98" i="13"/>
  <c r="H97" i="13" s="1"/>
  <c r="M23" i="13"/>
  <c r="P68" i="1"/>
  <c r="Q68" i="1"/>
  <c r="AE68" i="1" s="1"/>
  <c r="D23" i="6"/>
  <c r="K7" i="3"/>
  <c r="N78" i="2"/>
  <c r="N78" i="1"/>
  <c r="P10" i="2"/>
  <c r="Q10" i="2"/>
  <c r="E28" i="7"/>
  <c r="E30" i="7" s="1"/>
  <c r="M27" i="7"/>
  <c r="M25" i="10"/>
  <c r="G103" i="10"/>
  <c r="G64" i="12"/>
  <c r="H64" i="12" s="1"/>
  <c r="M17" i="12"/>
  <c r="G82" i="10"/>
  <c r="M19" i="10"/>
  <c r="Q26" i="2"/>
  <c r="P26" i="2"/>
  <c r="P22" i="1"/>
  <c r="Q22" i="1"/>
  <c r="M25" i="11"/>
  <c r="G61" i="11"/>
  <c r="L184" i="14"/>
  <c r="G184" i="14" s="1"/>
  <c r="L156" i="14"/>
  <c r="G156" i="14" s="1"/>
  <c r="L128" i="14"/>
  <c r="G128" i="14" s="1"/>
  <c r="L170" i="14"/>
  <c r="G170" i="14" s="1"/>
  <c r="L142" i="14"/>
  <c r="G142" i="14" s="1"/>
  <c r="L114" i="14"/>
  <c r="G114" i="14" s="1"/>
  <c r="L177" i="14"/>
  <c r="G177" i="14" s="1"/>
  <c r="L121" i="14"/>
  <c r="G121" i="14" s="1"/>
  <c r="L163" i="14"/>
  <c r="G163" i="14" s="1"/>
  <c r="L149" i="14"/>
  <c r="G149" i="14" s="1"/>
  <c r="L135" i="14"/>
  <c r="G135" i="14" s="1"/>
  <c r="N57" i="1"/>
  <c r="I13" i="3"/>
  <c r="N57" i="2"/>
  <c r="D27" i="6"/>
  <c r="D7" i="6"/>
  <c r="N65" i="1"/>
  <c r="N65" i="2"/>
  <c r="J27" i="3"/>
  <c r="J28" i="3" s="1"/>
  <c r="J30" i="3" s="1"/>
  <c r="N17" i="14"/>
  <c r="P84" i="1"/>
  <c r="Q84" i="1"/>
  <c r="AE84" i="1" s="1"/>
  <c r="P51" i="2"/>
  <c r="Q51" i="2"/>
  <c r="AE51" i="2" s="1"/>
  <c r="H90" i="13"/>
  <c r="E7" i="10"/>
  <c r="M6" i="10"/>
  <c r="H27" i="14"/>
  <c r="G115" i="7"/>
  <c r="H115" i="7" s="1"/>
  <c r="M25" i="7"/>
  <c r="F27" i="14"/>
  <c r="P84" i="2"/>
  <c r="Q84" i="2"/>
  <c r="AE84" i="2" s="1"/>
  <c r="G94" i="7"/>
  <c r="H94" i="7" s="1"/>
  <c r="M19" i="7"/>
  <c r="G29" i="12"/>
  <c r="M5" i="12"/>
  <c r="N13" i="2"/>
  <c r="N13" i="1"/>
  <c r="E21" i="3"/>
  <c r="G40" i="14"/>
  <c r="J27" i="14"/>
  <c r="D13" i="6"/>
  <c r="M15" i="13"/>
  <c r="P72" i="2"/>
  <c r="Q72" i="2"/>
  <c r="AE72" i="2" s="1"/>
  <c r="P12" i="2"/>
  <c r="Q12" i="2"/>
  <c r="AE12" i="2" s="1"/>
  <c r="G27" i="5"/>
  <c r="F7" i="6"/>
  <c r="F27" i="6"/>
  <c r="P42" i="2"/>
  <c r="Q42" i="2"/>
  <c r="J27" i="5"/>
  <c r="J28" i="5" s="1"/>
  <c r="J30" i="5" s="1"/>
  <c r="P14" i="1"/>
  <c r="Q14" i="1"/>
  <c r="F106" i="6"/>
  <c r="N25" i="14"/>
  <c r="P32" i="2"/>
  <c r="Q32" i="2"/>
  <c r="AE32" i="2" s="1"/>
  <c r="F78" i="6"/>
  <c r="G49" i="13"/>
  <c r="H48" i="13" s="1"/>
  <c r="M9" i="13"/>
  <c r="Q20" i="1"/>
  <c r="AE20" i="1" s="1"/>
  <c r="P20" i="1"/>
  <c r="P19" i="1"/>
  <c r="Q19" i="1"/>
  <c r="P44" i="2"/>
  <c r="Q44" i="2"/>
  <c r="AE44" i="2" s="1"/>
  <c r="M5" i="13"/>
  <c r="H27" i="6"/>
  <c r="H7" i="6"/>
  <c r="Q56" i="1"/>
  <c r="AE56" i="1" s="1"/>
  <c r="P56" i="1"/>
  <c r="M10" i="10"/>
  <c r="E11" i="10"/>
  <c r="E11" i="11"/>
  <c r="M10" i="11"/>
  <c r="G85" i="12"/>
  <c r="H85" i="12" s="1"/>
  <c r="M21" i="12"/>
  <c r="P15" i="1"/>
  <c r="Q15" i="1"/>
  <c r="AE15" i="1" s="1"/>
  <c r="G7" i="3"/>
  <c r="M7" i="3" s="1"/>
  <c r="N30" i="2"/>
  <c r="M6" i="3"/>
  <c r="N30" i="1"/>
  <c r="E23" i="11"/>
  <c r="M22" i="11"/>
  <c r="P43" i="1"/>
  <c r="Q43" i="1"/>
  <c r="N19" i="14"/>
  <c r="N53" i="2"/>
  <c r="N53" i="1"/>
  <c r="P10" i="1"/>
  <c r="Q10" i="1"/>
  <c r="P70" i="1"/>
  <c r="Q70" i="1"/>
  <c r="I17" i="3"/>
  <c r="N59" i="2"/>
  <c r="N59" i="1"/>
  <c r="P62" i="2"/>
  <c r="Q62" i="2"/>
  <c r="G52" i="7"/>
  <c r="H52" i="7" s="1"/>
  <c r="M7" i="7"/>
  <c r="G47" i="11"/>
  <c r="M15" i="11"/>
  <c r="P8" i="2"/>
  <c r="Q8" i="2"/>
  <c r="AE8" i="2" s="1"/>
  <c r="P79" i="2"/>
  <c r="Q79" i="2"/>
  <c r="G33" i="10"/>
  <c r="M5" i="10"/>
  <c r="M20" i="3"/>
  <c r="G21" i="3"/>
  <c r="M21" i="3" s="1"/>
  <c r="N37" i="2"/>
  <c r="N37" i="1"/>
  <c r="M8" i="11"/>
  <c r="E9" i="11"/>
  <c r="I21" i="3"/>
  <c r="I27" i="3" s="1"/>
  <c r="I28" i="3" s="1"/>
  <c r="I30" i="3" s="1"/>
  <c r="N61" i="1"/>
  <c r="N61" i="2"/>
  <c r="P86" i="1"/>
  <c r="Q86" i="1"/>
  <c r="P49" i="1"/>
  <c r="Q49" i="1"/>
  <c r="AE49" i="1" s="1"/>
  <c r="P36" i="2"/>
  <c r="Q36" i="2"/>
  <c r="AE36" i="2" s="1"/>
  <c r="G52" i="5"/>
  <c r="M19" i="5"/>
  <c r="M11" i="13"/>
  <c r="P74" i="1"/>
  <c r="Q74" i="1"/>
  <c r="N83" i="2"/>
  <c r="N83" i="1"/>
  <c r="K17" i="3"/>
  <c r="N69" i="2"/>
  <c r="J13" i="3"/>
  <c r="N69" i="1"/>
  <c r="AG31" i="2" l="1"/>
  <c r="AR31" i="2" s="1"/>
  <c r="AS31" i="2" s="1"/>
  <c r="AT31" i="2" s="1"/>
  <c r="P83" i="2"/>
  <c r="Q83" i="2"/>
  <c r="M9" i="11"/>
  <c r="G33" i="11"/>
  <c r="AE79" i="2"/>
  <c r="AG79" i="2" s="1"/>
  <c r="AR79" i="2" s="1"/>
  <c r="AS79" i="2" s="1"/>
  <c r="AT79" i="2" s="1"/>
  <c r="S79" i="2"/>
  <c r="C43" i="2" s="1"/>
  <c r="AE62" i="2"/>
  <c r="AG62" i="2" s="1"/>
  <c r="AR62" i="2" s="1"/>
  <c r="AS62" i="2" s="1"/>
  <c r="AT62" i="2" s="1"/>
  <c r="S62" i="2"/>
  <c r="C70" i="2" s="1"/>
  <c r="G103" i="11"/>
  <c r="M23" i="11"/>
  <c r="S19" i="1"/>
  <c r="AE19" i="1"/>
  <c r="AG19" i="1" s="1"/>
  <c r="AR19" i="1" s="1"/>
  <c r="AS19" i="1" s="1"/>
  <c r="AT19" i="1" s="1"/>
  <c r="F66" i="6"/>
  <c r="F28" i="6"/>
  <c r="L176" i="14"/>
  <c r="G176" i="14" s="1"/>
  <c r="L148" i="14"/>
  <c r="G148" i="14" s="1"/>
  <c r="L120" i="14"/>
  <c r="G120" i="14" s="1"/>
  <c r="L162" i="14"/>
  <c r="G162" i="14" s="1"/>
  <c r="L134" i="14"/>
  <c r="G134" i="14" s="1"/>
  <c r="L169" i="14"/>
  <c r="G169" i="14" s="1"/>
  <c r="L113" i="14"/>
  <c r="G113" i="14" s="1"/>
  <c r="L155" i="14"/>
  <c r="G155" i="14" s="1"/>
  <c r="L127" i="14"/>
  <c r="G127" i="14" s="1"/>
  <c r="L141" i="14"/>
  <c r="G141" i="14" s="1"/>
  <c r="L183" i="14"/>
  <c r="G183" i="14" s="1"/>
  <c r="F64" i="6"/>
  <c r="S74" i="2"/>
  <c r="C73" i="2" s="1"/>
  <c r="AE74" i="2"/>
  <c r="AG74" i="2" s="1"/>
  <c r="AR74" i="2" s="1"/>
  <c r="AS74" i="2" s="1"/>
  <c r="AT74" i="2" s="1"/>
  <c r="F65" i="6"/>
  <c r="E28" i="6"/>
  <c r="E29" i="6" s="1"/>
  <c r="E31" i="6" s="1"/>
  <c r="S26" i="1"/>
  <c r="AE26" i="1"/>
  <c r="AG26" i="1" s="1"/>
  <c r="AR26" i="1" s="1"/>
  <c r="AS26" i="1" s="1"/>
  <c r="AT26" i="1" s="1"/>
  <c r="AE58" i="2"/>
  <c r="AG58" i="2" s="1"/>
  <c r="AR58" i="2" s="1"/>
  <c r="AS58" i="2" s="1"/>
  <c r="AT58" i="2" s="1"/>
  <c r="S58" i="2"/>
  <c r="C35" i="2" s="1"/>
  <c r="P17" i="2"/>
  <c r="Q17" i="2"/>
  <c r="G96" i="10"/>
  <c r="M23" i="10"/>
  <c r="P73" i="2"/>
  <c r="Q73" i="2"/>
  <c r="AE73" i="2" s="1"/>
  <c r="AE81" i="2"/>
  <c r="AG81" i="2" s="1"/>
  <c r="AR81" i="2" s="1"/>
  <c r="AS81" i="2" s="1"/>
  <c r="AT81" i="2" s="1"/>
  <c r="S81" i="2"/>
  <c r="C50" i="2" s="1"/>
  <c r="P47" i="2"/>
  <c r="Q47" i="2"/>
  <c r="AE38" i="1"/>
  <c r="AG38" i="1" s="1"/>
  <c r="AR38" i="1" s="1"/>
  <c r="AS38" i="1" s="1"/>
  <c r="AT38" i="1" s="1"/>
  <c r="S38" i="1"/>
  <c r="AE50" i="2"/>
  <c r="AG50" i="2" s="1"/>
  <c r="AR50" i="2" s="1"/>
  <c r="AS50" i="2" s="1"/>
  <c r="AT50" i="2" s="1"/>
  <c r="S50" i="2"/>
  <c r="C68" i="2" s="1"/>
  <c r="AE67" i="1"/>
  <c r="AG67" i="1" s="1"/>
  <c r="AR67" i="1" s="1"/>
  <c r="AS67" i="1" s="1"/>
  <c r="AT67" i="1" s="1"/>
  <c r="S67" i="1"/>
  <c r="P85" i="2"/>
  <c r="Q85" i="2"/>
  <c r="AE85" i="2" s="1"/>
  <c r="AE74" i="1"/>
  <c r="AG74" i="1" s="1"/>
  <c r="AR74" i="1" s="1"/>
  <c r="AS74" i="1" s="1"/>
  <c r="AT74" i="1" s="1"/>
  <c r="S74" i="1"/>
  <c r="P61" i="2"/>
  <c r="Q61" i="2"/>
  <c r="AE61" i="2" s="1"/>
  <c r="P53" i="1"/>
  <c r="Q53" i="1"/>
  <c r="AE42" i="2"/>
  <c r="AG42" i="2" s="1"/>
  <c r="AR42" i="2" s="1"/>
  <c r="AS42" i="2" s="1"/>
  <c r="AT42" i="2" s="1"/>
  <c r="S42" i="2"/>
  <c r="C54" i="2" s="1"/>
  <c r="L180" i="14"/>
  <c r="G180" i="14" s="1"/>
  <c r="L152" i="14"/>
  <c r="G152" i="14" s="1"/>
  <c r="L124" i="14"/>
  <c r="G124" i="14" s="1"/>
  <c r="L166" i="14"/>
  <c r="G166" i="14" s="1"/>
  <c r="L138" i="14"/>
  <c r="G138" i="14" s="1"/>
  <c r="L145" i="14"/>
  <c r="G145" i="14" s="1"/>
  <c r="L187" i="14"/>
  <c r="G187" i="14" s="1"/>
  <c r="L131" i="14"/>
  <c r="G131" i="14" s="1"/>
  <c r="L117" i="14"/>
  <c r="G117" i="14" s="1"/>
  <c r="L159" i="14"/>
  <c r="G159" i="14" s="1"/>
  <c r="L173" i="14"/>
  <c r="G173" i="14" s="1"/>
  <c r="P13" i="2"/>
  <c r="Q13" i="2"/>
  <c r="AE13" i="2" s="1"/>
  <c r="S26" i="2"/>
  <c r="C72" i="2" s="1"/>
  <c r="AE26" i="2"/>
  <c r="AG26" i="2" s="1"/>
  <c r="AR26" i="2" s="1"/>
  <c r="AS26" i="2" s="1"/>
  <c r="AT26" i="2" s="1"/>
  <c r="P78" i="2"/>
  <c r="Q78" i="2"/>
  <c r="P29" i="2"/>
  <c r="Q29" i="2"/>
  <c r="S22" i="2"/>
  <c r="C37" i="2" s="1"/>
  <c r="AE22" i="2"/>
  <c r="AG22" i="2" s="1"/>
  <c r="AR22" i="2" s="1"/>
  <c r="AS22" i="2" s="1"/>
  <c r="AT22" i="2" s="1"/>
  <c r="F92" i="6"/>
  <c r="P25" i="2"/>
  <c r="Q25" i="2"/>
  <c r="AE25" i="2" s="1"/>
  <c r="AE23" i="1"/>
  <c r="S23" i="1"/>
  <c r="G123" i="7"/>
  <c r="M9" i="10"/>
  <c r="G47" i="10"/>
  <c r="P5" i="1"/>
  <c r="Q5" i="1"/>
  <c r="S42" i="1"/>
  <c r="AE42" i="1"/>
  <c r="AG42" i="1" s="1"/>
  <c r="AR42" i="1" s="1"/>
  <c r="AS42" i="1" s="1"/>
  <c r="AT42" i="1" s="1"/>
  <c r="S50" i="1"/>
  <c r="AE50" i="1"/>
  <c r="AG50" i="1" s="1"/>
  <c r="AR50" i="1" s="1"/>
  <c r="AS50" i="1" s="1"/>
  <c r="AT50" i="1" s="1"/>
  <c r="S70" i="2"/>
  <c r="C38" i="2" s="1"/>
  <c r="AE70" i="2"/>
  <c r="AG70" i="2" s="1"/>
  <c r="AR70" i="2" s="1"/>
  <c r="AS70" i="2" s="1"/>
  <c r="AT70" i="2" s="1"/>
  <c r="S43" i="2"/>
  <c r="C40" i="2" s="1"/>
  <c r="AE43" i="2"/>
  <c r="AG43" i="2" s="1"/>
  <c r="AR43" i="2" s="1"/>
  <c r="AS43" i="2" s="1"/>
  <c r="AT43" i="2" s="1"/>
  <c r="S19" i="2"/>
  <c r="C44" i="2" s="1"/>
  <c r="AE19" i="2"/>
  <c r="AG19" i="2" s="1"/>
  <c r="AR19" i="2" s="1"/>
  <c r="AS19" i="2" s="1"/>
  <c r="AT19" i="2" s="1"/>
  <c r="P5" i="2"/>
  <c r="Q5" i="2"/>
  <c r="P13" i="1"/>
  <c r="Q13" i="1"/>
  <c r="AE13" i="1" s="1"/>
  <c r="P57" i="1"/>
  <c r="Q57" i="1"/>
  <c r="P78" i="1"/>
  <c r="Q78" i="1"/>
  <c r="F36" i="6"/>
  <c r="P6" i="2"/>
  <c r="Q6" i="2"/>
  <c r="L172" i="14"/>
  <c r="G172" i="14" s="1"/>
  <c r="L144" i="14"/>
  <c r="G144" i="14" s="1"/>
  <c r="L116" i="14"/>
  <c r="G116" i="14" s="1"/>
  <c r="L186" i="14"/>
  <c r="G186" i="14" s="1"/>
  <c r="L158" i="14"/>
  <c r="G158" i="14" s="1"/>
  <c r="L130" i="14"/>
  <c r="G130" i="14" s="1"/>
  <c r="L137" i="14"/>
  <c r="G137" i="14" s="1"/>
  <c r="L179" i="14"/>
  <c r="G179" i="14" s="1"/>
  <c r="L123" i="14"/>
  <c r="G123" i="14" s="1"/>
  <c r="L165" i="14"/>
  <c r="G165" i="14" s="1"/>
  <c r="L151" i="14"/>
  <c r="G151" i="14" s="1"/>
  <c r="P9" i="1"/>
  <c r="Q9" i="1"/>
  <c r="P33" i="1"/>
  <c r="Q33" i="1"/>
  <c r="AE86" i="2"/>
  <c r="AG86" i="2" s="1"/>
  <c r="AR86" i="2" s="1"/>
  <c r="AS86" i="2" s="1"/>
  <c r="AT86" i="2" s="1"/>
  <c r="S86" i="2"/>
  <c r="C71" i="2" s="1"/>
  <c r="S7" i="2"/>
  <c r="C41" i="2" s="1"/>
  <c r="AE7" i="2"/>
  <c r="AG7" i="2" s="1"/>
  <c r="AR7" i="2" s="1"/>
  <c r="AS7" i="2" s="1"/>
  <c r="AT7" i="2" s="1"/>
  <c r="P66" i="1"/>
  <c r="Q66" i="1"/>
  <c r="AE54" i="1"/>
  <c r="AG54" i="1" s="1"/>
  <c r="AR54" i="1" s="1"/>
  <c r="AS54" i="1" s="1"/>
  <c r="AT54" i="1" s="1"/>
  <c r="S54" i="1"/>
  <c r="P69" i="2"/>
  <c r="Q69" i="2"/>
  <c r="AE70" i="1"/>
  <c r="AG70" i="1" s="1"/>
  <c r="AR70" i="1" s="1"/>
  <c r="AS70" i="1" s="1"/>
  <c r="AT70" i="1" s="1"/>
  <c r="S70" i="1"/>
  <c r="S43" i="1"/>
  <c r="AE43" i="1"/>
  <c r="AG43" i="1" s="1"/>
  <c r="AR43" i="1" s="1"/>
  <c r="AS43" i="1" s="1"/>
  <c r="AT43" i="1" s="1"/>
  <c r="P30" i="1"/>
  <c r="Q30" i="1"/>
  <c r="G28" i="5"/>
  <c r="G30" i="5" s="1"/>
  <c r="G40" i="10"/>
  <c r="M7" i="10"/>
  <c r="P65" i="2"/>
  <c r="Q65" i="2"/>
  <c r="P11" i="1"/>
  <c r="Q11" i="1"/>
  <c r="S38" i="2"/>
  <c r="C67" i="2" s="1"/>
  <c r="AE38" i="2"/>
  <c r="AG38" i="2" s="1"/>
  <c r="AR38" i="2" s="1"/>
  <c r="AS38" i="2" s="1"/>
  <c r="AT38" i="2" s="1"/>
  <c r="S31" i="2"/>
  <c r="C39" i="2" s="1"/>
  <c r="P35" i="1"/>
  <c r="Q35" i="1"/>
  <c r="P77" i="1"/>
  <c r="Q77" i="1"/>
  <c r="P33" i="2"/>
  <c r="Q33" i="2"/>
  <c r="M7" i="5"/>
  <c r="G66" i="5"/>
  <c r="S34" i="2"/>
  <c r="C32" i="2" s="1"/>
  <c r="AE34" i="2"/>
  <c r="AG34" i="2" s="1"/>
  <c r="AR34" i="2" s="1"/>
  <c r="AS34" i="2" s="1"/>
  <c r="AT34" i="2" s="1"/>
  <c r="P41" i="1"/>
  <c r="Q41" i="1"/>
  <c r="AE86" i="1"/>
  <c r="AG86" i="1" s="1"/>
  <c r="AR86" i="1" s="1"/>
  <c r="AS86" i="1" s="1"/>
  <c r="AT86" i="1" s="1"/>
  <c r="S86" i="1"/>
  <c r="P61" i="1"/>
  <c r="Q61" i="1"/>
  <c r="AE61" i="1" s="1"/>
  <c r="P37" i="1"/>
  <c r="Q37" i="1"/>
  <c r="AE37" i="1" s="1"/>
  <c r="P59" i="1"/>
  <c r="Q59" i="1"/>
  <c r="P53" i="2"/>
  <c r="Q53" i="2"/>
  <c r="G68" i="11"/>
  <c r="M11" i="11"/>
  <c r="D28" i="6"/>
  <c r="D29" i="6" s="1"/>
  <c r="D31" i="6" s="1"/>
  <c r="AE14" i="1"/>
  <c r="AG14" i="1" s="1"/>
  <c r="AR14" i="1" s="1"/>
  <c r="AS14" i="1" s="1"/>
  <c r="AT14" i="1" s="1"/>
  <c r="S14" i="1"/>
  <c r="T14" i="1"/>
  <c r="P65" i="1"/>
  <c r="Q65" i="1"/>
  <c r="P57" i="2"/>
  <c r="Q57" i="2"/>
  <c r="S22" i="1"/>
  <c r="AE22" i="1"/>
  <c r="AG22" i="1" s="1"/>
  <c r="AR22" i="1" s="1"/>
  <c r="AS22" i="1" s="1"/>
  <c r="AT22" i="1" s="1"/>
  <c r="AE10" i="2"/>
  <c r="AG10" i="2" s="1"/>
  <c r="AR10" i="2" s="1"/>
  <c r="AS10" i="2" s="1"/>
  <c r="AT10" i="2" s="1"/>
  <c r="S10" i="2"/>
  <c r="C34" i="2" s="1"/>
  <c r="S34" i="1"/>
  <c r="AE34" i="1"/>
  <c r="AG34" i="1" s="1"/>
  <c r="AR34" i="1" s="1"/>
  <c r="AS34" i="1" s="1"/>
  <c r="AT34" i="1" s="1"/>
  <c r="P29" i="1"/>
  <c r="Q29" i="1"/>
  <c r="P11" i="2"/>
  <c r="Q11" i="2"/>
  <c r="E27" i="5"/>
  <c r="E28" i="5" s="1"/>
  <c r="E30" i="5" s="1"/>
  <c r="S23" i="2"/>
  <c r="C65" i="2" s="1"/>
  <c r="AE23" i="2"/>
  <c r="AG23" i="2" s="1"/>
  <c r="AR23" i="2" s="1"/>
  <c r="AS23" i="2" s="1"/>
  <c r="AT23" i="2" s="1"/>
  <c r="P71" i="1"/>
  <c r="Q71" i="1"/>
  <c r="AG55" i="1"/>
  <c r="AR55" i="1" s="1"/>
  <c r="AS55" i="1" s="1"/>
  <c r="AT55" i="1" s="1"/>
  <c r="P17" i="1"/>
  <c r="Q17" i="1"/>
  <c r="P9" i="2"/>
  <c r="Q9" i="2"/>
  <c r="P21" i="1"/>
  <c r="Q21" i="1"/>
  <c r="P35" i="2"/>
  <c r="Q35" i="2"/>
  <c r="P18" i="1"/>
  <c r="Q18" i="1"/>
  <c r="K27" i="3"/>
  <c r="K28" i="3" s="1"/>
  <c r="K30" i="3" s="1"/>
  <c r="S55" i="2"/>
  <c r="C42" i="2" s="1"/>
  <c r="S7" i="1"/>
  <c r="AE7" i="1"/>
  <c r="AG7" i="1" s="1"/>
  <c r="AR7" i="1" s="1"/>
  <c r="AS7" i="1" s="1"/>
  <c r="AT7" i="1" s="1"/>
  <c r="P47" i="1"/>
  <c r="Q47" i="1"/>
  <c r="P41" i="2"/>
  <c r="Q41" i="2"/>
  <c r="S58" i="1"/>
  <c r="AE58" i="1"/>
  <c r="AG58" i="1" s="1"/>
  <c r="AR58" i="1" s="1"/>
  <c r="AS58" i="1" s="1"/>
  <c r="AT58" i="1" s="1"/>
  <c r="Q45" i="2"/>
  <c r="P45" i="2"/>
  <c r="M7" i="11"/>
  <c r="G89" i="11"/>
  <c r="P25" i="1"/>
  <c r="Q25" i="1"/>
  <c r="AE25" i="1" s="1"/>
  <c r="G101" i="5"/>
  <c r="M9" i="5"/>
  <c r="S79" i="1"/>
  <c r="AE79" i="1"/>
  <c r="AG79" i="1" s="1"/>
  <c r="AR79" i="1" s="1"/>
  <c r="AS79" i="1" s="1"/>
  <c r="AT79" i="1" s="1"/>
  <c r="P69" i="1"/>
  <c r="Q69" i="1"/>
  <c r="P83" i="1"/>
  <c r="Q83" i="1"/>
  <c r="P37" i="2"/>
  <c r="Q37" i="2"/>
  <c r="AE37" i="2" s="1"/>
  <c r="P59" i="2"/>
  <c r="Q59" i="2"/>
  <c r="AE10" i="1"/>
  <c r="AG10" i="1" s="1"/>
  <c r="AR10" i="1" s="1"/>
  <c r="AS10" i="1" s="1"/>
  <c r="AT10" i="1" s="1"/>
  <c r="S10" i="1"/>
  <c r="P30" i="2"/>
  <c r="Q30" i="2"/>
  <c r="G54" i="10"/>
  <c r="M11" i="10"/>
  <c r="F68" i="6"/>
  <c r="H28" i="6"/>
  <c r="H29" i="6" s="1"/>
  <c r="H31" i="6" s="1"/>
  <c r="F57" i="6"/>
  <c r="G107" i="12"/>
  <c r="H29" i="12"/>
  <c r="L164" i="14"/>
  <c r="G164" i="14" s="1"/>
  <c r="L136" i="14"/>
  <c r="G136" i="14" s="1"/>
  <c r="L178" i="14"/>
  <c r="G178" i="14" s="1"/>
  <c r="L150" i="14"/>
  <c r="G150" i="14" s="1"/>
  <c r="L122" i="14"/>
  <c r="G122" i="14" s="1"/>
  <c r="L185" i="14"/>
  <c r="G185" i="14" s="1"/>
  <c r="L129" i="14"/>
  <c r="G129" i="14" s="1"/>
  <c r="L171" i="14"/>
  <c r="G171" i="14" s="1"/>
  <c r="L115" i="14"/>
  <c r="G115" i="14" s="1"/>
  <c r="L143" i="14"/>
  <c r="G143" i="14" s="1"/>
  <c r="L157" i="14"/>
  <c r="G157" i="14" s="1"/>
  <c r="P6" i="1"/>
  <c r="Q6" i="1"/>
  <c r="S31" i="1"/>
  <c r="P71" i="2"/>
  <c r="Q71" i="2"/>
  <c r="S55" i="1"/>
  <c r="F99" i="6"/>
  <c r="AE67" i="2"/>
  <c r="AG67" i="2" s="1"/>
  <c r="AR67" i="2" s="1"/>
  <c r="AS67" i="2" s="1"/>
  <c r="AT67" i="2" s="1"/>
  <c r="S67" i="2"/>
  <c r="C45" i="2" s="1"/>
  <c r="P21" i="2"/>
  <c r="Q21" i="2"/>
  <c r="P18" i="2"/>
  <c r="Q18" i="2"/>
  <c r="P77" i="2"/>
  <c r="Q77" i="2"/>
  <c r="AG55" i="2"/>
  <c r="AR55" i="2" s="1"/>
  <c r="AS55" i="2" s="1"/>
  <c r="AT55" i="2" s="1"/>
  <c r="P73" i="1"/>
  <c r="Q73" i="1"/>
  <c r="AE73" i="1" s="1"/>
  <c r="M13" i="11"/>
  <c r="G54" i="11"/>
  <c r="G27" i="3"/>
  <c r="G28" i="3" s="1"/>
  <c r="G30" i="3" s="1"/>
  <c r="S81" i="1"/>
  <c r="AE81" i="1"/>
  <c r="AG81" i="1" s="1"/>
  <c r="AR81" i="1" s="1"/>
  <c r="AS81" i="1" s="1"/>
  <c r="AT81" i="1" s="1"/>
  <c r="H27" i="3"/>
  <c r="H28" i="3" s="1"/>
  <c r="H30" i="3" s="1"/>
  <c r="G112" i="13"/>
  <c r="Q45" i="1"/>
  <c r="P45" i="1"/>
  <c r="P66" i="2"/>
  <c r="Q66" i="2"/>
  <c r="F69" i="6"/>
  <c r="I28" i="6"/>
  <c r="I29" i="6" s="1"/>
  <c r="I31" i="6" s="1"/>
  <c r="M23" i="5"/>
  <c r="G38" i="5"/>
  <c r="M11" i="5"/>
  <c r="G94" i="5"/>
  <c r="P85" i="1"/>
  <c r="Q85" i="1"/>
  <c r="AE85" i="1" s="1"/>
  <c r="G61" i="10"/>
  <c r="G111" i="10" s="1"/>
  <c r="M13" i="10"/>
  <c r="AE62" i="1"/>
  <c r="AG62" i="1" s="1"/>
  <c r="AR62" i="1" s="1"/>
  <c r="AS62" i="1" s="1"/>
  <c r="AT62" i="1" s="1"/>
  <c r="S62" i="1"/>
  <c r="F67" i="6"/>
  <c r="G28" i="6"/>
  <c r="G29" i="6" s="1"/>
  <c r="G31" i="6" s="1"/>
  <c r="AE54" i="2"/>
  <c r="AG54" i="2" s="1"/>
  <c r="AR54" i="2" s="1"/>
  <c r="AS54" i="2" s="1"/>
  <c r="AT54" i="2" s="1"/>
  <c r="S54" i="2"/>
  <c r="C56" i="2" s="1"/>
  <c r="AE14" i="2"/>
  <c r="AG14" i="2" s="1"/>
  <c r="AR14" i="2" s="1"/>
  <c r="AS14" i="2" s="1"/>
  <c r="AT14" i="2" s="1"/>
  <c r="S14" i="2"/>
  <c r="C69" i="2" s="1"/>
  <c r="T14" i="2"/>
  <c r="G59" i="5"/>
  <c r="M13" i="5"/>
  <c r="F70" i="6"/>
  <c r="J28" i="6"/>
  <c r="J29" i="6" s="1"/>
  <c r="J31" i="6" s="1"/>
  <c r="AE30" i="2" l="1"/>
  <c r="AG30" i="2" s="1"/>
  <c r="AR30" i="2" s="1"/>
  <c r="AS30" i="2" s="1"/>
  <c r="AT30" i="2" s="1"/>
  <c r="S30" i="2"/>
  <c r="C53" i="2" s="1"/>
  <c r="S65" i="2"/>
  <c r="AE65" i="2"/>
  <c r="AG65" i="2" s="1"/>
  <c r="S69" i="2"/>
  <c r="C52" i="2" s="1"/>
  <c r="AE69" i="2"/>
  <c r="AG69" i="2" s="1"/>
  <c r="AR69" i="2" s="1"/>
  <c r="AS69" i="2" s="1"/>
  <c r="AT69" i="2" s="1"/>
  <c r="S29" i="2"/>
  <c r="AE29" i="2"/>
  <c r="AG29" i="2" s="1"/>
  <c r="G160" i="11"/>
  <c r="AE77" i="2"/>
  <c r="AG77" i="2" s="1"/>
  <c r="S77" i="2"/>
  <c r="S21" i="2"/>
  <c r="C51" i="2" s="1"/>
  <c r="AE21" i="2"/>
  <c r="AG21" i="2" s="1"/>
  <c r="AR21" i="2" s="1"/>
  <c r="AS21" i="2" s="1"/>
  <c r="AT21" i="2" s="1"/>
  <c r="S83" i="1"/>
  <c r="AE83" i="1"/>
  <c r="AG83" i="1" s="1"/>
  <c r="AR83" i="1" s="1"/>
  <c r="AS83" i="1" s="1"/>
  <c r="AT83" i="1" s="1"/>
  <c r="AE41" i="2"/>
  <c r="AG41" i="2" s="1"/>
  <c r="S41" i="2"/>
  <c r="AE18" i="1"/>
  <c r="AG18" i="1" s="1"/>
  <c r="AR18" i="1" s="1"/>
  <c r="AS18" i="1" s="1"/>
  <c r="AT18" i="1" s="1"/>
  <c r="S18" i="1"/>
  <c r="AE21" i="1"/>
  <c r="AG21" i="1" s="1"/>
  <c r="AR21" i="1" s="1"/>
  <c r="AS21" i="1" s="1"/>
  <c r="AT21" i="1" s="1"/>
  <c r="S21" i="1"/>
  <c r="AE17" i="1"/>
  <c r="AG17" i="1" s="1"/>
  <c r="S17" i="1"/>
  <c r="S11" i="2"/>
  <c r="C62" i="2" s="1"/>
  <c r="AE11" i="2"/>
  <c r="AG11" i="2" s="1"/>
  <c r="AR11" i="2" s="1"/>
  <c r="AS11" i="2" s="1"/>
  <c r="AT11" i="2" s="1"/>
  <c r="AE65" i="1"/>
  <c r="AG65" i="1" s="1"/>
  <c r="S65" i="1"/>
  <c r="AE53" i="2"/>
  <c r="AG53" i="2" s="1"/>
  <c r="S53" i="2"/>
  <c r="AE33" i="2"/>
  <c r="AG33" i="2" s="1"/>
  <c r="AR33" i="2" s="1"/>
  <c r="AS33" i="2" s="1"/>
  <c r="AT33" i="2" s="1"/>
  <c r="S33" i="2"/>
  <c r="C46" i="2" s="1"/>
  <c r="AE35" i="1"/>
  <c r="AG35" i="1" s="1"/>
  <c r="AR35" i="1" s="1"/>
  <c r="AS35" i="1" s="1"/>
  <c r="AT35" i="1" s="1"/>
  <c r="S35" i="1"/>
  <c r="G116" i="5"/>
  <c r="AE6" i="2"/>
  <c r="AG6" i="2" s="1"/>
  <c r="AR6" i="2" s="1"/>
  <c r="AS6" i="2" s="1"/>
  <c r="AT6" i="2" s="1"/>
  <c r="S6" i="2"/>
  <c r="C55" i="2" s="1"/>
  <c r="AE78" i="1"/>
  <c r="AG78" i="1" s="1"/>
  <c r="AR78" i="1" s="1"/>
  <c r="AS78" i="1" s="1"/>
  <c r="AT78" i="1" s="1"/>
  <c r="S78" i="1"/>
  <c r="AG23" i="1"/>
  <c r="AR23" i="1" s="1"/>
  <c r="AS23" i="1" s="1"/>
  <c r="AT23" i="1" s="1"/>
  <c r="S53" i="1"/>
  <c r="AE53" i="1"/>
  <c r="AG53" i="1" s="1"/>
  <c r="S9" i="1"/>
  <c r="AE9" i="1"/>
  <c r="AG9" i="1" s="1"/>
  <c r="AR9" i="1" s="1"/>
  <c r="AS9" i="1" s="1"/>
  <c r="AT9" i="1" s="1"/>
  <c r="AE45" i="2"/>
  <c r="AG45" i="2" s="1"/>
  <c r="AR45" i="2" s="1"/>
  <c r="AS45" i="2" s="1"/>
  <c r="AT45" i="2" s="1"/>
  <c r="S45" i="2"/>
  <c r="C47" i="2" s="1"/>
  <c r="S11" i="1"/>
  <c r="AE11" i="1"/>
  <c r="AG11" i="1" s="1"/>
  <c r="AR11" i="1" s="1"/>
  <c r="AS11" i="1" s="1"/>
  <c r="AT11" i="1" s="1"/>
  <c r="AE30" i="1"/>
  <c r="AG30" i="1" s="1"/>
  <c r="AR30" i="1" s="1"/>
  <c r="AS30" i="1" s="1"/>
  <c r="AT30" i="1" s="1"/>
  <c r="S30" i="1"/>
  <c r="AE33" i="1"/>
  <c r="AG33" i="1" s="1"/>
  <c r="AR33" i="1" s="1"/>
  <c r="AS33" i="1" s="1"/>
  <c r="AT33" i="1" s="1"/>
  <c r="S33" i="1"/>
  <c r="AE78" i="2"/>
  <c r="AG78" i="2" s="1"/>
  <c r="AR78" i="2" s="1"/>
  <c r="AS78" i="2" s="1"/>
  <c r="AT78" i="2" s="1"/>
  <c r="S78" i="2"/>
  <c r="C57" i="2" s="1"/>
  <c r="F29" i="6"/>
  <c r="F31" i="6" s="1"/>
  <c r="AE83" i="2"/>
  <c r="AG83" i="2" s="1"/>
  <c r="AR83" i="2" s="1"/>
  <c r="AS83" i="2" s="1"/>
  <c r="AT83" i="2" s="1"/>
  <c r="S83" i="2"/>
  <c r="C64" i="2" s="1"/>
  <c r="AE71" i="2"/>
  <c r="AG71" i="2" s="1"/>
  <c r="AR71" i="2" s="1"/>
  <c r="AS71" i="2" s="1"/>
  <c r="AT71" i="2" s="1"/>
  <c r="S71" i="2"/>
  <c r="C66" i="2" s="1"/>
  <c r="AE59" i="2"/>
  <c r="AG59" i="2" s="1"/>
  <c r="AR59" i="2" s="1"/>
  <c r="AS59" i="2" s="1"/>
  <c r="AT59" i="2" s="1"/>
  <c r="S59" i="2"/>
  <c r="C63" i="2" s="1"/>
  <c r="AE71" i="1"/>
  <c r="AG71" i="1" s="1"/>
  <c r="AR71" i="1" s="1"/>
  <c r="AS71" i="1" s="1"/>
  <c r="AT71" i="1" s="1"/>
  <c r="S71" i="1"/>
  <c r="AE66" i="1"/>
  <c r="AG66" i="1" s="1"/>
  <c r="AR66" i="1" s="1"/>
  <c r="AS66" i="1" s="1"/>
  <c r="AT66" i="1" s="1"/>
  <c r="S66" i="1"/>
  <c r="S45" i="1"/>
  <c r="AE45" i="1"/>
  <c r="AG45" i="1" s="1"/>
  <c r="AR45" i="1" s="1"/>
  <c r="AS45" i="1" s="1"/>
  <c r="AT45" i="1" s="1"/>
  <c r="S66" i="2"/>
  <c r="C59" i="2" s="1"/>
  <c r="AE66" i="2"/>
  <c r="AG66" i="2" s="1"/>
  <c r="AR66" i="2" s="1"/>
  <c r="AS66" i="2" s="1"/>
  <c r="AT66" i="2" s="1"/>
  <c r="AE18" i="2"/>
  <c r="AG18" i="2" s="1"/>
  <c r="AR18" i="2" s="1"/>
  <c r="AS18" i="2" s="1"/>
  <c r="AT18" i="2" s="1"/>
  <c r="S18" i="2"/>
  <c r="C58" i="2" s="1"/>
  <c r="S6" i="1"/>
  <c r="AE6" i="1"/>
  <c r="AG6" i="1" s="1"/>
  <c r="AR6" i="1" s="1"/>
  <c r="AS6" i="1" s="1"/>
  <c r="AT6" i="1" s="1"/>
  <c r="AE69" i="1"/>
  <c r="AG69" i="1" s="1"/>
  <c r="AR69" i="1" s="1"/>
  <c r="AS69" i="1" s="1"/>
  <c r="AT69" i="1" s="1"/>
  <c r="S69" i="1"/>
  <c r="S47" i="1"/>
  <c r="AE47" i="1"/>
  <c r="AG47" i="1" s="1"/>
  <c r="AR47" i="1" s="1"/>
  <c r="AS47" i="1" s="1"/>
  <c r="AT47" i="1" s="1"/>
  <c r="S35" i="2"/>
  <c r="C60" i="2" s="1"/>
  <c r="AE35" i="2"/>
  <c r="AG35" i="2" s="1"/>
  <c r="AR35" i="2" s="1"/>
  <c r="AS35" i="2" s="1"/>
  <c r="AT35" i="2" s="1"/>
  <c r="S9" i="2"/>
  <c r="C48" i="2" s="1"/>
  <c r="AE9" i="2"/>
  <c r="AG9" i="2" s="1"/>
  <c r="AR9" i="2" s="1"/>
  <c r="AS9" i="2" s="1"/>
  <c r="AT9" i="2" s="1"/>
  <c r="AE29" i="1"/>
  <c r="AG29" i="1" s="1"/>
  <c r="S29" i="1"/>
  <c r="U29" i="1" s="1"/>
  <c r="S57" i="2"/>
  <c r="C49" i="2" s="1"/>
  <c r="AE57" i="2"/>
  <c r="AG57" i="2" s="1"/>
  <c r="AR57" i="2" s="1"/>
  <c r="AS57" i="2" s="1"/>
  <c r="AT57" i="2" s="1"/>
  <c r="AE59" i="1"/>
  <c r="AG59" i="1" s="1"/>
  <c r="AR59" i="1" s="1"/>
  <c r="AS59" i="1" s="1"/>
  <c r="AT59" i="1" s="1"/>
  <c r="S59" i="1"/>
  <c r="AE41" i="1"/>
  <c r="AG41" i="1" s="1"/>
  <c r="S41" i="1"/>
  <c r="AE77" i="1"/>
  <c r="AG77" i="1" s="1"/>
  <c r="S77" i="1"/>
  <c r="U77" i="1" s="1"/>
  <c r="AE57" i="1"/>
  <c r="AG57" i="1" s="1"/>
  <c r="AR57" i="1" s="1"/>
  <c r="AS57" i="1" s="1"/>
  <c r="AT57" i="1" s="1"/>
  <c r="S57" i="1"/>
  <c r="AE5" i="2"/>
  <c r="AG5" i="2" s="1"/>
  <c r="S5" i="2"/>
  <c r="AE5" i="1"/>
  <c r="AG5" i="1" s="1"/>
  <c r="S5" i="1"/>
  <c r="S47" i="2"/>
  <c r="C61" i="2" s="1"/>
  <c r="AE47" i="2"/>
  <c r="AG47" i="2" s="1"/>
  <c r="AR47" i="2" s="1"/>
  <c r="AS47" i="2" s="1"/>
  <c r="AT47" i="2" s="1"/>
  <c r="AE17" i="2"/>
  <c r="AG17" i="2" s="1"/>
  <c r="S17" i="2"/>
  <c r="U53" i="1" l="1"/>
  <c r="AR17" i="2"/>
  <c r="AS17" i="2" s="1"/>
  <c r="AT17" i="2" s="1"/>
  <c r="AI17" i="2"/>
  <c r="AK17" i="2" s="1"/>
  <c r="AI41" i="1"/>
  <c r="AK41" i="1" s="1"/>
  <c r="AR41" i="1"/>
  <c r="AS41" i="1" s="1"/>
  <c r="AT41" i="1" s="1"/>
  <c r="AR41" i="2"/>
  <c r="AS41" i="2" s="1"/>
  <c r="AT41" i="2" s="1"/>
  <c r="AI41" i="2"/>
  <c r="AK41" i="2" s="1"/>
  <c r="C27" i="2"/>
  <c r="I27" i="2" s="1"/>
  <c r="S4" i="2"/>
  <c r="U5" i="2"/>
  <c r="U65" i="1"/>
  <c r="U17" i="1"/>
  <c r="C29" i="2"/>
  <c r="I29" i="2" s="1"/>
  <c r="U77" i="2"/>
  <c r="C25" i="2"/>
  <c r="I25" i="2" s="1"/>
  <c r="U29" i="2"/>
  <c r="C31" i="2"/>
  <c r="I31" i="2" s="1"/>
  <c r="U65" i="2"/>
  <c r="AR5" i="1"/>
  <c r="AS5" i="1" s="1"/>
  <c r="AT5" i="1" s="1"/>
  <c r="AI5" i="1"/>
  <c r="AI53" i="2"/>
  <c r="AK53" i="2" s="1"/>
  <c r="AR53" i="2"/>
  <c r="AS53" i="2" s="1"/>
  <c r="AT53" i="2" s="1"/>
  <c r="AI65" i="2"/>
  <c r="AK65" i="2" s="1"/>
  <c r="AR65" i="2"/>
  <c r="AS65" i="2" s="1"/>
  <c r="AT65" i="2" s="1"/>
  <c r="F114" i="6"/>
  <c r="AR65" i="1"/>
  <c r="AS65" i="1" s="1"/>
  <c r="AT65" i="1" s="1"/>
  <c r="AI65" i="1"/>
  <c r="AK65" i="1" s="1"/>
  <c r="AI17" i="1"/>
  <c r="AK17" i="1" s="1"/>
  <c r="AR17" i="1"/>
  <c r="AS17" i="1" s="1"/>
  <c r="AT17" i="1" s="1"/>
  <c r="AR77" i="2"/>
  <c r="AS77" i="2" s="1"/>
  <c r="AT77" i="2" s="1"/>
  <c r="AI77" i="2"/>
  <c r="AK77" i="2" s="1"/>
  <c r="AI29" i="2"/>
  <c r="AK29" i="2" s="1"/>
  <c r="AR29" i="2"/>
  <c r="AS29" i="2" s="1"/>
  <c r="AT29" i="2" s="1"/>
  <c r="AI5" i="2"/>
  <c r="AR5" i="2"/>
  <c r="AS5" i="2" s="1"/>
  <c r="AT5" i="2" s="1"/>
  <c r="AR77" i="1"/>
  <c r="AS77" i="1" s="1"/>
  <c r="AT77" i="1" s="1"/>
  <c r="AI77" i="1"/>
  <c r="AK77" i="1" s="1"/>
  <c r="AR29" i="1"/>
  <c r="AS29" i="1" s="1"/>
  <c r="AT29" i="1" s="1"/>
  <c r="AI29" i="1"/>
  <c r="AK29" i="1" s="1"/>
  <c r="U17" i="2"/>
  <c r="C30" i="2"/>
  <c r="I30" i="2" s="1"/>
  <c r="U5" i="1"/>
  <c r="S4" i="1"/>
  <c r="U41" i="1"/>
  <c r="AI53" i="1"/>
  <c r="AK53" i="1" s="1"/>
  <c r="AR53" i="1"/>
  <c r="AS53" i="1" s="1"/>
  <c r="AT53" i="1" s="1"/>
  <c r="U53" i="2"/>
  <c r="C28" i="2"/>
  <c r="I28" i="2" s="1"/>
  <c r="U41" i="2"/>
  <c r="C26" i="2"/>
  <c r="I26" i="2" s="1"/>
  <c r="W4" i="1" l="1"/>
  <c r="U4" i="1"/>
  <c r="AK5" i="2"/>
  <c r="AI4" i="2"/>
  <c r="AK5" i="1"/>
  <c r="AI4" i="1"/>
  <c r="X17" i="1"/>
  <c r="W4" i="2"/>
  <c r="U4" i="2"/>
  <c r="X41" i="2" s="1"/>
  <c r="X53" i="2" l="1"/>
  <c r="X77" i="2"/>
  <c r="X53" i="1"/>
  <c r="X29" i="1"/>
  <c r="X77" i="1"/>
  <c r="X65" i="2"/>
  <c r="X41" i="1"/>
  <c r="X5" i="1"/>
  <c r="X29" i="2"/>
  <c r="X17" i="2"/>
  <c r="X5" i="2"/>
  <c r="X65" i="1"/>
</calcChain>
</file>

<file path=xl/sharedStrings.xml><?xml version="1.0" encoding="utf-8"?>
<sst xmlns="http://schemas.openxmlformats.org/spreadsheetml/2006/main" count="10385" uniqueCount="2880">
  <si>
    <t>How much do we make</t>
  </si>
  <si>
    <t>who gets it</t>
  </si>
  <si>
    <t>who gets it total</t>
  </si>
  <si>
    <t>who gets it/per capita</t>
  </si>
  <si>
    <t>total</t>
  </si>
  <si>
    <t>How much should people get /cap</t>
  </si>
  <si>
    <t>by food</t>
  </si>
  <si>
    <t>How much is needed (xpop)</t>
  </si>
  <si>
    <t>plus waste</t>
  </si>
  <si>
    <t>How much is needed</t>
  </si>
  <si>
    <t>overshoot/undershoot</t>
  </si>
  <si>
    <t>production from column 1</t>
  </si>
  <si>
    <t>original</t>
  </si>
  <si>
    <t>merged categories</t>
  </si>
  <si>
    <t>animal feed %</t>
  </si>
  <si>
    <t>biofuels %</t>
  </si>
  <si>
    <t>total % redirected</t>
  </si>
  <si>
    <t>adjusted totals</t>
  </si>
  <si>
    <t>display totals</t>
  </si>
  <si>
    <t>region</t>
  </si>
  <si>
    <t>food</t>
  </si>
  <si>
    <t>% of supply / consumption</t>
  </si>
  <si>
    <t>checksum</t>
  </si>
  <si>
    <t>difference</t>
  </si>
  <si>
    <t>total adjusted supply</t>
  </si>
  <si>
    <t>old numbers</t>
  </si>
  <si>
    <t>total adjusted supply (in new food groups)</t>
  </si>
  <si>
    <t>old numbers for check sum</t>
  </si>
  <si>
    <t>new adjusted total</t>
  </si>
  <si>
    <t>% of total</t>
  </si>
  <si>
    <t>old total</t>
  </si>
  <si>
    <t>% of world population</t>
  </si>
  <si>
    <t>kg / capita</t>
  </si>
  <si>
    <t>kg/cap (old)</t>
  </si>
  <si>
    <t>kg / capita (in new food groups)</t>
  </si>
  <si>
    <t>by food groups(old)</t>
  </si>
  <si>
    <t>calculation for chart</t>
  </si>
  <si>
    <t>recommended consumption</t>
  </si>
  <si>
    <t>total recommended consumption</t>
  </si>
  <si>
    <t>over- or under- shoot</t>
  </si>
  <si>
    <t>% over or under</t>
  </si>
  <si>
    <t>calc for chart</t>
  </si>
  <si>
    <t>population</t>
  </si>
  <si>
    <t>m tonnes</t>
  </si>
  <si>
    <t>m Tonnes</t>
  </si>
  <si>
    <t>mTonnes</t>
  </si>
  <si>
    <t>total waste</t>
  </si>
  <si>
    <t>for the graphic</t>
  </si>
  <si>
    <t>live numbers</t>
  </si>
  <si>
    <t>pre-check</t>
  </si>
  <si>
    <t>pixels</t>
  </si>
  <si>
    <t>ratio</t>
  </si>
  <si>
    <t>m/tonnes</t>
  </si>
  <si>
    <t>for checking</t>
  </si>
  <si>
    <t>kg/cap</t>
  </si>
  <si>
    <t>ignore</t>
  </si>
  <si>
    <t>kg/cap/year</t>
  </si>
  <si>
    <t>SQRT</t>
  </si>
  <si>
    <t>old</t>
  </si>
  <si>
    <t>exc waste</t>
  </si>
  <si>
    <t>inc. waste</t>
  </si>
  <si>
    <t>%</t>
  </si>
  <si>
    <t>Startch Veg</t>
  </si>
  <si>
    <t>S Asia</t>
  </si>
  <si>
    <t>Starch Veg</t>
  </si>
  <si>
    <t>Whole Grains</t>
  </si>
  <si>
    <t>Vegetables</t>
  </si>
  <si>
    <t>Fruit</t>
  </si>
  <si>
    <t>milk &amp; Dairy</t>
  </si>
  <si>
    <t>red meat</t>
  </si>
  <si>
    <t>read meat</t>
  </si>
  <si>
    <t>Poultry</t>
  </si>
  <si>
    <t>Fish &amp; Seafood</t>
  </si>
  <si>
    <t>eggs</t>
  </si>
  <si>
    <t>Legumes &amp; nuts</t>
  </si>
  <si>
    <t>Legumes</t>
  </si>
  <si>
    <t>Nuts</t>
  </si>
  <si>
    <t>nuts</t>
  </si>
  <si>
    <t>Waste</t>
  </si>
  <si>
    <t>E Asia &amp; Oceania</t>
  </si>
  <si>
    <t>animal feed</t>
  </si>
  <si>
    <t>biofuels</t>
  </si>
  <si>
    <t>Eat Lancet ideal Diet</t>
  </si>
  <si>
    <t>per cap consumption requirements</t>
  </si>
  <si>
    <t>g/day</t>
  </si>
  <si>
    <t>g/year</t>
  </si>
  <si>
    <t>kg/year</t>
  </si>
  <si>
    <t>starchy veg</t>
  </si>
  <si>
    <t>whole grains</t>
  </si>
  <si>
    <t>veg &amp; fruit</t>
  </si>
  <si>
    <t>SSAfrica</t>
  </si>
  <si>
    <t>milk</t>
  </si>
  <si>
    <t>redmeat</t>
  </si>
  <si>
    <t>other asf</t>
  </si>
  <si>
    <t>legumes</t>
  </si>
  <si>
    <t>EMEA</t>
  </si>
  <si>
    <t>SUB SAHARAN AFRICA</t>
  </si>
  <si>
    <t>Middle East &amp; North Africa</t>
  </si>
  <si>
    <t>South Asia</t>
  </si>
  <si>
    <t>Europe &amp; Central Asia</t>
  </si>
  <si>
    <t>N.America</t>
  </si>
  <si>
    <t>East Asia &amp; Pacific</t>
  </si>
  <si>
    <t>Latin America &amp; Caribbean</t>
  </si>
  <si>
    <t>Europe</t>
  </si>
  <si>
    <t>L Am</t>
  </si>
  <si>
    <t>N Am</t>
  </si>
  <si>
    <t>tina merged categories</t>
  </si>
  <si>
    <t>SANKEY LIVE DATA</t>
  </si>
  <si>
    <t>From</t>
  </si>
  <si>
    <t>To</t>
  </si>
  <si>
    <t>Amount</t>
  </si>
  <si>
    <t>from</t>
  </si>
  <si>
    <t>to</t>
  </si>
  <si>
    <t>cell no</t>
  </si>
  <si>
    <t>Starchy Veg</t>
  </si>
  <si>
    <t>SS Africa</t>
  </si>
  <si>
    <t>S. Asia</t>
  </si>
  <si>
    <t>N. America</t>
  </si>
  <si>
    <t>N. Am</t>
  </si>
  <si>
    <t>E. Asia</t>
  </si>
  <si>
    <t>E Asia</t>
  </si>
  <si>
    <t>Latin</t>
  </si>
  <si>
    <t>Latin Am</t>
  </si>
  <si>
    <t>Red Meat</t>
  </si>
  <si>
    <t>Fruit &amp; Veg</t>
  </si>
  <si>
    <t>Milk &amp; Dairy</t>
  </si>
  <si>
    <t>Poultry, Fish &amp; Eggs</t>
  </si>
  <si>
    <t>Legumes &amp; Nuts</t>
  </si>
  <si>
    <t>Animal Feed</t>
  </si>
  <si>
    <t>Biofuels</t>
  </si>
  <si>
    <t>PRODUCTION
m/tonnes per year</t>
  </si>
  <si>
    <t>CONSUMPTION (absolute)</t>
  </si>
  <si>
    <t>adjusted for animal feed / biofuels</t>
  </si>
  <si>
    <t>Sub-Saharan Africa</t>
  </si>
  <si>
    <t>Latin America &amp; Carribean</t>
  </si>
  <si>
    <t>North America</t>
  </si>
  <si>
    <t>TOTAL</t>
  </si>
  <si>
    <t>Starchy Vegetables</t>
  </si>
  <si>
    <t>Whole grains</t>
  </si>
  <si>
    <t>Red meat</t>
  </si>
  <si>
    <t>Eggs</t>
  </si>
  <si>
    <t>Legumes &amp; Pulses</t>
  </si>
  <si>
    <t>total per region</t>
  </si>
  <si>
    <t>tonnes</t>
  </si>
  <si>
    <t>tonnes per person</t>
  </si>
  <si>
    <t>MILK</t>
  </si>
  <si>
    <t>EGGS</t>
  </si>
  <si>
    <t>RED MEAT</t>
  </si>
  <si>
    <t>POULTRY</t>
  </si>
  <si>
    <t>STARCHY VEGETABLES</t>
  </si>
  <si>
    <t>FISH &amp; SEAFOOD</t>
  </si>
  <si>
    <t>VEGETABLES</t>
  </si>
  <si>
    <t>FRUIT</t>
  </si>
  <si>
    <t>LEGUMES &amp; PULSES</t>
  </si>
  <si>
    <t>WHOLE GRAINS</t>
  </si>
  <si>
    <t>NUTS</t>
  </si>
  <si>
    <t>https://docs.google.com/spreadsheets/d/1fOAVtnC9Lamg3OwHV32IVsY-Ddum88g-3HALPe4BcHk/edit#gid=278328832</t>
  </si>
  <si>
    <t>https://docs.google.com/spreadsheets/d/1fOAVtnC9Lamg3OwHV32IVsY-Ddum88g-3HALPe4BcHk/edit#gid=1286927044</t>
  </si>
  <si>
    <t>https://docs.google.com/spreadsheets/d/1fOAVtnC9Lamg3OwHV32IVsY-Ddum88g-3HALPe4BcHk/edit#gid=619456874</t>
  </si>
  <si>
    <t>https://docs.google.com/spreadsheets/d/1fOAVtnC9Lamg3OwHV32IVsY-Ddum88g-3HALPe4BcHk/edit#gid=1250427895</t>
  </si>
  <si>
    <t>https://docs.google.com/spreadsheets/d/1fOAVtnC9Lamg3OwHV32IVsY-Ddum88g-3HALPe4BcHk/edit#gid=651659921</t>
  </si>
  <si>
    <t>https://docs.google.com/spreadsheets/d/1fOAVtnC9Lamg3OwHV32IVsY-Ddum88g-3HALPe4BcHk/edit#gid=504955516</t>
  </si>
  <si>
    <t>https://docs.google.com/spreadsheets/d/1fOAVtnC9Lamg3OwHV32IVsY-Ddum88g-3HALPe4BcHk/edit#gid=305498588</t>
  </si>
  <si>
    <t>https://docs.google.com/spreadsheets/d/1fOAVtnC9Lamg3OwHV32IVsY-Ddum88g-3HALPe4BcHk/edit#gid=254233001</t>
  </si>
  <si>
    <t>https://docs.google.com/spreadsheets/d/1fOAVtnC9Lamg3OwHV32IVsY-Ddum88g-3HALPe4BcHk/edit#gid=705662649</t>
  </si>
  <si>
    <t>https://docs.google.com/spreadsheets/d/1fOAVtnC9Lamg3OwHV32IVsY-Ddum88g-3HALPe4BcHk/edit#gid=1256257963</t>
  </si>
  <si>
    <t>https://docs.google.com/spreadsheets/d/1fOAVtnC9Lamg3OwHV32IVsY-Ddum88g-3HALPe4BcHk/edit#gid=171821835</t>
  </si>
  <si>
    <t>kg/per person/year</t>
  </si>
  <si>
    <t>% per person</t>
  </si>
  <si>
    <t>total pop</t>
  </si>
  <si>
    <t>ALL FOODS</t>
  </si>
  <si>
    <t>average kg / y for region</t>
  </si>
  <si>
    <t>% breakdown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</si>
  <si>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</si>
  <si>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</si>
  <si>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</si>
  <si>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</si>
  <si>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</si>
  <si>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</si>
  <si>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</si>
  <si>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</si>
  <si>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</si>
  <si>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 xml:space="preserve">Congo  </t>
  </si>
  <si>
    <t>Côte d'Ivoire</t>
  </si>
  <si>
    <t>Djibouti</t>
  </si>
  <si>
    <t>Equatorial Guinea</t>
  </si>
  <si>
    <t>Eritrea</t>
  </si>
  <si>
    <t>Ethiopia</t>
  </si>
  <si>
    <t>Gabon</t>
  </si>
  <si>
    <t>The 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</si>
  <si>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</si>
  <si>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</si>
  <si>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</si>
  <si>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</si>
  <si>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</si>
  <si>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</si>
  <si>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</si>
  <si>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</si>
  <si>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</si>
  <si>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</si>
  <si>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</si>
  <si>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</si>
  <si>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</si>
  <si>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</si>
  <si>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</si>
  <si>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</si>
  <si>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</si>
  <si>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</si>
  <si>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Sierra Leone</t>
  </si>
  <si>
    <t>Somalia</t>
  </si>
  <si>
    <t>South Africa</t>
  </si>
  <si>
    <t>Swaziland / Eswatini</t>
  </si>
  <si>
    <t>Tanzania</t>
  </si>
  <si>
    <t>Togo</t>
  </si>
  <si>
    <t>Uganda</t>
  </si>
  <si>
    <t>Zambia</t>
  </si>
  <si>
    <t>Zimbabwe</t>
  </si>
  <si>
    <t>average kg/y for region</t>
  </si>
  <si>
    <t>% of all foods</t>
  </si>
  <si>
    <t>Algeria</t>
  </si>
  <si>
    <t>Morocco</t>
  </si>
  <si>
    <t>Sudan</t>
  </si>
  <si>
    <t>Tunisia</t>
  </si>
  <si>
    <t>Libya</t>
  </si>
  <si>
    <t>Egypt</t>
  </si>
  <si>
    <t>Iran</t>
  </si>
  <si>
    <t>Iraq</t>
  </si>
  <si>
    <t>Israel</t>
  </si>
  <si>
    <t>Jordan</t>
  </si>
  <si>
    <t>Kuwait</t>
  </si>
  <si>
    <t>Lebanon</t>
  </si>
  <si>
    <t>Oman</t>
  </si>
  <si>
    <t>Saudi Arabia</t>
  </si>
  <si>
    <t>Syria</t>
  </si>
  <si>
    <t>UAE</t>
  </si>
  <si>
    <t>Yemen</t>
  </si>
  <si>
    <t>Bangladesh</t>
  </si>
  <si>
    <t>India</t>
  </si>
  <si>
    <t>Nepal</t>
  </si>
  <si>
    <t>Pakistan</t>
  </si>
  <si>
    <t>Albania</t>
  </si>
  <si>
    <t>Austria</t>
  </si>
  <si>
    <t>Belarus</t>
  </si>
  <si>
    <t>Belgium</t>
  </si>
  <si>
    <t>Bosnia and Herzegovina</t>
  </si>
  <si>
    <t>Bulgaria</t>
  </si>
  <si>
    <t>Croatia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</si>
  <si>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</si>
  <si>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</si>
  <si>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</si>
  <si>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</si>
  <si>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</si>
  <si>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</si>
  <si>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</si>
  <si>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</si>
  <si>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</si>
  <si>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</si>
  <si>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</si>
  <si>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</si>
  <si>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</si>
  <si>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</si>
  <si>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Malta</t>
  </si>
  <si>
    <t>Montenegro</t>
  </si>
  <si>
    <t>Netherlands</t>
  </si>
  <si>
    <t>North Macedonia</t>
  </si>
  <si>
    <t>Norway</t>
  </si>
  <si>
    <t>Poland</t>
  </si>
  <si>
    <t>Portugal</t>
  </si>
  <si>
    <t>Republic of Moldova</t>
  </si>
  <si>
    <t>Romania</t>
  </si>
  <si>
    <t>Russian Federation</t>
  </si>
  <si>
    <t>Serbia</t>
  </si>
  <si>
    <t>Slovakia</t>
  </si>
  <si>
    <t>Slovenia</t>
  </si>
  <si>
    <t>Spain</t>
  </si>
  <si>
    <t>Sweden</t>
  </si>
  <si>
    <t>Switzerland</t>
  </si>
  <si>
    <t>Ukraine</t>
  </si>
  <si>
    <t xml:space="preserve">UK. </t>
  </si>
  <si>
    <t>Afghanistan</t>
  </si>
  <si>
    <t>Armenia</t>
  </si>
  <si>
    <t>Azerbijan</t>
  </si>
  <si>
    <t>Georgia</t>
  </si>
  <si>
    <t>Kazakhstan</t>
  </si>
  <si>
    <t>Kyrgyzsran</t>
  </si>
  <si>
    <t>Mongolia</t>
  </si>
  <si>
    <t>Tajikistan</t>
  </si>
  <si>
    <t>Uzbekistan</t>
  </si>
  <si>
    <t>Turkey</t>
  </si>
  <si>
    <t>Turkmenistan</t>
  </si>
  <si>
    <t>Canada</t>
  </si>
  <si>
    <t>USA</t>
  </si>
  <si>
    <t>Australia</t>
  </si>
  <si>
    <t>Brunei</t>
  </si>
  <si>
    <t>Cambodia</t>
  </si>
  <si>
    <t>China</t>
  </si>
  <si>
    <t>Indonesia</t>
  </si>
  <si>
    <t>Japan</t>
  </si>
  <si>
    <t>Malaysia</t>
  </si>
  <si>
    <t>Myanmar</t>
  </si>
  <si>
    <t>New Zealand</t>
  </si>
  <si>
    <t>North Korea</t>
  </si>
  <si>
    <t>Papua New Guinea</t>
  </si>
  <si>
    <t>Phillipines</t>
  </si>
  <si>
    <t>South Korea</t>
  </si>
  <si>
    <t>Thailand</t>
  </si>
  <si>
    <t>Vietnam</t>
  </si>
  <si>
    <t>Argentina</t>
  </si>
  <si>
    <t>Belize</t>
  </si>
  <si>
    <t xml:space="preserve">Bolivia </t>
  </si>
  <si>
    <t>Brazil</t>
  </si>
  <si>
    <t>Chile</t>
  </si>
  <si>
    <t>Colombia</t>
  </si>
  <si>
    <t>Costa Rica</t>
  </si>
  <si>
    <t>Ecuador</t>
  </si>
  <si>
    <t>El Salvador</t>
  </si>
  <si>
    <t>Guatemala</t>
  </si>
  <si>
    <t>Guyana</t>
  </si>
  <si>
    <t>Honduras</t>
  </si>
  <si>
    <t>Mexico</t>
  </si>
  <si>
    <t>Nicaragua</t>
  </si>
  <si>
    <t>Panama</t>
  </si>
  <si>
    <t>Paraguay</t>
  </si>
  <si>
    <t>Peru</t>
  </si>
  <si>
    <t>Suriname</t>
  </si>
  <si>
    <t>Uruguay</t>
  </si>
  <si>
    <t>Venezuela</t>
  </si>
  <si>
    <t>\</t>
  </si>
  <si>
    <t>SANKEY DATA</t>
  </si>
  <si>
    <t>CONSUMPTION (relative to population size)</t>
  </si>
  <si>
    <t>total consumption</t>
  </si>
  <si>
    <t>million tonnes per year</t>
  </si>
  <si>
    <t>tonnes per year</t>
  </si>
  <si>
    <t>Consumption per person</t>
  </si>
  <si>
    <t>PRODUCTION</t>
  </si>
  <si>
    <t>note</t>
  </si>
  <si>
    <t>Lancet categories</t>
  </si>
  <si>
    <t>million tonnes</t>
  </si>
  <si>
    <t>data year</t>
  </si>
  <si>
    <t>source</t>
  </si>
  <si>
    <t>beef, buffalo, lamb, pigmeat, goat</t>
  </si>
  <si>
    <t>https://ourworldindata.org/meat-production</t>
  </si>
  <si>
    <t>https://docs.google.com/spreadsheets/d/1fOAVtnC9Lamg3OwHV32IVsY-Ddum88g-3HALPe4BcHk/edit#gid=1791862272</t>
  </si>
  <si>
    <t>cassava, potatoes, squashes</t>
  </si>
  <si>
    <t>Starchy vegetables</t>
  </si>
  <si>
    <t>https://ourworldindata.org/meat-production#global-meat-production</t>
  </si>
  <si>
    <t>Dairy</t>
  </si>
  <si>
    <t>Fish</t>
  </si>
  <si>
    <t>https://ourworldindata.org/seafood-production?country=</t>
  </si>
  <si>
    <t>broccoli, tomatoes, cauliflower etc</t>
  </si>
  <si>
    <t>https://www.statista.com/statistics/264059/production-volume-of-vegetables-and-melons-worldwide-since-1990/</t>
  </si>
  <si>
    <t>Fruits</t>
  </si>
  <si>
    <t>https://www.statista.com/statistics/262266/global-production-of-fresh-fruit/</t>
  </si>
  <si>
    <t>https://ourworldindata.org/soy</t>
  </si>
  <si>
    <t>wheat, rice, barley, corn, oats, rye etc</t>
  </si>
  <si>
    <t>https://www.statista.com/statistics/263977/world-grain-production-by-type/</t>
  </si>
  <si>
    <t>https://ourworldindata.org/agricultural-production</t>
  </si>
  <si>
    <t>https://en.wikipedia.org/wiki/Whole_grain</t>
  </si>
  <si>
    <t>https://www.statista.com/statistics/1030933/tree-nut-global-production/</t>
  </si>
  <si>
    <t>Animal feed</t>
  </si>
  <si>
    <t>whole grains 41%, soy 77%</t>
  </si>
  <si>
    <t>Starchy Vegetable</t>
  </si>
  <si>
    <t>Cassava</t>
  </si>
  <si>
    <t>https://ourworldindata.org/grapher/cassava-production?tab=chart&amp;country=CHN~KEN~SOM~ZWE~BRA~OWID_WRL</t>
  </si>
  <si>
    <t>Potatoes</t>
  </si>
  <si>
    <t>https://www.statista.com/statistics/382174/global-potato-production/</t>
  </si>
  <si>
    <t>Squashs &amp; gourds</t>
  </si>
  <si>
    <t>https://www.statista.com/statistics/264065/global-production-of-vegetables-by-type/</t>
  </si>
  <si>
    <t>Yams</t>
  </si>
  <si>
    <t>Sweet Potato</t>
  </si>
  <si>
    <t>Soy</t>
  </si>
  <si>
    <t>77% goes into animal feed, 19% human food, 3.8% industry</t>
  </si>
  <si>
    <t>Pulses</t>
  </si>
  <si>
    <t>peas, lentils, beans</t>
  </si>
  <si>
    <t>http://www.fao.org/faostat/en/#data/QC</t>
  </si>
  <si>
    <t>Whole grains as feed</t>
  </si>
  <si>
    <t>Industrial use</t>
  </si>
  <si>
    <t>i.e. biofuels</t>
  </si>
  <si>
    <t>https://ourworldindata.org/grapher/cereal-distribution-to-uses?country=~OWID_WRL</t>
  </si>
  <si>
    <t>https://ourworldindata.org/land-use-diets</t>
  </si>
  <si>
    <t>Human food</t>
  </si>
  <si>
    <t>Total</t>
  </si>
  <si>
    <t>CONSUMPTION (proportion of food types)</t>
  </si>
  <si>
    <t>M</t>
  </si>
  <si>
    <t>W</t>
  </si>
  <si>
    <t>H</t>
  </si>
  <si>
    <t>R</t>
  </si>
  <si>
    <t>C</t>
  </si>
  <si>
    <t>AB</t>
  </si>
  <si>
    <t>AG</t>
  </si>
  <si>
    <t>AL</t>
  </si>
  <si>
    <t>AQ</t>
  </si>
  <si>
    <t>AV</t>
  </si>
  <si>
    <t>BA</t>
  </si>
  <si>
    <t>E</t>
  </si>
  <si>
    <t>F</t>
  </si>
  <si>
    <t>G</t>
  </si>
  <si>
    <t>I</t>
  </si>
  <si>
    <t>J</t>
  </si>
  <si>
    <t>K</t>
  </si>
  <si>
    <t>Sub-saharan</t>
  </si>
  <si>
    <t>Middle East</t>
  </si>
  <si>
    <t>EU &amp; Central</t>
  </si>
  <si>
    <t>East Asia</t>
  </si>
  <si>
    <t>Latin America</t>
  </si>
  <si>
    <t>Antigua and Barbuda</t>
  </si>
  <si>
    <t>Azerbaijan</t>
  </si>
  <si>
    <t>Bahamas</t>
  </si>
  <si>
    <t>Barbados</t>
  </si>
  <si>
    <t>Bolivia (Plurinational State of)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</si>
  <si>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</si>
  <si>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</si>
  <si>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</si>
  <si>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</si>
  <si>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</si>
  <si>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</si>
  <si>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Cuba</t>
  </si>
  <si>
    <t>Cyprus</t>
  </si>
  <si>
    <t>Democratic People's Republic of Korea</t>
  </si>
  <si>
    <t>Dominica</t>
  </si>
  <si>
    <t>Dominican Republic</t>
  </si>
  <si>
    <t>Eswatini</t>
  </si>
  <si>
    <t>Fiji</t>
  </si>
  <si>
    <t>French Polynesia</t>
  </si>
  <si>
    <t>Gambia</t>
  </si>
  <si>
    <t>Grenada</t>
  </si>
  <si>
    <t>Haiti</t>
  </si>
  <si>
    <t>Iran (Islamic Republic of)</t>
  </si>
  <si>
    <t>Jamaica</t>
  </si>
  <si>
    <t>Kiribati</t>
  </si>
  <si>
    <t>Kyrgyzstan</t>
  </si>
  <si>
    <t>Lao People's Democratic Republic</t>
  </si>
  <si>
    <t>Maldives</t>
  </si>
  <si>
    <t>New Caledonia</t>
  </si>
  <si>
    <t>Philippines</t>
  </si>
  <si>
    <t>Republic of Korea</t>
  </si>
  <si>
    <t>Saint Kitts and Nevis</t>
  </si>
  <si>
    <t>Saint Lucia</t>
  </si>
  <si>
    <t>Saint Vincent and the Grenadines</t>
  </si>
  <si>
    <t>Samoa</t>
  </si>
  <si>
    <t>Solomon Islands</t>
  </si>
  <si>
    <t>Sri Lanka</t>
  </si>
  <si>
    <t>Timor-Leste</t>
  </si>
  <si>
    <t>Trinidad and Tobago</t>
  </si>
  <si>
    <t>United Arab Emirates</t>
  </si>
  <si>
    <t>United Kingdom of Great Britain and Northern Ireland</t>
  </si>
  <si>
    <t>United Republic of Tanzania</t>
  </si>
  <si>
    <t>United States of America</t>
  </si>
  <si>
    <t>Vanuatu</t>
  </si>
  <si>
    <t>Venezuela (Bolivarian Republic of)</t>
  </si>
  <si>
    <t>Viet Nam</t>
  </si>
  <si>
    <t>WHEAT</t>
  </si>
  <si>
    <t>RICE</t>
  </si>
  <si>
    <t>BARLEY</t>
  </si>
  <si>
    <t>MAIZE</t>
  </si>
  <si>
    <t>OATS</t>
  </si>
  <si>
    <t>OTHER CEREALS</t>
  </si>
  <si>
    <t>SORGHUM</t>
  </si>
  <si>
    <t>RYE</t>
  </si>
  <si>
    <t>MILLET</t>
  </si>
  <si>
    <t>STARCHY VEG</t>
  </si>
  <si>
    <t>potatoes</t>
  </si>
  <si>
    <t>cassava</t>
  </si>
  <si>
    <t>sweet potato</t>
  </si>
  <si>
    <t>YAMS</t>
  </si>
  <si>
    <t>roots</t>
  </si>
  <si>
    <t>http://www.fao.org/faostat/en/#data/FBS</t>
  </si>
  <si>
    <t>62.23 kg</t>
  </si>
  <si>
    <t>Africa</t>
  </si>
  <si>
    <t>43.82 kg</t>
  </si>
  <si>
    <t>303.72 kg</t>
  </si>
  <si>
    <t>141.53 kg</t>
  </si>
  <si>
    <t>Americas</t>
  </si>
  <si>
    <t>168.84 kg</t>
  </si>
  <si>
    <t>12.30 kg</t>
  </si>
  <si>
    <t>123.74 kg</t>
  </si>
  <si>
    <t>195.08 kg</t>
  </si>
  <si>
    <t>209.03 kg</t>
  </si>
  <si>
    <t>Asia</t>
  </si>
  <si>
    <t>60.31 kg</t>
  </si>
  <si>
    <t>Asia, Central</t>
  </si>
  <si>
    <t>168.68 kg</t>
  </si>
  <si>
    <t>234.49 kg</t>
  </si>
  <si>
    <t>Australia &amp; New Zealand</t>
  </si>
  <si>
    <t>218.76 kg</t>
  </si>
  <si>
    <t>258.09 kg</t>
  </si>
  <si>
    <t>152.07 kg</t>
  </si>
  <si>
    <t>104.76 kg</t>
  </si>
  <si>
    <t>21.91 kg</t>
  </si>
  <si>
    <t>110.48 kg</t>
  </si>
  <si>
    <t>133.73 kg</t>
  </si>
  <si>
    <t>236.19 kg</t>
  </si>
  <si>
    <t>Belgium-Luxembourg</t>
  </si>
  <si>
    <t>1999 227.86 kg</t>
  </si>
  <si>
    <t>80.30 kg</t>
  </si>
  <si>
    <t>8.40 kg</t>
  </si>
  <si>
    <t>Bermuda</t>
  </si>
  <si>
    <t>95.56 kg</t>
  </si>
  <si>
    <t>Bolivia</t>
  </si>
  <si>
    <t>46.04 kg</t>
  </si>
  <si>
    <t>174.03 kg</t>
  </si>
  <si>
    <t>117.74 kg</t>
  </si>
  <si>
    <t>149.28 kg</t>
  </si>
  <si>
    <t>70.47 kg</t>
  </si>
  <si>
    <t>155.71 kg</t>
  </si>
  <si>
    <t>29.79 kg</t>
  </si>
  <si>
    <t>3.47 kg</t>
  </si>
  <si>
    <t>15.27 kg</t>
  </si>
  <si>
    <t>187.77 kg</t>
  </si>
  <si>
    <t>115.64 kg</t>
  </si>
  <si>
    <t>Caribbean</t>
  </si>
  <si>
    <t>69.86 kg</t>
  </si>
  <si>
    <t>13.53 kg</t>
  </si>
  <si>
    <t>Central America</t>
  </si>
  <si>
    <t>105.40 kg</t>
  </si>
  <si>
    <t>20.63 kg</t>
  </si>
  <si>
    <t>116.11 kg</t>
  </si>
  <si>
    <t>32.66 kg</t>
  </si>
  <si>
    <t>108.47 kg</t>
  </si>
  <si>
    <t>10.69 kg</t>
  </si>
  <si>
    <t>183.28 kg</t>
  </si>
  <si>
    <t>Cote d'Ivoire</t>
  </si>
  <si>
    <t>6.36 kg</t>
  </si>
  <si>
    <t>231.02 kg</t>
  </si>
  <si>
    <t>99.94 kg</t>
  </si>
  <si>
    <t>113.31 kg</t>
  </si>
  <si>
    <t>195.20 kg</t>
  </si>
  <si>
    <t>Czechoslovakia</t>
  </si>
  <si>
    <t>1992 134.46 kg</t>
  </si>
  <si>
    <t>277.30 kg</t>
  </si>
  <si>
    <t>59.81 kg</t>
  </si>
  <si>
    <t>136.93 kg</t>
  </si>
  <si>
    <t>73.75 kg</t>
  </si>
  <si>
    <t>Eastern Africa</t>
  </si>
  <si>
    <t>40.38 kg</t>
  </si>
  <si>
    <t>Eastern Asia</t>
  </si>
  <si>
    <t>35.84 kg</t>
  </si>
  <si>
    <t>Eastern Europe</t>
  </si>
  <si>
    <t>171.05 kg</t>
  </si>
  <si>
    <t>139.60 kg</t>
  </si>
  <si>
    <t>59.46 kg</t>
  </si>
  <si>
    <t>124.34 kg</t>
  </si>
  <si>
    <t>284.85 kg</t>
  </si>
  <si>
    <t>56.60 kg</t>
  </si>
  <si>
    <t>44.14 kg</t>
  </si>
  <si>
    <t>Ethiopia PDR</t>
  </si>
  <si>
    <t>1992 16.69 kg</t>
  </si>
  <si>
    <t>215.11 kg</t>
  </si>
  <si>
    <t>Europe, Western</t>
  </si>
  <si>
    <t>261.29 kg</t>
  </si>
  <si>
    <t>European Union</t>
  </si>
  <si>
    <t>236.41 kg</t>
  </si>
  <si>
    <t>40.20 kg</t>
  </si>
  <si>
    <t>430.76 kg</t>
  </si>
  <si>
    <t>241.31 kg</t>
  </si>
  <si>
    <t>93.56 kg</t>
  </si>
  <si>
    <t>30.16 kg</t>
  </si>
  <si>
    <t>45.71 kg</t>
  </si>
  <si>
    <t>149.26 kg</t>
  </si>
  <si>
    <t>258.70 kg</t>
  </si>
  <si>
    <t>9.08 kg</t>
  </si>
  <si>
    <t>255.26 kg</t>
  </si>
  <si>
    <t>86.88 kg</t>
  </si>
  <si>
    <t>46.60 kg</t>
  </si>
  <si>
    <t>20.62 kg</t>
  </si>
  <si>
    <t>19.88 kg</t>
  </si>
  <si>
    <t>141.68 kg</t>
  </si>
  <si>
    <t>18.98 kg</t>
  </si>
  <si>
    <t>91.33 kg</t>
  </si>
  <si>
    <t>Hong Kong</t>
  </si>
  <si>
    <t>105.85 kg</t>
  </si>
  <si>
    <t>159.05 kg</t>
  </si>
  <si>
    <t>225.82 kg</t>
  </si>
  <si>
    <t>84.50 kg</t>
  </si>
  <si>
    <t>14.82 kg</t>
  </si>
  <si>
    <t>46.69 kg</t>
  </si>
  <si>
    <t>22.18 kg</t>
  </si>
  <si>
    <t>291.86 kg</t>
  </si>
  <si>
    <t>193.60 kg</t>
  </si>
  <si>
    <t>246.88 kg</t>
  </si>
  <si>
    <t>91.13 kg</t>
  </si>
  <si>
    <t>72.06 kg</t>
  </si>
  <si>
    <t>77.68 kg</t>
  </si>
  <si>
    <t>288.12 kg</t>
  </si>
  <si>
    <t>94.86 kg</t>
  </si>
  <si>
    <t>10.93 kg</t>
  </si>
  <si>
    <t>157.66 kg</t>
  </si>
  <si>
    <t>210.92 kg</t>
  </si>
  <si>
    <t>Land Locked Developing Countries</t>
  </si>
  <si>
    <t>66.81 kg</t>
  </si>
  <si>
    <t>Laos</t>
  </si>
  <si>
    <t>2.92 kg</t>
  </si>
  <si>
    <t>174.11 kg</t>
  </si>
  <si>
    <t>Least Developed Countries</t>
  </si>
  <si>
    <t>37.32 kg</t>
  </si>
  <si>
    <t>114.52 kg</t>
  </si>
  <si>
    <t>25.35 kg</t>
  </si>
  <si>
    <t>3.04 kg</t>
  </si>
  <si>
    <t>295.46 kg</t>
  </si>
  <si>
    <t>Low Income Food Deficit Countries</t>
  </si>
  <si>
    <t>72.10 kg</t>
  </si>
  <si>
    <t>255.30 kg</t>
  </si>
  <si>
    <t>Macao</t>
  </si>
  <si>
    <t>37.46 kg</t>
  </si>
  <si>
    <t>24.84 kg</t>
  </si>
  <si>
    <t>7.98 kg</t>
  </si>
  <si>
    <t>25.28 kg</t>
  </si>
  <si>
    <t>111.47 kg</t>
  </si>
  <si>
    <t>98.68 kg</t>
  </si>
  <si>
    <t>190.06 kg</t>
  </si>
  <si>
    <t>160.82 kg</t>
  </si>
  <si>
    <t>117.27 kg</t>
  </si>
  <si>
    <t>Melanesia</t>
  </si>
  <si>
    <t>38.91 kg</t>
  </si>
  <si>
    <t>111.87 kg</t>
  </si>
  <si>
    <t>Micronesia (region)</t>
  </si>
  <si>
    <t>Middle Africa</t>
  </si>
  <si>
    <t>15.31 kg</t>
  </si>
  <si>
    <t>Moldova</t>
  </si>
  <si>
    <t>155.18 kg</t>
  </si>
  <si>
    <t>139.82 kg</t>
  </si>
  <si>
    <t>349.21 kg</t>
  </si>
  <si>
    <t>54.68 kg</t>
  </si>
  <si>
    <t>4.79 kg</t>
  </si>
  <si>
    <t>31.48 kg</t>
  </si>
  <si>
    <t>73.05 kg</t>
  </si>
  <si>
    <t>52.10 kg</t>
  </si>
  <si>
    <t>Net Food Importing Developing Countries</t>
  </si>
  <si>
    <t>66.60 kg</t>
  </si>
  <si>
    <t>341.47 kg</t>
  </si>
  <si>
    <t>Netherlands Antilles</t>
  </si>
  <si>
    <t>2010 162.36 kg</t>
  </si>
  <si>
    <t>108.00 kg</t>
  </si>
  <si>
    <t>137.25 kg</t>
  </si>
  <si>
    <t>85.16 kg</t>
  </si>
  <si>
    <t>58.92 kg</t>
  </si>
  <si>
    <t>7.91 kg</t>
  </si>
  <si>
    <t>3.79 kg</t>
  </si>
  <si>
    <t>157.93 kg</t>
  </si>
  <si>
    <t>Northern Africa</t>
  </si>
  <si>
    <t>95.38 kg</t>
  </si>
  <si>
    <t>Northern America</t>
  </si>
  <si>
    <t>248.03 kg</t>
  </si>
  <si>
    <t>Northern Europe</t>
  </si>
  <si>
    <t>261.44 kg</t>
  </si>
  <si>
    <t>261.34 kg</t>
  </si>
  <si>
    <t>Oceania</t>
  </si>
  <si>
    <t>204.33 kg</t>
  </si>
  <si>
    <t>152.28 kg</t>
  </si>
  <si>
    <t>183.13 kg</t>
  </si>
  <si>
    <t>70.29 kg</t>
  </si>
  <si>
    <t>75.72 kg</t>
  </si>
  <si>
    <t>62.15 kg</t>
  </si>
  <si>
    <t>15.66 kg</t>
  </si>
  <si>
    <t>205.39 kg</t>
  </si>
  <si>
    <t>Polynesia</t>
  </si>
  <si>
    <t>76.88 kg</t>
  </si>
  <si>
    <t>205.04 kg</t>
  </si>
  <si>
    <t>238.33 kg</t>
  </si>
  <si>
    <t>Russia</t>
  </si>
  <si>
    <t>163.57 kg</t>
  </si>
  <si>
    <t>7.23 kg</t>
  </si>
  <si>
    <t>87.36 kg</t>
  </si>
  <si>
    <t>80.65 kg</t>
  </si>
  <si>
    <t>87.62 kg</t>
  </si>
  <si>
    <t>52.55 kg</t>
  </si>
  <si>
    <t>22.58 kg</t>
  </si>
  <si>
    <t>83.65 kg</t>
  </si>
  <si>
    <t>16.86 kg</t>
  </si>
  <si>
    <t>148.53 kg</t>
  </si>
  <si>
    <t>Serbia and Montenegro</t>
  </si>
  <si>
    <t>2005 162.03 kg</t>
  </si>
  <si>
    <t>7.00 kg</t>
  </si>
  <si>
    <t>143.14 kg</t>
  </si>
  <si>
    <t>235.01 kg</t>
  </si>
  <si>
    <t>Small island developing States</t>
  </si>
  <si>
    <t>68.22 kg</t>
  </si>
  <si>
    <t>11.52 kg</t>
  </si>
  <si>
    <t>55.75 kg</t>
  </si>
  <si>
    <t>South America</t>
  </si>
  <si>
    <t>134.84 kg</t>
  </si>
  <si>
    <t>South Eastern Asia</t>
  </si>
  <si>
    <t>18.35 kg</t>
  </si>
  <si>
    <t>29.05 kg</t>
  </si>
  <si>
    <t>Southern Africa</t>
  </si>
  <si>
    <t>57.46 kg</t>
  </si>
  <si>
    <t>Southern Asia</t>
  </si>
  <si>
    <t>85.99 kg</t>
  </si>
  <si>
    <t>Southern Europe</t>
  </si>
  <si>
    <t>211.55 kg</t>
  </si>
  <si>
    <t>164.29 kg</t>
  </si>
  <si>
    <t>34.98 kg</t>
  </si>
  <si>
    <t>155.20 kg</t>
  </si>
  <si>
    <t>Sudan (former)</t>
  </si>
  <si>
    <t>2011 170.42 kg</t>
  </si>
  <si>
    <t>48.97 kg</t>
  </si>
  <si>
    <t>341.23 kg</t>
  </si>
  <si>
    <t>318.69 kg</t>
  </si>
  <si>
    <t>Taiwan</t>
  </si>
  <si>
    <t>41.72 kg</t>
  </si>
  <si>
    <t>54.54 kg</t>
  </si>
  <si>
    <t>40.29 kg</t>
  </si>
  <si>
    <t>29.35 kg</t>
  </si>
  <si>
    <t>Timor</t>
  </si>
  <si>
    <t>10.96 kg</t>
  </si>
  <si>
    <t>7.96 kg</t>
  </si>
  <si>
    <t>103.80 kg</t>
  </si>
  <si>
    <t>114.47 kg</t>
  </si>
  <si>
    <t>193.94 kg</t>
  </si>
  <si>
    <t>137.09 kg</t>
  </si>
  <si>
    <t>USSR</t>
  </si>
  <si>
    <t>1991 154.64 kg</t>
  </si>
  <si>
    <t>37.27 kg</t>
  </si>
  <si>
    <t>145.03 kg</t>
  </si>
  <si>
    <t>132.66 kg</t>
  </si>
  <si>
    <t>United Kingdom</t>
  </si>
  <si>
    <t>232.20 kg</t>
  </si>
  <si>
    <t>United States</t>
  </si>
  <si>
    <t>254.69 kg</t>
  </si>
  <si>
    <t>210.54 kg</t>
  </si>
  <si>
    <t>130.81 kg</t>
  </si>
  <si>
    <t>25.21 kg</t>
  </si>
  <si>
    <t>117.79 kg</t>
  </si>
  <si>
    <t>16.36 kg</t>
  </si>
  <si>
    <t>Western Africa</t>
  </si>
  <si>
    <t>18.96 kg</t>
  </si>
  <si>
    <t>Western Asia</t>
  </si>
  <si>
    <t>122.86 kg</t>
  </si>
  <si>
    <t>World</t>
  </si>
  <si>
    <t>90.00 kg</t>
  </si>
  <si>
    <t>43.97 kg</t>
  </si>
  <si>
    <t>Yugoslavia</t>
  </si>
  <si>
    <t>1991 172.38 kg</t>
  </si>
  <si>
    <t>9.71 kg</t>
  </si>
  <si>
    <t>31.90 kg</t>
  </si>
  <si>
    <t>EGG</t>
  </si>
  <si>
    <t>https://ourworldindata.org/meat-production#dairy-production-consumption</t>
  </si>
  <si>
    <t>0.94 kg</t>
  </si>
  <si>
    <t>1.50 kg</t>
  </si>
  <si>
    <t>1.20 kg</t>
  </si>
  <si>
    <t>2013 2.65 kg</t>
  </si>
  <si>
    <t>14.66 kg</t>
  </si>
  <si>
    <t>1.18 kg</t>
  </si>
  <si>
    <t>8.43 kg</t>
  </si>
  <si>
    <t>10.22 kg</t>
  </si>
  <si>
    <t>2013 12.18 kg</t>
  </si>
  <si>
    <t>0.35 kg</t>
  </si>
  <si>
    <t>0.67 kg</t>
  </si>
  <si>
    <t>1.69 kg</t>
  </si>
  <si>
    <t>2.88 kg</t>
  </si>
  <si>
    <t>8.74 kg</t>
  </si>
  <si>
    <t>15.50 kg</t>
  </si>
  <si>
    <t>1992 3.64 kg</t>
  </si>
  <si>
    <t>11.64 kg</t>
  </si>
  <si>
    <t>1.86 kg</t>
  </si>
  <si>
    <t>2013 9.39 kg</t>
  </si>
  <si>
    <t>1992 6.14 kg</t>
  </si>
  <si>
    <t>2013 5.73 kg</t>
  </si>
  <si>
    <t>-0.41 kg</t>
  </si>
  <si>
    <t>11.72 kg</t>
  </si>
  <si>
    <t>8.03 kg</t>
  </si>
  <si>
    <t>-3.69 kg</t>
  </si>
  <si>
    <t>12.79 kg</t>
  </si>
  <si>
    <t>2013 8.73 kg</t>
  </si>
  <si>
    <t>-4.06 kg</t>
  </si>
  <si>
    <t>12.97 kg</t>
  </si>
  <si>
    <t>14.69 kg</t>
  </si>
  <si>
    <t>1992 5.82 kg</t>
  </si>
  <si>
    <t>8.86 kg</t>
  </si>
  <si>
    <t>2.03 kg</t>
  </si>
  <si>
    <t>7.07 kg</t>
  </si>
  <si>
    <t>0.32 kg</t>
  </si>
  <si>
    <t>2.85 kg</t>
  </si>
  <si>
    <t>1.93 kg</t>
  </si>
  <si>
    <t>9.51 kg</t>
  </si>
  <si>
    <t>1992 17.22 kg</t>
  </si>
  <si>
    <t>14.71 kg</t>
  </si>
  <si>
    <t>-2.51 kg</t>
  </si>
  <si>
    <t>2000 10.96 kg</t>
  </si>
  <si>
    <t>13.18 kg</t>
  </si>
  <si>
    <t>15.19 kg</t>
  </si>
  <si>
    <t>1999 14.54 kg</t>
  </si>
  <si>
    <t>-0.65 kg</t>
  </si>
  <si>
    <t>2.27 kg</t>
  </si>
  <si>
    <t>4.62 kg</t>
  </si>
  <si>
    <t>1.10 kg</t>
  </si>
  <si>
    <t>1.02 kg</t>
  </si>
  <si>
    <t>-0.08 kg</t>
  </si>
  <si>
    <t>10.90 kg</t>
  </si>
  <si>
    <t>2013 14.92 kg</t>
  </si>
  <si>
    <t>2.23 kg</t>
  </si>
  <si>
    <t>7.38 kg</t>
  </si>
  <si>
    <t>1992 3.89 kg</t>
  </si>
  <si>
    <t>5.11 kg</t>
  </si>
  <si>
    <t>0.29 kg</t>
  </si>
  <si>
    <t>2.73 kg</t>
  </si>
  <si>
    <t>7.77 kg</t>
  </si>
  <si>
    <t>4.37 kg</t>
  </si>
  <si>
    <t>2013 16.16 kg</t>
  </si>
  <si>
    <t>5.50 kg</t>
  </si>
  <si>
    <t>8.62 kg</t>
  </si>
  <si>
    <t>0.49 kg</t>
  </si>
  <si>
    <t>2.40 kg</t>
  </si>
  <si>
    <t>0.66 kg</t>
  </si>
  <si>
    <t>1.32 kg</t>
  </si>
  <si>
    <t>0.34 kg</t>
  </si>
  <si>
    <t>&lt;0.01 kg</t>
  </si>
  <si>
    <t>15.18 kg</t>
  </si>
  <si>
    <t>14.17 kg</t>
  </si>
  <si>
    <t>-1.01 kg</t>
  </si>
  <si>
    <t>0.11 kg</t>
  </si>
  <si>
    <t>4.82 kg</t>
  </si>
  <si>
    <t>2.35 kg</t>
  </si>
  <si>
    <t>2013 5.64 kg</t>
  </si>
  <si>
    <t>3.52 kg</t>
  </si>
  <si>
    <t>2013 15.96 kg</t>
  </si>
  <si>
    <t>0.59 kg</t>
  </si>
  <si>
    <t>-0.25 kg</t>
  </si>
  <si>
    <t>3.45 kg</t>
  </si>
  <si>
    <t>10.49 kg</t>
  </si>
  <si>
    <t>2.04 kg</t>
  </si>
  <si>
    <t>22.72 kg</t>
  </si>
  <si>
    <t>2.41 kg</t>
  </si>
  <si>
    <t>0.33 kg</t>
  </si>
  <si>
    <t>0.56 kg</t>
  </si>
  <si>
    <t>5.26 kg</t>
  </si>
  <si>
    <t>10.51 kg</t>
  </si>
  <si>
    <t>2.05 kg</t>
  </si>
  <si>
    <t>1992 9.90 kg</t>
  </si>
  <si>
    <t>8.06 kg</t>
  </si>
  <si>
    <t>-1.84 kg</t>
  </si>
  <si>
    <t>3.24 kg</t>
  </si>
  <si>
    <t>8.89 kg</t>
  </si>
  <si>
    <t>5.19 kg</t>
  </si>
  <si>
    <t>7.87 kg</t>
  </si>
  <si>
    <t>1993 12.70 kg</t>
  </si>
  <si>
    <t>8.63 kg</t>
  </si>
  <si>
    <t>-4.07 kg</t>
  </si>
  <si>
    <t>9.34 kg</t>
  </si>
  <si>
    <t>1992 15.48 kg</t>
  </si>
  <si>
    <t>10.46 kg</t>
  </si>
  <si>
    <t>15.79 kg</t>
  </si>
  <si>
    <t>0.00 kg</t>
  </si>
  <si>
    <t>1.26 kg</t>
  </si>
  <si>
    <t>2.46 kg</t>
  </si>
  <si>
    <t>3.06 kg</t>
  </si>
  <si>
    <t>10.17 kg</t>
  </si>
  <si>
    <t>1.16 kg</t>
  </si>
  <si>
    <t>2013 1.03 kg</t>
  </si>
  <si>
    <t>-0.13 kg</t>
  </si>
  <si>
    <t>2.86 kg</t>
  </si>
  <si>
    <t>2013 18.22 kg</t>
  </si>
  <si>
    <t>7.18 kg</t>
  </si>
  <si>
    <t>2013 14.17 kg</t>
  </si>
  <si>
    <t>1.60 kg</t>
  </si>
  <si>
    <t>7.78 kg</t>
  </si>
  <si>
    <t>0.99 kg</t>
  </si>
  <si>
    <t>4.56 kg</t>
  </si>
  <si>
    <t>8.73 kg</t>
  </si>
  <si>
    <t>1992 15.39 kg</t>
  </si>
  <si>
    <t>12.69 kg</t>
  </si>
  <si>
    <t>-2.70 kg</t>
  </si>
  <si>
    <t>0.47 kg</t>
  </si>
  <si>
    <t>1.68 kg</t>
  </si>
  <si>
    <t>1993 0.45 kg</t>
  </si>
  <si>
    <t>0.43 kg</t>
  </si>
  <si>
    <t>-0.02 kg</t>
  </si>
  <si>
    <t>1.98 kg</t>
  </si>
  <si>
    <t>1992 1.19 kg</t>
  </si>
  <si>
    <t>-0.79 kg</t>
  </si>
  <si>
    <t>9.04 kg</t>
  </si>
  <si>
    <t>2013 12.99 kg</t>
  </si>
  <si>
    <t>12.09 kg</t>
  </si>
  <si>
    <t>2013 12.74 kg</t>
  </si>
  <si>
    <t>10.54 kg</t>
  </si>
  <si>
    <t>2013 12.04 kg</t>
  </si>
  <si>
    <t>1.63 kg</t>
  </si>
  <si>
    <t>3.92 kg</t>
  </si>
  <si>
    <t>7.35 kg</t>
  </si>
  <si>
    <t>11.53 kg</t>
  </si>
  <si>
    <t>1.65 kg</t>
  </si>
  <si>
    <t>7.31 kg</t>
  </si>
  <si>
    <t>0.26 kg</t>
  </si>
  <si>
    <t>0.96 kg</t>
  </si>
  <si>
    <t>0.41 kg</t>
  </si>
  <si>
    <t>1.41 kg</t>
  </si>
  <si>
    <t>1992 3.12 kg</t>
  </si>
  <si>
    <t>6.11 kg</t>
  </si>
  <si>
    <t>12.63 kg</t>
  </si>
  <si>
    <t>11.22 kg</t>
  </si>
  <si>
    <t>-1.41 kg</t>
  </si>
  <si>
    <t>5.70 kg</t>
  </si>
  <si>
    <t>8.60 kg</t>
  </si>
  <si>
    <t>6.00 kg</t>
  </si>
  <si>
    <t>9.69 kg</t>
  </si>
  <si>
    <t>5.91 kg</t>
  </si>
  <si>
    <t>13.49 kg</t>
  </si>
  <si>
    <t>0.74 kg</t>
  </si>
  <si>
    <t>0.18 kg</t>
  </si>
  <si>
    <t>0.81 kg</t>
  </si>
  <si>
    <t>2.64 kg</t>
  </si>
  <si>
    <t>-0.78 kg</t>
  </si>
  <si>
    <t>4.17 kg</t>
  </si>
  <si>
    <t>4.34 kg</t>
  </si>
  <si>
    <t>7.37 kg</t>
  </si>
  <si>
    <t>18.53 kg</t>
  </si>
  <si>
    <t>9.25 kg</t>
  </si>
  <si>
    <t>13.61 kg</t>
  </si>
  <si>
    <t>0.31 kg</t>
  </si>
  <si>
    <t>3.25 kg</t>
  </si>
  <si>
    <t>0.45 kg</t>
  </si>
  <si>
    <t>5.57 kg</t>
  </si>
  <si>
    <t>2.38 kg</t>
  </si>
  <si>
    <t>1.25 kg</t>
  </si>
  <si>
    <t>9.44 kg</t>
  </si>
  <si>
    <t>13.90 kg</t>
  </si>
  <si>
    <t>9.13 kg</t>
  </si>
  <si>
    <t>-4.77 kg</t>
  </si>
  <si>
    <t>17.35 kg</t>
  </si>
  <si>
    <t>9.99 kg</t>
  </si>
  <si>
    <t>-7.36 kg</t>
  </si>
  <si>
    <t>9.05 kg</t>
  </si>
  <si>
    <t>11.77 kg</t>
  </si>
  <si>
    <t>2.21 kg</t>
  </si>
  <si>
    <t>-0.23 kg</t>
  </si>
  <si>
    <t>9.14 kg</t>
  </si>
  <si>
    <t>19.64 kg</t>
  </si>
  <si>
    <t>2.13 kg</t>
  </si>
  <si>
    <t>3.28 kg</t>
  </si>
  <si>
    <t>1992 9.97 kg</t>
  </si>
  <si>
    <t>-1.35 kg</t>
  </si>
  <si>
    <t>0.85 kg</t>
  </si>
  <si>
    <t>1.33 kg</t>
  </si>
  <si>
    <t>1.71 kg</t>
  </si>
  <si>
    <t>2.06 kg</t>
  </si>
  <si>
    <t>1.64 kg</t>
  </si>
  <si>
    <t>18.31 kg</t>
  </si>
  <si>
    <t>1992 7.17 kg</t>
  </si>
  <si>
    <t>4.32 kg</t>
  </si>
  <si>
    <t>-2.85 kg</t>
  </si>
  <si>
    <t>0.91 kg</t>
  </si>
  <si>
    <t>2013 2.45 kg</t>
  </si>
  <si>
    <t>1.89 kg</t>
  </si>
  <si>
    <t>1992 11.80 kg</t>
  </si>
  <si>
    <t>12.49 kg</t>
  </si>
  <si>
    <t>0.73 kg</t>
  </si>
  <si>
    <t>2013 1.64 kg</t>
  </si>
  <si>
    <t>2.74 kg</t>
  </si>
  <si>
    <t>-0.61 kg</t>
  </si>
  <si>
    <t>1.01 kg</t>
  </si>
  <si>
    <t>0.93 kg</t>
  </si>
  <si>
    <t>1.72 kg</t>
  </si>
  <si>
    <t>1.21 kg</t>
  </si>
  <si>
    <t>-0.51 kg</t>
  </si>
  <si>
    <t>1992 12.14 kg</t>
  </si>
  <si>
    <t>15.01 kg</t>
  </si>
  <si>
    <t>0.54 kg</t>
  </si>
  <si>
    <t>2013 2.31 kg</t>
  </si>
  <si>
    <t>2000 10.16 kg</t>
  </si>
  <si>
    <t>15.58 kg</t>
  </si>
  <si>
    <t>4.05 kg</t>
  </si>
  <si>
    <t>18.17 kg</t>
  </si>
  <si>
    <t>1.55 kg</t>
  </si>
  <si>
    <t>0.65 kg</t>
  </si>
  <si>
    <t>-0.90 kg</t>
  </si>
  <si>
    <t>0.78 kg</t>
  </si>
  <si>
    <t>1.13 kg</t>
  </si>
  <si>
    <t>2.15 kg</t>
  </si>
  <si>
    <t>17.88 kg</t>
  </si>
  <si>
    <t>11.74 kg</t>
  </si>
  <si>
    <t>0.71 kg</t>
  </si>
  <si>
    <t>8.08 kg</t>
  </si>
  <si>
    <t>11.95 kg</t>
  </si>
  <si>
    <t>1.39 kg</t>
  </si>
  <si>
    <t>2.32 kg</t>
  </si>
  <si>
    <t>1.54 kg</t>
  </si>
  <si>
    <t>6.40 kg</t>
  </si>
  <si>
    <t>2013 4.87 kg</t>
  </si>
  <si>
    <t>19.31 kg</t>
  </si>
  <si>
    <t>2013 2.78 kg</t>
  </si>
  <si>
    <t>0.39 kg</t>
  </si>
  <si>
    <t>2013 0.64 kg</t>
  </si>
  <si>
    <t>1992 5.84 kg</t>
  </si>
  <si>
    <t>7.94 kg</t>
  </si>
  <si>
    <t>0.16 kg</t>
  </si>
  <si>
    <t>4.07 kg</t>
  </si>
  <si>
    <t>2006 4.35 kg</t>
  </si>
  <si>
    <t>12.04 kg</t>
  </si>
  <si>
    <t>2.39 kg</t>
  </si>
  <si>
    <t>6.79 kg</t>
  </si>
  <si>
    <t>0.02 kg</t>
  </si>
  <si>
    <t>1.95 kg</t>
  </si>
  <si>
    <t>0.58 kg</t>
  </si>
  <si>
    <t>5.40 kg</t>
  </si>
  <si>
    <t>1.36 kg</t>
  </si>
  <si>
    <t>0.82 kg</t>
  </si>
  <si>
    <t>2013 2.71 kg</t>
  </si>
  <si>
    <t>12.74 kg</t>
  </si>
  <si>
    <t>14.12 kg</t>
  </si>
  <si>
    <t>3.87 kg</t>
  </si>
  <si>
    <t>2010 4.42 kg</t>
  </si>
  <si>
    <t>4.00 kg</t>
  </si>
  <si>
    <t>8.76 kg</t>
  </si>
  <si>
    <t>17.42 kg</t>
  </si>
  <si>
    <t>10.42 kg</t>
  </si>
  <si>
    <t>-7.00 kg</t>
  </si>
  <si>
    <t>4.38 kg</t>
  </si>
  <si>
    <t>5.45 kg</t>
  </si>
  <si>
    <t>0.61 kg</t>
  </si>
  <si>
    <t>0.24 kg</t>
  </si>
  <si>
    <t>-0.37 kg</t>
  </si>
  <si>
    <t>2.49 kg</t>
  </si>
  <si>
    <t>2.89 kg</t>
  </si>
  <si>
    <t>4.60 kg</t>
  </si>
  <si>
    <t>1992 9.91 kg</t>
  </si>
  <si>
    <t>5.04 kg</t>
  </si>
  <si>
    <t>-4.87 kg</t>
  </si>
  <si>
    <t>1.24 kg</t>
  </si>
  <si>
    <t>2013 5.09 kg</t>
  </si>
  <si>
    <t>17.44 kg</t>
  </si>
  <si>
    <t>2013 14.42 kg</t>
  </si>
  <si>
    <t>-3.02 kg</t>
  </si>
  <si>
    <t>13.42 kg</t>
  </si>
  <si>
    <t>2013 11.50 kg</t>
  </si>
  <si>
    <t>-1.92 kg</t>
  </si>
  <si>
    <t>8.54 kg</t>
  </si>
  <si>
    <t>11.58 kg</t>
  </si>
  <si>
    <t>12.07 kg</t>
  </si>
  <si>
    <t>2013 8.42 kg</t>
  </si>
  <si>
    <t>-3.65 kg</t>
  </si>
  <si>
    <t>1990 6.48 kg</t>
  </si>
  <si>
    <t>8.15 kg</t>
  </si>
  <si>
    <t>0.13 kg</t>
  </si>
  <si>
    <t>3.36 kg</t>
  </si>
  <si>
    <t>4.35 kg</t>
  </si>
  <si>
    <t>6.01 kg</t>
  </si>
  <si>
    <t>4.88 kg</t>
  </si>
  <si>
    <t>12.08 kg</t>
  </si>
  <si>
    <t>1.51 kg</t>
  </si>
  <si>
    <t>8.95 kg</t>
  </si>
  <si>
    <t>2.56 kg</t>
  </si>
  <si>
    <t>8.25 kg</t>
  </si>
  <si>
    <t>6.77 kg</t>
  </si>
  <si>
    <t>-1.48 kg</t>
  </si>
  <si>
    <t>2013 6.13 kg</t>
  </si>
  <si>
    <t>3.26 kg</t>
  </si>
  <si>
    <t>8.44 kg</t>
  </si>
  <si>
    <t>14.35 kg</t>
  </si>
  <si>
    <t>1992 14.74 kg</t>
  </si>
  <si>
    <t>16.02 kg</t>
  </si>
  <si>
    <t>0.08 kg</t>
  </si>
  <si>
    <t>2.14 kg</t>
  </si>
  <si>
    <t>4.08 kg</t>
  </si>
  <si>
    <t>3.70 kg</t>
  </si>
  <si>
    <t>2.02 kg</t>
  </si>
  <si>
    <t>4.49 kg</t>
  </si>
  <si>
    <t>1.14 kg</t>
  </si>
  <si>
    <t>2.19 kg</t>
  </si>
  <si>
    <t>0.69 kg</t>
  </si>
  <si>
    <t>0.48 kg</t>
  </si>
  <si>
    <t>6.56 kg</t>
  </si>
  <si>
    <t>2006 7.00 kg</t>
  </si>
  <si>
    <t>9.42 kg</t>
  </si>
  <si>
    <t>1992 7.44 kg</t>
  </si>
  <si>
    <t>2005 7.07 kg</t>
  </si>
  <si>
    <t>0.75 kg</t>
  </si>
  <si>
    <t>1993 15.78 kg</t>
  </si>
  <si>
    <t>12.93 kg</t>
  </si>
  <si>
    <t>1992 7.50 kg</t>
  </si>
  <si>
    <t>9.87 kg</t>
  </si>
  <si>
    <t>2.18 kg</t>
  </si>
  <si>
    <t>2013 5.27 kg</t>
  </si>
  <si>
    <t>1.46 kg</t>
  </si>
  <si>
    <t>1.09 kg</t>
  </si>
  <si>
    <t>2.48 kg</t>
  </si>
  <si>
    <t>6.61 kg</t>
  </si>
  <si>
    <t>3.66 kg</t>
  </si>
  <si>
    <t>2013 9.26 kg</t>
  </si>
  <si>
    <t>2013 5.99 kg</t>
  </si>
  <si>
    <t>10.25 kg</t>
  </si>
  <si>
    <t>2.25 kg</t>
  </si>
  <si>
    <t>2013 6.49 kg</t>
  </si>
  <si>
    <t>2013 2.79 kg</t>
  </si>
  <si>
    <t>6.93 kg</t>
  </si>
  <si>
    <t>2013 12.01 kg</t>
  </si>
  <si>
    <t>13.73 kg</t>
  </si>
  <si>
    <t>0.92 kg</t>
  </si>
  <si>
    <t>4.27 kg</t>
  </si>
  <si>
    <t>2012 0.97 kg</t>
  </si>
  <si>
    <t>1.19 kg</t>
  </si>
  <si>
    <t>2011 0.74 kg</t>
  </si>
  <si>
    <t>1.87 kg</t>
  </si>
  <si>
    <t>6.29 kg</t>
  </si>
  <si>
    <t>11.47 kg</t>
  </si>
  <si>
    <t>13.50 kg</t>
  </si>
  <si>
    <t>9.82 kg</t>
  </si>
  <si>
    <t>10.00 kg</t>
  </si>
  <si>
    <t>1.56 kg</t>
  </si>
  <si>
    <t>13.96 kg</t>
  </si>
  <si>
    <t>1992 2.10 kg</t>
  </si>
  <si>
    <t>2.44 kg</t>
  </si>
  <si>
    <t>-0.58 kg</t>
  </si>
  <si>
    <t>8.94 kg</t>
  </si>
  <si>
    <t>12.36 kg</t>
  </si>
  <si>
    <t>1.03 kg</t>
  </si>
  <si>
    <t>0.80 kg</t>
  </si>
  <si>
    <t>0.25 kg</t>
  </si>
  <si>
    <t>0.95 kg</t>
  </si>
  <si>
    <t>1.07 kg</t>
  </si>
  <si>
    <t>4.14 kg</t>
  </si>
  <si>
    <t>1.34 kg</t>
  </si>
  <si>
    <t>7.79 kg</t>
  </si>
  <si>
    <t>1.99 kg</t>
  </si>
  <si>
    <t>7.43 kg</t>
  </si>
  <si>
    <t>1992 4.06 kg</t>
  </si>
  <si>
    <t>6.96 kg</t>
  </si>
  <si>
    <t>1991 14.37 kg</t>
  </si>
  <si>
    <t>0.88 kg</t>
  </si>
  <si>
    <t>1992 12.96 kg</t>
  </si>
  <si>
    <t>14.43 kg</t>
  </si>
  <si>
    <t>1.27 kg</t>
  </si>
  <si>
    <t>7.48 kg</t>
  </si>
  <si>
    <t>14.80 kg</t>
  </si>
  <si>
    <t>11.23 kg</t>
  </si>
  <si>
    <t>-3.57 kg</t>
  </si>
  <si>
    <t>17.66 kg</t>
  </si>
  <si>
    <t>15.57 kg</t>
  </si>
  <si>
    <t>-2.09 kg</t>
  </si>
  <si>
    <t>5.94 kg</t>
  </si>
  <si>
    <t>11.83 kg</t>
  </si>
  <si>
    <t>1992 4.47 kg</t>
  </si>
  <si>
    <t>6.59 kg</t>
  </si>
  <si>
    <t>5.46 kg</t>
  </si>
  <si>
    <t>3.62 kg</t>
  </si>
  <si>
    <t>4.39 kg</t>
  </si>
  <si>
    <t>2013 2.51 kg</t>
  </si>
  <si>
    <t>2013 7.35 kg</t>
  </si>
  <si>
    <t>4.55 kg</t>
  </si>
  <si>
    <t>2013 9.19 kg</t>
  </si>
  <si>
    <t>0.55 kg</t>
  </si>
  <si>
    <t>2.45 kg</t>
  </si>
  <si>
    <t>1991 8.22 kg</t>
  </si>
  <si>
    <t>2.42 kg</t>
  </si>
  <si>
    <t>1.48 kg</t>
  </si>
  <si>
    <t>1.81 kg</t>
  </si>
  <si>
    <t>CHART</t>
  </si>
  <si>
    <t>MAP</t>
  </si>
  <si>
    <t>TABLE</t>
  </si>
  <si>
    <t>SOURCES</t>
  </si>
  <si>
    <t>DOWNLOAD</t>
  </si>
  <si>
    <t>Fish and seafood production</t>
  </si>
  <si>
    <t>beef</t>
  </si>
  <si>
    <t>pig meat</t>
  </si>
  <si>
    <t>mutton &amp; goat</t>
  </si>
  <si>
    <t>other meat</t>
  </si>
  <si>
    <t>poultry</t>
  </si>
  <si>
    <t>CURRENT DIETARY INTAKE</t>
  </si>
  <si>
    <t>Global</t>
  </si>
  <si>
    <t>S.Asia</t>
  </si>
  <si>
    <t>Sub Saharan</t>
  </si>
  <si>
    <t>Mid East &amp; N. Africa</t>
  </si>
  <si>
    <t>Europe &amp; central Asia</t>
  </si>
  <si>
    <t>N America</t>
  </si>
  <si>
    <t>Dairy foods</t>
  </si>
  <si>
    <t>S Veg</t>
  </si>
  <si>
    <t>Veg</t>
  </si>
  <si>
    <t>Mid East</t>
  </si>
  <si>
    <t xml:space="preserve">Europe </t>
  </si>
  <si>
    <t>N. america</t>
  </si>
  <si>
    <t>Meat</t>
  </si>
  <si>
    <t>-Wild game</t>
  </si>
  <si>
    <t>-Duck</t>
  </si>
  <si>
    <t>-Horse</t>
  </si>
  <si>
    <t>-Camel</t>
  </si>
  <si>
    <t>-Goose &amp; guinea fowl</t>
  </si>
  <si>
    <t>-sheep &amp; goat</t>
  </si>
  <si>
    <t>-beef &amp; buffalo</t>
  </si>
  <si>
    <t>-pigmeat</t>
  </si>
  <si>
    <t>-poultry</t>
  </si>
  <si>
    <t>MEAT CONSUMPTION</t>
  </si>
  <si>
    <t>kg per person</t>
  </si>
  <si>
    <t>S. America</t>
  </si>
  <si>
    <t>Western Europe</t>
  </si>
  <si>
    <t>SE Asia</t>
  </si>
  <si>
    <t>Central Asia</t>
  </si>
  <si>
    <t>Our World in Data</t>
  </si>
  <si>
    <t>Lancet</t>
  </si>
  <si>
    <t>South Africa, Mid Africa</t>
  </si>
  <si>
    <t xml:space="preserve">North Africa, </t>
  </si>
  <si>
    <t>Bahrain</t>
  </si>
  <si>
    <t>Palestine</t>
  </si>
  <si>
    <t>Qatar</t>
  </si>
  <si>
    <t>Legumes &amp; pulses</t>
  </si>
  <si>
    <t>Seafood</t>
  </si>
  <si>
    <t>average per capita consumption kg/y</t>
  </si>
  <si>
    <t>kg/y</t>
  </si>
  <si>
    <t>MILK CONSUMPTION</t>
  </si>
  <si>
    <t>59.30 kg</t>
  </si>
  <si>
    <t>54.19 kg</t>
  </si>
  <si>
    <t>-5.11 kg</t>
  </si>
  <si>
    <t>29.96 kg</t>
  </si>
  <si>
    <t>2013 43.82 kg</t>
  </si>
  <si>
    <t>97.48 kg</t>
  </si>
  <si>
    <t>396.34 kg</t>
  </si>
  <si>
    <t>45.28 kg</t>
  </si>
  <si>
    <t>121.71 kg</t>
  </si>
  <si>
    <t>164.99 kg</t>
  </si>
  <si>
    <t>2013 168.84 kg</t>
  </si>
  <si>
    <t>25.33 kg</t>
  </si>
  <si>
    <t>9.49 kg</t>
  </si>
  <si>
    <t>-15.84 kg</t>
  </si>
  <si>
    <t>110.33 kg</t>
  </si>
  <si>
    <t>80.62 kg</t>
  </si>
  <si>
    <t>-29.71 kg</t>
  </si>
  <si>
    <t>133.92 kg</t>
  </si>
  <si>
    <t>158.94 kg</t>
  </si>
  <si>
    <t>1992 108.87 kg</t>
  </si>
  <si>
    <t>200.09 kg</t>
  </si>
  <si>
    <t>22.16 kg</t>
  </si>
  <si>
    <t>2013 60.31 kg</t>
  </si>
  <si>
    <t>1992 141.07 kg</t>
  </si>
  <si>
    <t>2013 168.68 kg</t>
  </si>
  <si>
    <t>244.05 kg</t>
  </si>
  <si>
    <t>219.48 kg</t>
  </si>
  <si>
    <t>-24.57 kg</t>
  </si>
  <si>
    <t>233.01 kg</t>
  </si>
  <si>
    <t>2013 218.76 kg</t>
  </si>
  <si>
    <t>-14.25 kg</t>
  </si>
  <si>
    <t>218.95 kg</t>
  </si>
  <si>
    <t>230.63 kg</t>
  </si>
  <si>
    <t>1992 101.49 kg</t>
  </si>
  <si>
    <t>131.82 kg</t>
  </si>
  <si>
    <t>84.79 kg</t>
  </si>
  <si>
    <t>24.61 kg</t>
  </si>
  <si>
    <t>-60.18 kg</t>
  </si>
  <si>
    <t>12.33 kg</t>
  </si>
  <si>
    <t>18.10 kg</t>
  </si>
  <si>
    <t>85.34 kg</t>
  </si>
  <si>
    <t>26.90 kg</t>
  </si>
  <si>
    <t>-58.44 kg</t>
  </si>
  <si>
    <t>1992 204.91 kg</t>
  </si>
  <si>
    <t>120.76 kg</t>
  </si>
  <si>
    <t>-84.15 kg</t>
  </si>
  <si>
    <t>2000 238.87 kg</t>
  </si>
  <si>
    <t>236.39 kg</t>
  </si>
  <si>
    <t>-2.48 kg</t>
  </si>
  <si>
    <t>180.65 kg</t>
  </si>
  <si>
    <t>130.40 kg</t>
  </si>
  <si>
    <t>42.77 kg</t>
  </si>
  <si>
    <t>-87.63 kg</t>
  </si>
  <si>
    <t>3.44 kg</t>
  </si>
  <si>
    <t>13.57 kg</t>
  </si>
  <si>
    <t>179.08 kg</t>
  </si>
  <si>
    <t>2013 95.56 kg</t>
  </si>
  <si>
    <t>-83.52 kg</t>
  </si>
  <si>
    <t>19.36 kg</t>
  </si>
  <si>
    <t>47.75 kg</t>
  </si>
  <si>
    <t>1992 105.77 kg</t>
  </si>
  <si>
    <t>197.24 kg</t>
  </si>
  <si>
    <t>81.81 kg</t>
  </si>
  <si>
    <t>117.94 kg</t>
  </si>
  <si>
    <t>62.55 kg</t>
  </si>
  <si>
    <t>143.95 kg</t>
  </si>
  <si>
    <t>18.33 kg</t>
  </si>
  <si>
    <t>2013 70.47 kg</t>
  </si>
  <si>
    <t>111.51 kg</t>
  </si>
  <si>
    <t>168.78 kg</t>
  </si>
  <si>
    <t>23.14 kg</t>
  </si>
  <si>
    <t>3.56 kg</t>
  </si>
  <si>
    <t>3.31 kg</t>
  </si>
  <si>
    <t>6.81 kg</t>
  </si>
  <si>
    <t>251.15 kg</t>
  </si>
  <si>
    <t>161.88 kg</t>
  </si>
  <si>
    <t>-89.27 kg</t>
  </si>
  <si>
    <t>12.70 kg</t>
  </si>
  <si>
    <t>52.57 kg</t>
  </si>
  <si>
    <t>48.14 kg</t>
  </si>
  <si>
    <t>2013 69.86 kg</t>
  </si>
  <si>
    <t>16.90 kg</t>
  </si>
  <si>
    <t>58.25 kg</t>
  </si>
  <si>
    <t>2013 105.40 kg</t>
  </si>
  <si>
    <t>42.58 kg</t>
  </si>
  <si>
    <t>40.56 kg</t>
  </si>
  <si>
    <t>-2.02 kg</t>
  </si>
  <si>
    <t>74.47 kg</t>
  </si>
  <si>
    <t>94.62 kg</t>
  </si>
  <si>
    <t>24.05 kg</t>
  </si>
  <si>
    <t>93.29 kg</t>
  </si>
  <si>
    <t>121.81 kg</t>
  </si>
  <si>
    <t>4.89 kg</t>
  </si>
  <si>
    <t>-3.71 kg</t>
  </si>
  <si>
    <t>83.96 kg</t>
  </si>
  <si>
    <t>172.63 kg</t>
  </si>
  <si>
    <t>6.19 kg</t>
  </si>
  <si>
    <t>1.66 kg</t>
  </si>
  <si>
    <t>-4.53 kg</t>
  </si>
  <si>
    <t>1992 162.07 kg</t>
  </si>
  <si>
    <t>242.15 kg</t>
  </si>
  <si>
    <t>59.20 kg</t>
  </si>
  <si>
    <t>94.55 kg</t>
  </si>
  <si>
    <t>64.71 kg</t>
  </si>
  <si>
    <t>113.33 kg</t>
  </si>
  <si>
    <t>1993 220.38 kg</t>
  </si>
  <si>
    <t>190.93 kg</t>
  </si>
  <si>
    <t>-29.45 kg</t>
  </si>
  <si>
    <t>164.39 kg</t>
  </si>
  <si>
    <t>-29.93 kg</t>
  </si>
  <si>
    <t>224.87 kg</t>
  </si>
  <si>
    <t>307.03 kg</t>
  </si>
  <si>
    <t>29.32 kg</t>
  </si>
  <si>
    <t>25.10 kg</t>
  </si>
  <si>
    <t>-4.22 kg</t>
  </si>
  <si>
    <t>35.20 kg</t>
  </si>
  <si>
    <t>87.45 kg</t>
  </si>
  <si>
    <t>50.62 kg</t>
  </si>
  <si>
    <t>96.57 kg</t>
  </si>
  <si>
    <t>31.28 kg</t>
  </si>
  <si>
    <t>2013 40.38 kg</t>
  </si>
  <si>
    <t>5.05 kg</t>
  </si>
  <si>
    <t>2013 35.84 kg</t>
  </si>
  <si>
    <t>157.36 kg</t>
  </si>
  <si>
    <t>2013 171.05 kg</t>
  </si>
  <si>
    <t>102.54 kg</t>
  </si>
  <si>
    <t>107.93 kg</t>
  </si>
  <si>
    <t>30.58 kg</t>
  </si>
  <si>
    <t>41.22 kg</t>
  </si>
  <si>
    <t>61.03 kg</t>
  </si>
  <si>
    <t>101.26 kg</t>
  </si>
  <si>
    <t>1992 362.19 kg</t>
  </si>
  <si>
    <t>357.43 kg</t>
  </si>
  <si>
    <t>-4.76 kg</t>
  </si>
  <si>
    <t>56.98 kg</t>
  </si>
  <si>
    <t>41.85 kg</t>
  </si>
  <si>
    <t>-15.13 kg</t>
  </si>
  <si>
    <t>1993 14.92 kg</t>
  </si>
  <si>
    <t>30.86 kg</t>
  </si>
  <si>
    <t>24.56 kg</t>
  </si>
  <si>
    <t>-7.87 kg</t>
  </si>
  <si>
    <t>171.08 kg</t>
  </si>
  <si>
    <t>2013 215.11 kg</t>
  </si>
  <si>
    <t>202.95 kg</t>
  </si>
  <si>
    <t>2013 261.29 kg</t>
  </si>
  <si>
    <t>178.63 kg</t>
  </si>
  <si>
    <t>2013 236.41 kg</t>
  </si>
  <si>
    <t>35.98 kg</t>
  </si>
  <si>
    <t>25.46 kg</t>
  </si>
  <si>
    <t>-10.52 kg</t>
  </si>
  <si>
    <t>358.42 kg</t>
  </si>
  <si>
    <t>457.70 kg</t>
  </si>
  <si>
    <t>219.30 kg</t>
  </si>
  <si>
    <t>260.11 kg</t>
  </si>
  <si>
    <t>31.78 kg</t>
  </si>
  <si>
    <t>39.85 kg</t>
  </si>
  <si>
    <t>4.86 kg</t>
  </si>
  <si>
    <t>13.00 kg</t>
  </si>
  <si>
    <t>12.31 kg</t>
  </si>
  <si>
    <t>33.83 kg</t>
  </si>
  <si>
    <t>1992 69.14 kg</t>
  </si>
  <si>
    <t>137.93 kg</t>
  </si>
  <si>
    <t>171.09 kg</t>
  </si>
  <si>
    <t>267.52 kg</t>
  </si>
  <si>
    <t>7.65 kg</t>
  </si>
  <si>
    <t>7.11 kg</t>
  </si>
  <si>
    <t>-0.54 kg</t>
  </si>
  <si>
    <t>100.92 kg</t>
  </si>
  <si>
    <t>227.79 kg</t>
  </si>
  <si>
    <t>30.38 kg</t>
  </si>
  <si>
    <t>28.55 kg</t>
  </si>
  <si>
    <t>-1.83 kg</t>
  </si>
  <si>
    <t>37.60 kg</t>
  </si>
  <si>
    <t>40.53 kg</t>
  </si>
  <si>
    <t>8.80 kg</t>
  </si>
  <si>
    <t>16.62 kg</t>
  </si>
  <si>
    <t>14.05 kg</t>
  </si>
  <si>
    <t>17.09 kg</t>
  </si>
  <si>
    <t>66.73 kg</t>
  </si>
  <si>
    <t>84.71 kg</t>
  </si>
  <si>
    <t>12.38 kg</t>
  </si>
  <si>
    <t>7.84 kg</t>
  </si>
  <si>
    <t>-4.54 kg</t>
  </si>
  <si>
    <t>64.88 kg</t>
  </si>
  <si>
    <t>85.04 kg</t>
  </si>
  <si>
    <t>24.82 kg</t>
  </si>
  <si>
    <t>33.25 kg</t>
  </si>
  <si>
    <t>121.25 kg</t>
  </si>
  <si>
    <t>190.82 kg</t>
  </si>
  <si>
    <t>386.53 kg</t>
  </si>
  <si>
    <t>255.76 kg</t>
  </si>
  <si>
    <t>-130.77 kg</t>
  </si>
  <si>
    <t>38.13 kg</t>
  </si>
  <si>
    <t>106.06 kg</t>
  </si>
  <si>
    <t>6.74 kg</t>
  </si>
  <si>
    <t>51.31 kg</t>
  </si>
  <si>
    <t>53.76 kg</t>
  </si>
  <si>
    <t>65.63 kg</t>
  </si>
  <si>
    <t>15.07 kg</t>
  </si>
  <si>
    <t>-50.56 kg</t>
  </si>
  <si>
    <t>283.98 kg</t>
  </si>
  <si>
    <t>234.40 kg</t>
  </si>
  <si>
    <t>-49.58 kg</t>
  </si>
  <si>
    <t>155.00 kg</t>
  </si>
  <si>
    <t>192.36 kg</t>
  </si>
  <si>
    <t>146.71 kg</t>
  </si>
  <si>
    <t>228.47 kg</t>
  </si>
  <si>
    <t>42.80 kg</t>
  </si>
  <si>
    <t>70.92 kg</t>
  </si>
  <si>
    <t>24.89 kg</t>
  </si>
  <si>
    <t>58.63 kg</t>
  </si>
  <si>
    <t>35.35 kg</t>
  </si>
  <si>
    <t>41.82 kg</t>
  </si>
  <si>
    <t>1992 150.92 kg</t>
  </si>
  <si>
    <t>270.03 kg</t>
  </si>
  <si>
    <t>71.73 kg</t>
  </si>
  <si>
    <t>80.90 kg</t>
  </si>
  <si>
    <t>1.96 kg</t>
  </si>
  <si>
    <t>116.86 kg</t>
  </si>
  <si>
    <t>47.87 kg</t>
  </si>
  <si>
    <t>-68.99 kg</t>
  </si>
  <si>
    <t>1992 165.58 kg</t>
  </si>
  <si>
    <t>208.43 kg</t>
  </si>
  <si>
    <t>36.67 kg</t>
  </si>
  <si>
    <t>2013 66.81 kg</t>
  </si>
  <si>
    <t>1.83 kg</t>
  </si>
  <si>
    <t>2.90 kg</t>
  </si>
  <si>
    <t>1992 234.03 kg</t>
  </si>
  <si>
    <t>222.34 kg</t>
  </si>
  <si>
    <t>-11.69 kg</t>
  </si>
  <si>
    <t>25.58 kg</t>
  </si>
  <si>
    <t>2013 37.32 kg</t>
  </si>
  <si>
    <t>65.69 kg</t>
  </si>
  <si>
    <t>62.48 kg</t>
  </si>
  <si>
    <t>-3.21 kg</t>
  </si>
  <si>
    <t>21.10 kg</t>
  </si>
  <si>
    <t>21.54 kg</t>
  </si>
  <si>
    <t>1.17 kg</t>
  </si>
  <si>
    <t>-6.98 kg</t>
  </si>
  <si>
    <t>1992 147.58 kg</t>
  </si>
  <si>
    <t>350.67 kg</t>
  </si>
  <si>
    <t>2013 72.10 kg</t>
  </si>
  <si>
    <t>2000 244.31 kg</t>
  </si>
  <si>
    <t>148.25 kg</t>
  </si>
  <si>
    <t>-96.06 kg</t>
  </si>
  <si>
    <t>6.94 kg</t>
  </si>
  <si>
    <t>31.61 kg</t>
  </si>
  <si>
    <t>56.35 kg</t>
  </si>
  <si>
    <t>21.13 kg</t>
  </si>
  <si>
    <t>-35.22 kg</t>
  </si>
  <si>
    <t>-0.18 kg</t>
  </si>
  <si>
    <t>29.73 kg</t>
  </si>
  <si>
    <t>5.71 kg</t>
  </si>
  <si>
    <t>-24.02 kg</t>
  </si>
  <si>
    <t>23.80 kg</t>
  </si>
  <si>
    <t>49.53 kg</t>
  </si>
  <si>
    <t>88.17 kg</t>
  </si>
  <si>
    <t>143.81 kg</t>
  </si>
  <si>
    <t>111.33 kg</t>
  </si>
  <si>
    <t>-32.48 kg</t>
  </si>
  <si>
    <t>219.25 kg</t>
  </si>
  <si>
    <t>89.77 kg</t>
  </si>
  <si>
    <t>-129.48 kg</t>
  </si>
  <si>
    <t>68.09 kg</t>
  </si>
  <si>
    <t>18.59 kg</t>
  </si>
  <si>
    <t>-49.50 kg</t>
  </si>
  <si>
    <t>42.11 kg</t>
  </si>
  <si>
    <t>2013 38.91 kg</t>
  </si>
  <si>
    <t>-3.20 kg</t>
  </si>
  <si>
    <t>57.40 kg</t>
  </si>
  <si>
    <t>119.01 kg</t>
  </si>
  <si>
    <t>2013 10.93 kg</t>
  </si>
  <si>
    <t>18.49 kg</t>
  </si>
  <si>
    <t>2013 15.31 kg</t>
  </si>
  <si>
    <t>-3.18 kg</t>
  </si>
  <si>
    <t>1992 144.29 kg</t>
  </si>
  <si>
    <t>128.53 kg</t>
  </si>
  <si>
    <t>-15.76 kg</t>
  </si>
  <si>
    <t>79.17 kg</t>
  </si>
  <si>
    <t>173.14 kg</t>
  </si>
  <si>
    <t>2006 351.48 kg</t>
  </si>
  <si>
    <t>389.91 kg</t>
  </si>
  <si>
    <t>26.86 kg</t>
  </si>
  <si>
    <t>52.58 kg</t>
  </si>
  <si>
    <t>7.52 kg</t>
  </si>
  <si>
    <t>16.54 kg</t>
  </si>
  <si>
    <t>10.16 kg</t>
  </si>
  <si>
    <t>42.50 kg</t>
  </si>
  <si>
    <t>48.38 kg</t>
  </si>
  <si>
    <t>61.96 kg</t>
  </si>
  <si>
    <t>46.51 kg</t>
  </si>
  <si>
    <t>54.12 kg</t>
  </si>
  <si>
    <t>41.54 kg</t>
  </si>
  <si>
    <t>2013 66.60 kg</t>
  </si>
  <si>
    <t>297.38 kg</t>
  </si>
  <si>
    <t>340.35 kg</t>
  </si>
  <si>
    <t>140.33 kg</t>
  </si>
  <si>
    <t>145.79 kg</t>
  </si>
  <si>
    <t>32.35 kg</t>
  </si>
  <si>
    <t>-113.44 kg</t>
  </si>
  <si>
    <t>185.23 kg</t>
  </si>
  <si>
    <t>110.04 kg</t>
  </si>
  <si>
    <t>-75.19 kg</t>
  </si>
  <si>
    <t>92.01 kg</t>
  </si>
  <si>
    <t>84.91 kg</t>
  </si>
  <si>
    <t>-7.10 kg</t>
  </si>
  <si>
    <t>55.18 kg</t>
  </si>
  <si>
    <t>54.43 kg</t>
  </si>
  <si>
    <t>-0.75 kg</t>
  </si>
  <si>
    <t>-1.10 kg</t>
  </si>
  <si>
    <t>0.17 kg</t>
  </si>
  <si>
    <t>3.10 kg</t>
  </si>
  <si>
    <t>1992 101.09 kg</t>
  </si>
  <si>
    <t>155.89 kg</t>
  </si>
  <si>
    <t>42.67 kg</t>
  </si>
  <si>
    <t>2013 95.38 kg</t>
  </si>
  <si>
    <t>264.39 kg</t>
  </si>
  <si>
    <t>2013 248.03 kg</t>
  </si>
  <si>
    <t>-16.36 kg</t>
  </si>
  <si>
    <t>245.98 kg</t>
  </si>
  <si>
    <t>2013 261.44 kg</t>
  </si>
  <si>
    <t>250.44 kg</t>
  </si>
  <si>
    <t>252.82 kg</t>
  </si>
  <si>
    <t>&lt;1%</t>
  </si>
  <si>
    <t>220.13 kg</t>
  </si>
  <si>
    <t>2013 204.33 kg</t>
  </si>
  <si>
    <t>-15.80 kg</t>
  </si>
  <si>
    <t>1990 94.25 kg</t>
  </si>
  <si>
    <t>108.26 kg</t>
  </si>
  <si>
    <t>109.90 kg</t>
  </si>
  <si>
    <t>184.57 kg</t>
  </si>
  <si>
    <t>54.65 kg</t>
  </si>
  <si>
    <t>69.88 kg</t>
  </si>
  <si>
    <t>52.19 kg</t>
  </si>
  <si>
    <t>71.14 kg</t>
  </si>
  <si>
    <t>49.30 kg</t>
  </si>
  <si>
    <t>56.68 kg</t>
  </si>
  <si>
    <t>13.17 kg</t>
  </si>
  <si>
    <t>-11.97 kg</t>
  </si>
  <si>
    <t>207.31 kg</t>
  </si>
  <si>
    <t>178.39 kg</t>
  </si>
  <si>
    <t>-28.92 kg</t>
  </si>
  <si>
    <t>19.06 kg</t>
  </si>
  <si>
    <t>2013 76.88 kg</t>
  </si>
  <si>
    <t>61.20 kg</t>
  </si>
  <si>
    <t>216.44 kg</t>
  </si>
  <si>
    <t>108.49 kg</t>
  </si>
  <si>
    <t>238.92 kg</t>
  </si>
  <si>
    <t>1992 105.73 kg</t>
  </si>
  <si>
    <t>165.45 kg</t>
  </si>
  <si>
    <t>19.62 kg</t>
  </si>
  <si>
    <t>30.03 kg</t>
  </si>
  <si>
    <t>19.99 kg</t>
  </si>
  <si>
    <t>-10.04 kg</t>
  </si>
  <si>
    <t>43.60 kg</t>
  </si>
  <si>
    <t>32.13 kg</t>
  </si>
  <si>
    <t>-11.47 kg</t>
  </si>
  <si>
    <t>61.97 kg</t>
  </si>
  <si>
    <t>-32.24 kg</t>
  </si>
  <si>
    <t>32.75 kg</t>
  </si>
  <si>
    <t>6.33 kg</t>
  </si>
  <si>
    <t>-10.76 kg</t>
  </si>
  <si>
    <t>27.68 kg</t>
  </si>
  <si>
    <t>64.03 kg</t>
  </si>
  <si>
    <t>28.22 kg</t>
  </si>
  <si>
    <t>10.98 kg</t>
  </si>
  <si>
    <t>-17.24 kg</t>
  </si>
  <si>
    <t>2006 153.04 kg</t>
  </si>
  <si>
    <t>173.12 kg</t>
  </si>
  <si>
    <t>1992 161.87 kg</t>
  </si>
  <si>
    <t>8.35 kg</t>
  </si>
  <si>
    <t>22.80 kg</t>
  </si>
  <si>
    <t>1993 166.09 kg</t>
  </si>
  <si>
    <t>-8.16 kg</t>
  </si>
  <si>
    <t>1992 191.96 kg</t>
  </si>
  <si>
    <t>225.02 kg</t>
  </si>
  <si>
    <t>46.16 kg</t>
  </si>
  <si>
    <t>2013 68.22 kg</t>
  </si>
  <si>
    <t>8.55 kg</t>
  </si>
  <si>
    <t>5.78 kg</t>
  </si>
  <si>
    <t>-2.77 kg</t>
  </si>
  <si>
    <t>66.61 kg</t>
  </si>
  <si>
    <t>53.59 kg</t>
  </si>
  <si>
    <t>-13.02 kg</t>
  </si>
  <si>
    <t>80.69 kg</t>
  </si>
  <si>
    <t>2013 134.84 kg</t>
  </si>
  <si>
    <t>5.97 kg</t>
  </si>
  <si>
    <t>2013 18.35 kg</t>
  </si>
  <si>
    <t>18.21 kg</t>
  </si>
  <si>
    <t>64.34 kg</t>
  </si>
  <si>
    <t>2013 57.46 kg</t>
  </si>
  <si>
    <t>-6.88 kg</t>
  </si>
  <si>
    <t>42.06 kg</t>
  </si>
  <si>
    <t>2013 85.99 kg</t>
  </si>
  <si>
    <t>115.93 kg</t>
  </si>
  <si>
    <t>2013 211.55 kg</t>
  </si>
  <si>
    <t>83.28 kg</t>
  </si>
  <si>
    <t>180.02 kg</t>
  </si>
  <si>
    <t>17.49 kg</t>
  </si>
  <si>
    <t>11.19 kg</t>
  </si>
  <si>
    <t>-6.30 kg</t>
  </si>
  <si>
    <t>2012 157.43 kg</t>
  </si>
  <si>
    <t>105.38 kg</t>
  </si>
  <si>
    <t>-52.05 kg</t>
  </si>
  <si>
    <t>86.58 kg</t>
  </si>
  <si>
    <t>12.55 kg</t>
  </si>
  <si>
    <t>-39.55 kg</t>
  </si>
  <si>
    <t>298.74 kg</t>
  </si>
  <si>
    <t>304.12 kg</t>
  </si>
  <si>
    <t>314.71 kg</t>
  </si>
  <si>
    <t>310.67 kg</t>
  </si>
  <si>
    <t>-4.04 kg</t>
  </si>
  <si>
    <t>29.84 kg</t>
  </si>
  <si>
    <t>1992 89.92 kg</t>
  </si>
  <si>
    <t>56.67 kg</t>
  </si>
  <si>
    <t>-33.25 kg</t>
  </si>
  <si>
    <t>29.51 kg</t>
  </si>
  <si>
    <t>39.21 kg</t>
  </si>
  <si>
    <t>14.73 kg</t>
  </si>
  <si>
    <t>3.61 kg</t>
  </si>
  <si>
    <t>-2.59 kg</t>
  </si>
  <si>
    <t>3.02 kg</t>
  </si>
  <si>
    <t>6.45 kg</t>
  </si>
  <si>
    <t>87.70 kg</t>
  </si>
  <si>
    <t>29.47 kg</t>
  </si>
  <si>
    <t>-58.23 kg</t>
  </si>
  <si>
    <t>42.41 kg</t>
  </si>
  <si>
    <t>111.94 kg</t>
  </si>
  <si>
    <t>179.34 kg</t>
  </si>
  <si>
    <t>175.85 kg</t>
  </si>
  <si>
    <t>-3.49 kg</t>
  </si>
  <si>
    <t>1992 100.31 kg</t>
  </si>
  <si>
    <t>145.28 kg</t>
  </si>
  <si>
    <t>157.53 kg</t>
  </si>
  <si>
    <t>-2.89 kg</t>
  </si>
  <si>
    <t>30.79 kg</t>
  </si>
  <si>
    <t>37.51 kg</t>
  </si>
  <si>
    <t>1992 155.19 kg</t>
  </si>
  <si>
    <t>146.18 kg</t>
  </si>
  <si>
    <t>-9.01 kg</t>
  </si>
  <si>
    <t>142.82 kg</t>
  </si>
  <si>
    <t>33.23 kg</t>
  </si>
  <si>
    <t>-109.59 kg</t>
  </si>
  <si>
    <t>228.07 kg</t>
  </si>
  <si>
    <t>223.65 kg</t>
  </si>
  <si>
    <t>-4.42 kg</t>
  </si>
  <si>
    <t>265.69 kg</t>
  </si>
  <si>
    <t>254.87 kg</t>
  </si>
  <si>
    <t>-10.82 kg</t>
  </si>
  <si>
    <t>197.99 kg</t>
  </si>
  <si>
    <t>188.79 kg</t>
  </si>
  <si>
    <t>-9.20 kg</t>
  </si>
  <si>
    <t>1992 149.09 kg</t>
  </si>
  <si>
    <t>217.97 kg</t>
  </si>
  <si>
    <t>14.16 kg</t>
  </si>
  <si>
    <t>16.65 kg</t>
  </si>
  <si>
    <t>117.12 kg</t>
  </si>
  <si>
    <t>100.32 kg</t>
  </si>
  <si>
    <t>-16.80 kg</t>
  </si>
  <si>
    <t>1.92 kg</t>
  </si>
  <si>
    <t>8.66 kg</t>
  </si>
  <si>
    <t>12.82 kg</t>
  </si>
  <si>
    <t>2013 18.96 kg</t>
  </si>
  <si>
    <t>123.64 kg</t>
  </si>
  <si>
    <t>2013 122.86 kg</t>
  </si>
  <si>
    <t>&gt;-1%</t>
  </si>
  <si>
    <t>75.55 kg</t>
  </si>
  <si>
    <t>2013 90.00 kg</t>
  </si>
  <si>
    <t>25.57 kg</t>
  </si>
  <si>
    <t>11.44 kg</t>
  </si>
  <si>
    <t>-14.13 kg</t>
  </si>
  <si>
    <t>121.60 kg</t>
  </si>
  <si>
    <t>13.56 kg</t>
  </si>
  <si>
    <t>12.51 kg</t>
  </si>
  <si>
    <t>-1.05 kg</t>
  </si>
  <si>
    <t>59.22 kg</t>
  </si>
  <si>
    <t>29.95 kg</t>
  </si>
  <si>
    <t>-29.27 kg</t>
  </si>
  <si>
    <t>average per capita consumption/y</t>
  </si>
  <si>
    <t>https://ourworldindata.org/grapher/per-capita-meat-consumption-by-type-kilograms-per-year?country=~OWID_WRL</t>
  </si>
  <si>
    <t>https://docs.google.com/spreadsheets/d/1fOAVtnC9Lamg3OwHV32IVsY-Ddum88g-3HALPe4BcHk/edit#gid=1698485335</t>
  </si>
  <si>
    <t>https://www.statista.com/statistics/1094065/total-global-wheat-consumption-by-country/</t>
  </si>
  <si>
    <t>Mid / Western Africa</t>
  </si>
  <si>
    <t>North Africa</t>
  </si>
  <si>
    <t>-</t>
  </si>
  <si>
    <t xml:space="preserve">South America </t>
  </si>
  <si>
    <t>https://ourworldindata.org/grapher/beef-and-buffalo-meat-consumption-per-person?tab=table</t>
  </si>
  <si>
    <t>4.80 kilograms</t>
  </si>
  <si>
    <t>4.59 kilograms</t>
  </si>
  <si>
    <t>-0.21 kilograms</t>
  </si>
  <si>
    <t>6.91 kilograms</t>
  </si>
  <si>
    <t>6.33 kilograms</t>
  </si>
  <si>
    <t>-0.58 kilograms</t>
  </si>
  <si>
    <t>4.37 kilograms</t>
  </si>
  <si>
    <t>22.50 kilograms</t>
  </si>
  <si>
    <t>4.06 kilograms</t>
  </si>
  <si>
    <t>5.60 kilograms</t>
  </si>
  <si>
    <t>30.83 kilograms</t>
  </si>
  <si>
    <t>29.16 kilograms</t>
  </si>
  <si>
    <t>-1.67 kilograms</t>
  </si>
  <si>
    <t>3.31 kilograms</t>
  </si>
  <si>
    <t>8.42 kilograms</t>
  </si>
  <si>
    <t>10.66 kilograms</t>
  </si>
  <si>
    <t>12.42 kilograms</t>
  </si>
  <si>
    <t>83.45 kilograms</t>
  </si>
  <si>
    <t>55.48 kilograms</t>
  </si>
  <si>
    <t>-27.97 kilograms</t>
  </si>
  <si>
    <t>1992 7.92 kilograms</t>
  </si>
  <si>
    <t>19.66 kilograms</t>
  </si>
  <si>
    <t>1.62 kilograms</t>
  </si>
  <si>
    <t>4.40 kilograms</t>
  </si>
  <si>
    <t>41.25 kilograms</t>
  </si>
  <si>
    <t>33.86 kilograms</t>
  </si>
  <si>
    <t>-7.39 kilograms</t>
  </si>
  <si>
    <t>42.34 kilograms</t>
  </si>
  <si>
    <t>32.02 kilograms</t>
  </si>
  <si>
    <t>-10.32 kilograms</t>
  </si>
  <si>
    <t>18.22 kilograms</t>
  </si>
  <si>
    <t>17.14 kilograms</t>
  </si>
  <si>
    <t>-1.08 kilograms</t>
  </si>
  <si>
    <t>1992 9.19 kilograms</t>
  </si>
  <si>
    <t>12.68 kilograms</t>
  </si>
  <si>
    <t>30.95 kilograms</t>
  </si>
  <si>
    <t>19.92 kilograms</t>
  </si>
  <si>
    <t>-11.03 kilograms</t>
  </si>
  <si>
    <t>2.35 kilograms</t>
  </si>
  <si>
    <t>1.28 kilograms</t>
  </si>
  <si>
    <t>-1.07 kilograms</t>
  </si>
  <si>
    <t>11.65 kilograms</t>
  </si>
  <si>
    <t>13.13 kilograms</t>
  </si>
  <si>
    <t>1992 36.02 kilograms</t>
  </si>
  <si>
    <t>17.11 kilograms</t>
  </si>
  <si>
    <t>-18.91 kilograms</t>
  </si>
  <si>
    <t>2000 19.45 kilograms</t>
  </si>
  <si>
    <t>15.63 kilograms</t>
  </si>
  <si>
    <t>-3.82 kilograms</t>
  </si>
  <si>
    <t>23.62 kilograms</t>
  </si>
  <si>
    <t>1999 20.47 kilograms</t>
  </si>
  <si>
    <t>-3.15 kilograms</t>
  </si>
  <si>
    <t>12.11 kilograms</t>
  </si>
  <si>
    <t>4.86 kilograms</t>
  </si>
  <si>
    <t>-7.25 kilograms</t>
  </si>
  <si>
    <t>3.05 kilograms</t>
  </si>
  <si>
    <t>50.43 kilograms</t>
  </si>
  <si>
    <t>33.15 kilograms</t>
  </si>
  <si>
    <t>-17.28 kilograms</t>
  </si>
  <si>
    <t>11.05 kilograms</t>
  </si>
  <si>
    <t>19.78 kilograms</t>
  </si>
  <si>
    <t>1992 6.89 kilograms</t>
  </si>
  <si>
    <t>9.12 kilograms</t>
  </si>
  <si>
    <t>7.85 kilograms</t>
  </si>
  <si>
    <t>-11.81 kilograms</t>
  </si>
  <si>
    <t>17.59 kilograms</t>
  </si>
  <si>
    <t>39.25 kilograms</t>
  </si>
  <si>
    <t>25.14 kilograms</t>
  </si>
  <si>
    <t>12.15 kilograms</t>
  </si>
  <si>
    <t>-12.99 kilograms</t>
  </si>
  <si>
    <t>7.14 kilograms</t>
  </si>
  <si>
    <t>3.84 kilograms</t>
  </si>
  <si>
    <t>-3.30 kilograms</t>
  </si>
  <si>
    <t>2.99 kilograms</t>
  </si>
  <si>
    <t>4.48 kilograms</t>
  </si>
  <si>
    <t>0.79 kilograms</t>
  </si>
  <si>
    <t>2.00 kilograms</t>
  </si>
  <si>
    <t>2.34 kilograms</t>
  </si>
  <si>
    <t>4.85 kilograms</t>
  </si>
  <si>
    <t>4.09 kilograms</t>
  </si>
  <si>
    <t>4.17 kilograms</t>
  </si>
  <si>
    <t>36.64 kilograms</t>
  </si>
  <si>
    <t>30.25 kilograms</t>
  </si>
  <si>
    <t>-6.39 kilograms</t>
  </si>
  <si>
    <t>11.80 kilograms</t>
  </si>
  <si>
    <t>6.89 kilograms</t>
  </si>
  <si>
    <t>-4.91 kilograms</t>
  </si>
  <si>
    <t>6.08 kilograms</t>
  </si>
  <si>
    <t>11.92 kilograms</t>
  </si>
  <si>
    <t>8.96 kilograms</t>
  </si>
  <si>
    <t>13.39 kilograms</t>
  </si>
  <si>
    <t>1992 19.29 kilograms</t>
  </si>
  <si>
    <t>22.61 kilograms</t>
  </si>
  <si>
    <t>7.38 kilograms</t>
  </si>
  <si>
    <t>7.67 kilograms</t>
  </si>
  <si>
    <t>19.91 kilograms</t>
  </si>
  <si>
    <t>23.86 kilograms</t>
  </si>
  <si>
    <t>0.13 kilograms</t>
  </si>
  <si>
    <t>5.23 kilograms</t>
  </si>
  <si>
    <t>6.42 kilograms</t>
  </si>
  <si>
    <t>25.82 kilograms</t>
  </si>
  <si>
    <t>4.36 kilograms</t>
  </si>
  <si>
    <t>10.40 kilograms</t>
  </si>
  <si>
    <t>0.34 kilograms</t>
  </si>
  <si>
    <t>5.21 kilograms</t>
  </si>
  <si>
    <t>0.09 kilograms</t>
  </si>
  <si>
    <t>5.12 kilograms</t>
  </si>
  <si>
    <t>19.50 kilograms</t>
  </si>
  <si>
    <t>16.36 kilograms</t>
  </si>
  <si>
    <t>-3.14 kilograms</t>
  </si>
  <si>
    <t>2.70 kilograms</t>
  </si>
  <si>
    <t>4.35 kilograms</t>
  </si>
  <si>
    <t>18.45 kilograms</t>
  </si>
  <si>
    <t>15.23 kilograms</t>
  </si>
  <si>
    <t>-3.22 kilograms</t>
  </si>
  <si>
    <t>1.70 kilograms</t>
  </si>
  <si>
    <t>-2.67 kilograms</t>
  </si>
  <si>
    <t>1992 8.19 kilograms</t>
  </si>
  <si>
    <t>12.41 kilograms</t>
  </si>
  <si>
    <t>19.65 kilograms</t>
  </si>
  <si>
    <t>6.39 kilograms</t>
  </si>
  <si>
    <t>-13.26 kilograms</t>
  </si>
  <si>
    <t>11.49 kilograms</t>
  </si>
  <si>
    <t>5.79 kilograms</t>
  </si>
  <si>
    <t>-5.70 kilograms</t>
  </si>
  <si>
    <t>1993 20.64 kilograms</t>
  </si>
  <si>
    <t>8.15 kilograms</t>
  </si>
  <si>
    <t>-12.49 kilograms</t>
  </si>
  <si>
    <t>18.29 kilograms</t>
  </si>
  <si>
    <t>1992 16.65 kilograms</t>
  </si>
  <si>
    <t>-1.64 kilograms</t>
  </si>
  <si>
    <t>16.59 kilograms</t>
  </si>
  <si>
    <t>28.46 kilograms</t>
  </si>
  <si>
    <t>2.50 kilograms</t>
  </si>
  <si>
    <t>10.00 kilograms</t>
  </si>
  <si>
    <t>4.90 kilograms</t>
  </si>
  <si>
    <t>8.72 kilograms</t>
  </si>
  <si>
    <t>6.85 kilograms</t>
  </si>
  <si>
    <t>9.88 kilograms</t>
  </si>
  <si>
    <t>8.33 kilograms</t>
  </si>
  <si>
    <t>5.15 kilograms</t>
  </si>
  <si>
    <t>-3.18 kilograms</t>
  </si>
  <si>
    <t>0.39 kilograms</t>
  </si>
  <si>
    <t>5.78 kilograms</t>
  </si>
  <si>
    <t>12.56 kilograms</t>
  </si>
  <si>
    <t>8.02 kilograms</t>
  </si>
  <si>
    <t>16.61 kilograms</t>
  </si>
  <si>
    <t>5.98 kilograms</t>
  </si>
  <si>
    <t>12.88 kilograms</t>
  </si>
  <si>
    <t>7.03 kilograms</t>
  </si>
  <si>
    <t>5.95 kilograms</t>
  </si>
  <si>
    <t>1992 24.88 kilograms</t>
  </si>
  <si>
    <t>7.19 kilograms</t>
  </si>
  <si>
    <t>-17.69 kilograms</t>
  </si>
  <si>
    <t>27.06 kilograms</t>
  </si>
  <si>
    <t>15.10 kilograms</t>
  </si>
  <si>
    <t>-11.96 kilograms</t>
  </si>
  <si>
    <t>1993 4.47 kilograms</t>
  </si>
  <si>
    <t>3.61 kilograms</t>
  </si>
  <si>
    <t>-0.86 kilograms</t>
  </si>
  <si>
    <t>8.64 kilograms</t>
  </si>
  <si>
    <t>1992 4.22 kilograms</t>
  </si>
  <si>
    <t>-4.42 kilograms</t>
  </si>
  <si>
    <t>15.67 kilograms</t>
  </si>
  <si>
    <t>14.89 kilograms</t>
  </si>
  <si>
    <t>-0.78 kilograms</t>
  </si>
  <si>
    <t>17.48 kilograms</t>
  </si>
  <si>
    <t>14.88 kilograms</t>
  </si>
  <si>
    <t>-2.60 kilograms</t>
  </si>
  <si>
    <t>7.16 kilograms</t>
  </si>
  <si>
    <t>17.56 kilograms</t>
  </si>
  <si>
    <t>19.22 kilograms</t>
  </si>
  <si>
    <t>28.56 kilograms</t>
  </si>
  <si>
    <t>23.81 kilograms</t>
  </si>
  <si>
    <t>-4.75 kilograms</t>
  </si>
  <si>
    <t>15.49 kilograms</t>
  </si>
  <si>
    <t>30.90 kilograms</t>
  </si>
  <si>
    <t>10.45 kilograms</t>
  </si>
  <si>
    <t>8.60 kilograms</t>
  </si>
  <si>
    <t>-1.85 kilograms</t>
  </si>
  <si>
    <t>5.80 kilograms</t>
  </si>
  <si>
    <t>2.16 kilograms</t>
  </si>
  <si>
    <t>-3.64 kilograms</t>
  </si>
  <si>
    <t>1992 8.98 kilograms</t>
  </si>
  <si>
    <t>6.04 kilograms</t>
  </si>
  <si>
    <t>-2.94 kilograms</t>
  </si>
  <si>
    <t>13.16 kilograms</t>
  </si>
  <si>
    <t>-6.76 kilograms</t>
  </si>
  <si>
    <t>4.26 kilograms</t>
  </si>
  <si>
    <t>1.09 kilograms</t>
  </si>
  <si>
    <t>-3.17 kilograms</t>
  </si>
  <si>
    <t>16.10 kilograms</t>
  </si>
  <si>
    <t>4.68 kilograms</t>
  </si>
  <si>
    <t>3.46 kilograms</t>
  </si>
  <si>
    <t>-1.22 kilograms</t>
  </si>
  <si>
    <t>8.40 kilograms</t>
  </si>
  <si>
    <t>-2.80 kilograms</t>
  </si>
  <si>
    <t>2.79 kilograms</t>
  </si>
  <si>
    <t>6.26 kilograms</t>
  </si>
  <si>
    <t>2.91 kilograms</t>
  </si>
  <si>
    <t>3.94 kilograms</t>
  </si>
  <si>
    <t>8.61 kilograms</t>
  </si>
  <si>
    <t>3.22 kilograms</t>
  </si>
  <si>
    <t>-5.39 kilograms</t>
  </si>
  <si>
    <t>3.44 kilograms</t>
  </si>
  <si>
    <t>4.60 kilograms</t>
  </si>
  <si>
    <t>7.24 kilograms</t>
  </si>
  <si>
    <t>-0.05 kilograms</t>
  </si>
  <si>
    <t>19.64 kilograms</t>
  </si>
  <si>
    <t>4.96 kilograms</t>
  </si>
  <si>
    <t>-14.68 kilograms</t>
  </si>
  <si>
    <t>10.89 kilograms</t>
  </si>
  <si>
    <t>13.36 kilograms</t>
  </si>
  <si>
    <t>2.30 kilograms</t>
  </si>
  <si>
    <t>0.81 kilograms</t>
  </si>
  <si>
    <t>-1.49 kilograms</t>
  </si>
  <si>
    <t>2.59 kilograms</t>
  </si>
  <si>
    <t>3.98 kilograms</t>
  </si>
  <si>
    <t>3.58 kilograms</t>
  </si>
  <si>
    <t>-0.40 kilograms</t>
  </si>
  <si>
    <t>5.22 kilograms</t>
  </si>
  <si>
    <t>2.96 kilograms</t>
  </si>
  <si>
    <t>-2.26 kilograms</t>
  </si>
  <si>
    <t>16.03 kilograms</t>
  </si>
  <si>
    <t>22.35 kilograms</t>
  </si>
  <si>
    <t>7.82 kilograms</t>
  </si>
  <si>
    <t>28.78 kilograms</t>
  </si>
  <si>
    <t>14.85 kilograms</t>
  </si>
  <si>
    <t>18.60 kilograms</t>
  </si>
  <si>
    <t>9.31 kilograms</t>
  </si>
  <si>
    <t>3.97 kilograms</t>
  </si>
  <si>
    <t>-5.34 kilograms</t>
  </si>
  <si>
    <t>1.57 kilograms</t>
  </si>
  <si>
    <t>9.15 kilograms</t>
  </si>
  <si>
    <t>0.73 kilograms</t>
  </si>
  <si>
    <t>5.61 kilograms</t>
  </si>
  <si>
    <t>1992 26.30 kilograms</t>
  </si>
  <si>
    <t>23.38 kilograms</t>
  </si>
  <si>
    <t>-2.92 kilograms</t>
  </si>
  <si>
    <t>12.52 kilograms</t>
  </si>
  <si>
    <t>9.54 kilograms</t>
  </si>
  <si>
    <t>-2.98 kilograms</t>
  </si>
  <si>
    <t>1.99 kilograms</t>
  </si>
  <si>
    <t>3.92 kilograms</t>
  </si>
  <si>
    <t>4.07 kilograms</t>
  </si>
  <si>
    <t>13.03 kilograms</t>
  </si>
  <si>
    <t>1992 19.62 kilograms</t>
  </si>
  <si>
    <t>14.90 kilograms</t>
  </si>
  <si>
    <t>-4.72 kilograms</t>
  </si>
  <si>
    <t>7.93 kilograms</t>
  </si>
  <si>
    <t>8.92 kilograms</t>
  </si>
  <si>
    <t>2.76 kilograms</t>
  </si>
  <si>
    <t>7.29 kilograms</t>
  </si>
  <si>
    <t>1992 30.58 kilograms</t>
  </si>
  <si>
    <t>5.11 kilograms</t>
  </si>
  <si>
    <t>-25.47 kilograms</t>
  </si>
  <si>
    <t>Least developed countries</t>
  </si>
  <si>
    <t>4.89 kilograms</t>
  </si>
  <si>
    <t>4.67 kilograms</t>
  </si>
  <si>
    <t>-0.22 kilograms</t>
  </si>
  <si>
    <t>7.31 kilograms</t>
  </si>
  <si>
    <t>15.22 kilograms</t>
  </si>
  <si>
    <t>9.55 kilograms</t>
  </si>
  <si>
    <t>6.02 kilograms</t>
  </si>
  <si>
    <t>-3.53 kilograms</t>
  </si>
  <si>
    <t>2.71 kilograms</t>
  </si>
  <si>
    <t>0.78 kilograms</t>
  </si>
  <si>
    <t>-1.93 kilograms</t>
  </si>
  <si>
    <t>1992 37.49 kilograms</t>
  </si>
  <si>
    <t>4.49 kilograms</t>
  </si>
  <si>
    <t>-33.00 kilograms</t>
  </si>
  <si>
    <t>3.40 kilograms</t>
  </si>
  <si>
    <t>-0.70 kilograms</t>
  </si>
  <si>
    <t>2000 30.01 kilograms</t>
  </si>
  <si>
    <t>29.88 kilograms</t>
  </si>
  <si>
    <t>-0.13 kilograms</t>
  </si>
  <si>
    <t>17.89 kilograms</t>
  </si>
  <si>
    <t>7.51 kilograms</t>
  </si>
  <si>
    <t>-10.38 kilograms</t>
  </si>
  <si>
    <t>1.16 kilograms</t>
  </si>
  <si>
    <t>2.24 kilograms</t>
  </si>
  <si>
    <t>6.52 kilograms</t>
  </si>
  <si>
    <t>0.00 kilograms</t>
  </si>
  <si>
    <t>9.44 kilograms</t>
  </si>
  <si>
    <t>5.64 kilograms</t>
  </si>
  <si>
    <t>9.96 kilograms</t>
  </si>
  <si>
    <t>17.51 kilograms</t>
  </si>
  <si>
    <t>11.39 kilograms</t>
  </si>
  <si>
    <t>-4.87 kilograms</t>
  </si>
  <si>
    <t>4.15 kilograms</t>
  </si>
  <si>
    <t>5.99 kilograms</t>
  </si>
  <si>
    <t>10.55 kilograms</t>
  </si>
  <si>
    <t>9.21 kilograms</t>
  </si>
  <si>
    <t>-1.34 kilograms</t>
  </si>
  <si>
    <t>8.54 kilograms</t>
  </si>
  <si>
    <t>15.33 kilograms</t>
  </si>
  <si>
    <t>4.73 kilograms</t>
  </si>
  <si>
    <t>6.83 kilograms</t>
  </si>
  <si>
    <t>1992 11.26 kilograms</t>
  </si>
  <si>
    <t>1.56 kilograms</t>
  </si>
  <si>
    <t>-9.70 kilograms</t>
  </si>
  <si>
    <t>44.66 kilograms</t>
  </si>
  <si>
    <t>19.95 kilograms</t>
  </si>
  <si>
    <t>-24.71 kilograms</t>
  </si>
  <si>
    <t>2006 11.88 kilograms</t>
  </si>
  <si>
    <t>12.59 kilograms</t>
  </si>
  <si>
    <t>5.29 kilograms</t>
  </si>
  <si>
    <t>8.04 kilograms</t>
  </si>
  <si>
    <t>3.24 kilograms</t>
  </si>
  <si>
    <t>1.04 kilograms</t>
  </si>
  <si>
    <t>-2.20 kilograms</t>
  </si>
  <si>
    <t>2.66 kilograms</t>
  </si>
  <si>
    <t>4.94 kilograms</t>
  </si>
  <si>
    <t>12.36 kilograms</t>
  </si>
  <si>
    <t>3.75 kilograms</t>
  </si>
  <si>
    <t>-8.61 kilograms</t>
  </si>
  <si>
    <t>7.89 kilograms</t>
  </si>
  <si>
    <t>5.90 kilograms</t>
  </si>
  <si>
    <t>6.56 kilograms</t>
  </si>
  <si>
    <t>20.15 kilograms</t>
  </si>
  <si>
    <t>17.67 kilograms</t>
  </si>
  <si>
    <t>-2.48 kilograms</t>
  </si>
  <si>
    <t>Netherlands Antilles (former)</t>
  </si>
  <si>
    <t>28.93 kilograms</t>
  </si>
  <si>
    <t>2010 3.15 kilograms</t>
  </si>
  <si>
    <t>-25.78 kilograms</t>
  </si>
  <si>
    <t>28.84 kilograms</t>
  </si>
  <si>
    <t>16.07 kilograms</t>
  </si>
  <si>
    <t>-12.77 kilograms</t>
  </si>
  <si>
    <t>47.06 kilograms</t>
  </si>
  <si>
    <t>22.49 kilograms</t>
  </si>
  <si>
    <t>-24.57 kilograms</t>
  </si>
  <si>
    <t>10.93 kilograms</t>
  </si>
  <si>
    <t>-6.20 kilograms</t>
  </si>
  <si>
    <t>8.97 kilograms</t>
  </si>
  <si>
    <t>3.45 kilograms</t>
  </si>
  <si>
    <t>2.33 kilograms</t>
  </si>
  <si>
    <t>-1.12 kilograms</t>
  </si>
  <si>
    <t>1.73 kilograms</t>
  </si>
  <si>
    <t>0.88 kilograms</t>
  </si>
  <si>
    <t>-0.85 kilograms</t>
  </si>
  <si>
    <t>1992 5.13 kilograms</t>
  </si>
  <si>
    <t>7.69 kilograms</t>
  </si>
  <si>
    <t>5.87 kilograms</t>
  </si>
  <si>
    <t>9.90 kilograms</t>
  </si>
  <si>
    <t>40.82 kilograms</t>
  </si>
  <si>
    <t>35.65 kilograms</t>
  </si>
  <si>
    <t>-5.17 kilograms</t>
  </si>
  <si>
    <t>22.60 kilograms</t>
  </si>
  <si>
    <t>18.82 kilograms</t>
  </si>
  <si>
    <t>-3.78 kilograms</t>
  </si>
  <si>
    <t>15.42 kilograms</t>
  </si>
  <si>
    <t>19.83 kilograms</t>
  </si>
  <si>
    <t>40.31 kilograms</t>
  </si>
  <si>
    <t>30.31 kilograms</t>
  </si>
  <si>
    <t>-10.00 kilograms</t>
  </si>
  <si>
    <t>1990 4.36 kilograms</t>
  </si>
  <si>
    <t>5.18 kilograms</t>
  </si>
  <si>
    <t>8.82 kilograms</t>
  </si>
  <si>
    <t>18.38 kilograms</t>
  </si>
  <si>
    <t>20.40 kilograms</t>
  </si>
  <si>
    <t>50.93 kilograms</t>
  </si>
  <si>
    <t>19.81 kilograms</t>
  </si>
  <si>
    <t>-31.12 kilograms</t>
  </si>
  <si>
    <t>6.74 kilograms</t>
  </si>
  <si>
    <t>4.69 kilograms</t>
  </si>
  <si>
    <t>-2.05 kilograms</t>
  </si>
  <si>
    <t>9.30 kilograms</t>
  </si>
  <si>
    <t>2.32 kilograms</t>
  </si>
  <si>
    <t>-6.98 kilograms</t>
  </si>
  <si>
    <t>15.47 kilograms</t>
  </si>
  <si>
    <t>22.55 kilograms</t>
  </si>
  <si>
    <t>6.22 kilograms</t>
  </si>
  <si>
    <t>16.45 kilograms</t>
  </si>
  <si>
    <t>7.27 kilograms</t>
  </si>
  <si>
    <t>4.78 kilograms</t>
  </si>
  <si>
    <t>-2.49 kilograms</t>
  </si>
  <si>
    <t>1992 28.68 kilograms</t>
  </si>
  <si>
    <t>16.98 kilograms</t>
  </si>
  <si>
    <t>-11.70 kilograms</t>
  </si>
  <si>
    <t>1.35 kilograms</t>
  </si>
  <si>
    <t>2.53 kilograms</t>
  </si>
  <si>
    <t>3.96 kilograms</t>
  </si>
  <si>
    <t>10.06 kilograms</t>
  </si>
  <si>
    <t>2.61 kilograms</t>
  </si>
  <si>
    <t>9.37 kilograms</t>
  </si>
  <si>
    <t>15.45 kilograms</t>
  </si>
  <si>
    <t>10.38 kilograms</t>
  </si>
  <si>
    <t>-5.07 kilograms</t>
  </si>
  <si>
    <t>1.88 kilograms</t>
  </si>
  <si>
    <t>1.25 kilograms</t>
  </si>
  <si>
    <t>-0.63 kilograms</t>
  </si>
  <si>
    <t>1.07 kilograms</t>
  </si>
  <si>
    <t>6.45 kilograms</t>
  </si>
  <si>
    <t>8.08 kilograms</t>
  </si>
  <si>
    <t>5.85 kilograms</t>
  </si>
  <si>
    <t>-2.23 kilograms</t>
  </si>
  <si>
    <t>2006 7.45 kilograms</t>
  </si>
  <si>
    <t>7.05 kilograms</t>
  </si>
  <si>
    <t>1992 20.16 kilograms</t>
  </si>
  <si>
    <t>2005 15.01 kilograms</t>
  </si>
  <si>
    <t>-5.15 kilograms</t>
  </si>
  <si>
    <t>1.91 kilograms</t>
  </si>
  <si>
    <t>1993 17.01 kilograms</t>
  </si>
  <si>
    <t>5.19 kilograms</t>
  </si>
  <si>
    <t>-11.82 kilograms</t>
  </si>
  <si>
    <t>1992 17.10 kilograms</t>
  </si>
  <si>
    <t>18.43 kilograms</t>
  </si>
  <si>
    <t>10.81 kilograms</t>
  </si>
  <si>
    <t>6.81 kilograms</t>
  </si>
  <si>
    <t>-4.00 kilograms</t>
  </si>
  <si>
    <t>5.42 kilograms</t>
  </si>
  <si>
    <t>5.57 kilograms</t>
  </si>
  <si>
    <t>20.35 kilograms</t>
  </si>
  <si>
    <t>18.03 kilograms</t>
  </si>
  <si>
    <t>-2.32 kilograms</t>
  </si>
  <si>
    <t>27.15 kilograms</t>
  </si>
  <si>
    <t>14.53 kilograms</t>
  </si>
  <si>
    <t>South-Eastern Asia</t>
  </si>
  <si>
    <t>2.68 kilograms</t>
  </si>
  <si>
    <t>4.05 kilograms</t>
  </si>
  <si>
    <t>19.74 kilograms</t>
  </si>
  <si>
    <t>16.67 kilograms</t>
  </si>
  <si>
    <t>-3.07 kilograms</t>
  </si>
  <si>
    <t>2.67 kilograms</t>
  </si>
  <si>
    <t>-0.67 kilograms</t>
  </si>
  <si>
    <t>9.73 kilograms</t>
  </si>
  <si>
    <t>15.13 kilograms</t>
  </si>
  <si>
    <t>1.38 kilograms</t>
  </si>
  <si>
    <t>-1.53 kilograms</t>
  </si>
  <si>
    <t>2012 10.55 kilograms</t>
  </si>
  <si>
    <t>10.78 kilograms</t>
  </si>
  <si>
    <t>8.65 kilograms</t>
  </si>
  <si>
    <t>2011 7.95 kilograms</t>
  </si>
  <si>
    <t>13.04 kilograms</t>
  </si>
  <si>
    <t>-3.31 kilograms</t>
  </si>
  <si>
    <t>19.57 kilograms</t>
  </si>
  <si>
    <t>24.58 kilograms</t>
  </si>
  <si>
    <t>23.76 kilograms</t>
  </si>
  <si>
    <t>21.26 kilograms</t>
  </si>
  <si>
    <t>-2.50 kilograms</t>
  </si>
  <si>
    <t>1992 8.93 kilograms</t>
  </si>
  <si>
    <t>-4.58 kilograms</t>
  </si>
  <si>
    <t>6.49 kilograms</t>
  </si>
  <si>
    <t>6.09 kilograms</t>
  </si>
  <si>
    <t>6.97 kilograms</t>
  </si>
  <si>
    <t>2.56 kilograms</t>
  </si>
  <si>
    <t>-4.41 kilograms</t>
  </si>
  <si>
    <t>3.19 kilograms</t>
  </si>
  <si>
    <t>1.86 kilograms</t>
  </si>
  <si>
    <t>1.53 kilograms</t>
  </si>
  <si>
    <t>-0.33 kilograms</t>
  </si>
  <si>
    <t>6.41 kilograms</t>
  </si>
  <si>
    <t>6.13 kilograms</t>
  </si>
  <si>
    <t>-0.28 kilograms</t>
  </si>
  <si>
    <t>5.53 kilograms</t>
  </si>
  <si>
    <t>3.86 kilograms</t>
  </si>
  <si>
    <t>11.64 kilograms</t>
  </si>
  <si>
    <t>1992 20.64 kilograms</t>
  </si>
  <si>
    <t>26.06 kilograms</t>
  </si>
  <si>
    <t>12.97 kilograms</t>
  </si>
  <si>
    <t>1991 30.23 kilograms</t>
  </si>
  <si>
    <t>8.76 kilograms</t>
  </si>
  <si>
    <t>-3.61 kilograms</t>
  </si>
  <si>
    <t>1992 26.03 kilograms</t>
  </si>
  <si>
    <t>-17.07 kilograms</t>
  </si>
  <si>
    <t>3.76 kilograms</t>
  </si>
  <si>
    <t>24.85 kilograms</t>
  </si>
  <si>
    <t>18.12 kilograms</t>
  </si>
  <si>
    <t>-6.73 kilograms</t>
  </si>
  <si>
    <t>41.22 kilograms</t>
  </si>
  <si>
    <t>36.24 kilograms</t>
  </si>
  <si>
    <t>-4.98 kilograms</t>
  </si>
  <si>
    <t>75.92 kilograms</t>
  </si>
  <si>
    <t>29.10 kilograms</t>
  </si>
  <si>
    <t>-46.82 kilograms</t>
  </si>
  <si>
    <t>1992 16.40 kilograms</t>
  </si>
  <si>
    <t>28.20 kilograms</t>
  </si>
  <si>
    <t>11.22 kilograms</t>
  </si>
  <si>
    <t>-7.16 kilograms</t>
  </si>
  <si>
    <t>16.48 kilograms</t>
  </si>
  <si>
    <t>25.89 kilograms</t>
  </si>
  <si>
    <t>1.97 kilograms</t>
  </si>
  <si>
    <t>7.44 kilograms</t>
  </si>
  <si>
    <t>3.87 kilograms</t>
  </si>
  <si>
    <t>3.34 kilograms</t>
  </si>
  <si>
    <t>-0.53 kilograms</t>
  </si>
  <si>
    <t>9.13 kilograms</t>
  </si>
  <si>
    <t>22.83 kilograms</t>
  </si>
  <si>
    <t>17.83 kilograms</t>
  </si>
  <si>
    <t>-5.00 kilograms</t>
  </si>
  <si>
    <t>9.38 kilograms</t>
  </si>
  <si>
    <t>9.32 kilograms</t>
  </si>
  <si>
    <t>-0.06 kilograms</t>
  </si>
  <si>
    <t>3.71 kilograms</t>
  </si>
  <si>
    <t>4.75 kilograms</t>
  </si>
  <si>
    <t>Yugoslav SFR</t>
  </si>
  <si>
    <t>6.23 kilograms</t>
  </si>
  <si>
    <t>1991 14.04 kilograms</t>
  </si>
  <si>
    <t>9.16 kilograms</t>
  </si>
  <si>
    <t>4.76 kilograms</t>
  </si>
  <si>
    <t>-4.40 kilograms</t>
  </si>
  <si>
    <t>11.04 kilograms</t>
  </si>
  <si>
    <t>7.37 kilograms</t>
  </si>
  <si>
    <t>-3.67 kilograms</t>
  </si>
  <si>
    <t>2013 10.77 kg</t>
  </si>
  <si>
    <t>5.36 kg</t>
  </si>
  <si>
    <t>3.86 kg</t>
  </si>
  <si>
    <t>2013 14.20 kg</t>
  </si>
  <si>
    <t>20.22 kg</t>
  </si>
  <si>
    <t>52.54 kg</t>
  </si>
  <si>
    <t>7.29 kg</t>
  </si>
  <si>
    <t>5.83 kg</t>
  </si>
  <si>
    <t>2013 21.43 kg</t>
  </si>
  <si>
    <t>2013 2.26 kg</t>
  </si>
  <si>
    <t>25.87 kg</t>
  </si>
  <si>
    <t>2013 25.91 kg</t>
  </si>
  <si>
    <t>14.09 kg</t>
  </si>
  <si>
    <t>3.20 kg</t>
  </si>
  <si>
    <t>27.31 kg</t>
  </si>
  <si>
    <t>24.31 kg</t>
  </si>
  <si>
    <t>39.97 kg</t>
  </si>
  <si>
    <t>16.28 kg</t>
  </si>
  <si>
    <t>23.01 kg</t>
  </si>
  <si>
    <t>1999 23.40 kg</t>
  </si>
  <si>
    <t>12.16 kg</t>
  </si>
  <si>
    <t>17.60 kg</t>
  </si>
  <si>
    <t>2013 45.17 kg</t>
  </si>
  <si>
    <t>2.57 kg</t>
  </si>
  <si>
    <t>3.80 kg</t>
  </si>
  <si>
    <t>9.09 kg</t>
  </si>
  <si>
    <t>2013 46.70 kg</t>
  </si>
  <si>
    <t>7.05 kg</t>
  </si>
  <si>
    <t>7.06 kg</t>
  </si>
  <si>
    <t>42.69 kg</t>
  </si>
  <si>
    <t>18.06 kg</t>
  </si>
  <si>
    <t>2013 8.96 kg</t>
  </si>
  <si>
    <t>7.73 kg</t>
  </si>
  <si>
    <t>2013 9.09 kg</t>
  </si>
  <si>
    <t>11.78 kg</t>
  </si>
  <si>
    <t>38.17 kg</t>
  </si>
  <si>
    <t>7.16 kg</t>
  </si>
  <si>
    <t>29.34 kg</t>
  </si>
  <si>
    <t>18.46 kg</t>
  </si>
  <si>
    <t>17.97 kg</t>
  </si>
  <si>
    <t>18.74 kg</t>
  </si>
  <si>
    <t>5.69 kg</t>
  </si>
  <si>
    <t>24.94 kg</t>
  </si>
  <si>
    <t>9.31 kg</t>
  </si>
  <si>
    <t>1992 5.38 kg</t>
  </si>
  <si>
    <t>22.70 kg</t>
  </si>
  <si>
    <t>3.69 kg</t>
  </si>
  <si>
    <t>28.06 kg</t>
  </si>
  <si>
    <t>9.56 kg</t>
  </si>
  <si>
    <t>2013 4.80 kg</t>
  </si>
  <si>
    <t>2013 35.86 kg</t>
  </si>
  <si>
    <t>2013 17.08 kg</t>
  </si>
  <si>
    <t>23.69 kg</t>
  </si>
  <si>
    <t>6.64 kg</t>
  </si>
  <si>
    <t>14.72 kg</t>
  </si>
  <si>
    <t>3.88 kg</t>
  </si>
  <si>
    <t>0.44 kg</t>
  </si>
  <si>
    <t>1992 0.09 kg</t>
  </si>
  <si>
    <t>2013 21.85 kg</t>
  </si>
  <si>
    <t>2013 21.45 kg</t>
  </si>
  <si>
    <t>2013 22.47 kg</t>
  </si>
  <si>
    <t>34.83 kg</t>
  </si>
  <si>
    <t>33.62 kg</t>
  </si>
  <si>
    <t>34.37 kg</t>
  </si>
  <si>
    <t>47.24 kg</t>
  </si>
  <si>
    <t>30.94 kg</t>
  </si>
  <si>
    <t>27.53 kg</t>
  </si>
  <si>
    <t>8.04 kg</t>
  </si>
  <si>
    <t>12.75 kg</t>
  </si>
  <si>
    <t>25.51 kg</t>
  </si>
  <si>
    <t>19.44 kg</t>
  </si>
  <si>
    <t>27.10 kg</t>
  </si>
  <si>
    <t>2.58 kg</t>
  </si>
  <si>
    <t>10.09 kg</t>
  </si>
  <si>
    <t>1.30 kg</t>
  </si>
  <si>
    <t>30.48 kg</t>
  </si>
  <si>
    <t>4.53 kg</t>
  </si>
  <si>
    <t>3.15 kg</t>
  </si>
  <si>
    <t>70.75 kg</t>
  </si>
  <si>
    <t>6.30 kg</t>
  </si>
  <si>
    <t>90.71 kg</t>
  </si>
  <si>
    <t>6.90 kg</t>
  </si>
  <si>
    <t>44.67 kg</t>
  </si>
  <si>
    <t>11.73 kg</t>
  </si>
  <si>
    <t>3.37 kg</t>
  </si>
  <si>
    <t>23.43 kg</t>
  </si>
  <si>
    <t>25.92 kg</t>
  </si>
  <si>
    <t>29.80 kg</t>
  </si>
  <si>
    <t>25.41 kg</t>
  </si>
  <si>
    <t>45.49 kg</t>
  </si>
  <si>
    <t>5.87 kg</t>
  </si>
  <si>
    <t>4.50 kg</t>
  </si>
  <si>
    <t>3.98 kg</t>
  </si>
  <si>
    <t>76.69 kg</t>
  </si>
  <si>
    <t>11.48 kg</t>
  </si>
  <si>
    <t>2013 3.87 kg</t>
  </si>
  <si>
    <t>25.26 kg</t>
  </si>
  <si>
    <t>24.86 kg</t>
  </si>
  <si>
    <t>2013 12.56 kg</t>
  </si>
  <si>
    <t>1.84 kg</t>
  </si>
  <si>
    <t>5.88 kg</t>
  </si>
  <si>
    <t>33.09 kg</t>
  </si>
  <si>
    <t>2013 6.90 kg</t>
  </si>
  <si>
    <t>32.15 kg</t>
  </si>
  <si>
    <t>56.33 kg</t>
  </si>
  <si>
    <t>5.29 kg</t>
  </si>
  <si>
    <t>9.50 kg</t>
  </si>
  <si>
    <t>57.62 kg</t>
  </si>
  <si>
    <t>90.41 kg</t>
  </si>
  <si>
    <t>9.16 kg</t>
  </si>
  <si>
    <t>23.07 kg</t>
  </si>
  <si>
    <t>2013 33.67 kg</t>
  </si>
  <si>
    <t>14.38 kg</t>
  </si>
  <si>
    <t>2013 72.46 kg</t>
  </si>
  <si>
    <t>2013 14.08 kg</t>
  </si>
  <si>
    <t>14.06 kg</t>
  </si>
  <si>
    <t>19.47 kg</t>
  </si>
  <si>
    <t>11.46 kg</t>
  </si>
  <si>
    <t>47.32 kg</t>
  </si>
  <si>
    <t>11.56 kg</t>
  </si>
  <si>
    <t>2.83 kg</t>
  </si>
  <si>
    <t>2013 11.82 kg</t>
  </si>
  <si>
    <t>21.77 kg</t>
  </si>
  <si>
    <t>2010 27.15 kg</t>
  </si>
  <si>
    <t>24.73 kg</t>
  </si>
  <si>
    <t>6.51 kg</t>
  </si>
  <si>
    <t>9.12 kg</t>
  </si>
  <si>
    <t>11.40 kg</t>
  </si>
  <si>
    <t>6.21 kg</t>
  </si>
  <si>
    <t>2013 13.53 kg</t>
  </si>
  <si>
    <t>2013 21.61 kg</t>
  </si>
  <si>
    <t>2013 25.34 kg</t>
  </si>
  <si>
    <t>51.35 kg</t>
  </si>
  <si>
    <t>2013 26.87 kg</t>
  </si>
  <si>
    <t>28.54 kg</t>
  </si>
  <si>
    <t>13.12 kg</t>
  </si>
  <si>
    <t>25.04 kg</t>
  </si>
  <si>
    <t>28.14 kg</t>
  </si>
  <si>
    <t>2013 45.91 kg</t>
  </si>
  <si>
    <t>56.84 kg</t>
  </si>
  <si>
    <t>5.96 kg</t>
  </si>
  <si>
    <t>20.07 kg</t>
  </si>
  <si>
    <t>7.66 kg</t>
  </si>
  <si>
    <t>36.05 kg</t>
  </si>
  <si>
    <t>34.10 kg</t>
  </si>
  <si>
    <t>18.14 kg</t>
  </si>
  <si>
    <t>46.32 kg</t>
  </si>
  <si>
    <t>28.30 kg</t>
  </si>
  <si>
    <t>11.33 kg</t>
  </si>
  <si>
    <t>18.09 kg</t>
  </si>
  <si>
    <t>6.18 kg</t>
  </si>
  <si>
    <t>2005 4.49 kg</t>
  </si>
  <si>
    <t>26.30 kg</t>
  </si>
  <si>
    <t>9.70 kg</t>
  </si>
  <si>
    <t>11.96 kg</t>
  </si>
  <si>
    <t>2013 12.45 kg</t>
  </si>
  <si>
    <t>30.14 kg</t>
  </si>
  <si>
    <t>2013 10.31 kg</t>
  </si>
  <si>
    <t>2013 33.00 kg</t>
  </si>
  <si>
    <t>54.97 kg</t>
  </si>
  <si>
    <t>2013 6.09 kg</t>
  </si>
  <si>
    <t>2013 6.36 kg</t>
  </si>
  <si>
    <t>2013 29.07 kg</t>
  </si>
  <si>
    <t>42.47 kg</t>
  </si>
  <si>
    <t>30.84 kg</t>
  </si>
  <si>
    <t>2011 1.79 kg</t>
  </si>
  <si>
    <t>16.69 kg</t>
  </si>
  <si>
    <t>32.81 kg</t>
  </si>
  <si>
    <t>16.94 kg</t>
  </si>
  <si>
    <t>29.69 kg</t>
  </si>
  <si>
    <t>0.37 kg</t>
  </si>
  <si>
    <t>6.80 kg</t>
  </si>
  <si>
    <t>29.17 kg</t>
  </si>
  <si>
    <t>23.85 kg</t>
  </si>
  <si>
    <t>13.16 kg</t>
  </si>
  <si>
    <t>4.85 kg</t>
  </si>
  <si>
    <t>2.94 kg</t>
  </si>
  <si>
    <t>1991 21.82 kg</t>
  </si>
  <si>
    <t>11.27 kg</t>
  </si>
  <si>
    <t>11.67 kg</t>
  </si>
  <si>
    <t>24.71 kg</t>
  </si>
  <si>
    <t>19.73 kg</t>
  </si>
  <si>
    <t>22.36 kg</t>
  </si>
  <si>
    <t>9.23 kg</t>
  </si>
  <si>
    <t>28.40 kg</t>
  </si>
  <si>
    <t>10.10 kg</t>
  </si>
  <si>
    <t>37.66 kg</t>
  </si>
  <si>
    <t>2013 15.25 kg</t>
  </si>
  <si>
    <t>2013 8.00 kg</t>
  </si>
  <si>
    <t>2013 18.98 kg</t>
  </si>
  <si>
    <t>3.17 kg</t>
  </si>
  <si>
    <t>1991 2.19 kg</t>
  </si>
  <si>
    <t>12.05 kg</t>
  </si>
  <si>
    <t>3.73 kg</t>
  </si>
  <si>
    <t>How is our seafood produced?</t>
  </si>
  <si>
    <t>34.05 kg</t>
  </si>
  <si>
    <t>66.18 kg</t>
  </si>
  <si>
    <t>142.00 kg</t>
  </si>
  <si>
    <t>114.19 kg</t>
  </si>
  <si>
    <t>102.99 kg</t>
  </si>
  <si>
    <t>90.34 kg</t>
  </si>
  <si>
    <t>157.78 kg</t>
  </si>
  <si>
    <t>76.42 kg</t>
  </si>
  <si>
    <t>110.87 kg</t>
  </si>
  <si>
    <t>71.86 kg</t>
  </si>
  <si>
    <t>75.45 kg</t>
  </si>
  <si>
    <t>88.16 kg</t>
  </si>
  <si>
    <t>89.92 kg</t>
  </si>
  <si>
    <t>154.11 kg</t>
  </si>
  <si>
    <t>74.93 kg</t>
  </si>
  <si>
    <t>278.89 kg</t>
  </si>
  <si>
    <t>23.33 kg</t>
  </si>
  <si>
    <t>96.22 kg</t>
  </si>
  <si>
    <t>71.80 kg</t>
  </si>
  <si>
    <t>71.37 kg</t>
  </si>
  <si>
    <t>1999 114.94 kg</t>
  </si>
  <si>
    <t>170.32 kg</t>
  </si>
  <si>
    <t>49.62 kg</t>
  </si>
  <si>
    <t>215.20 kg</t>
  </si>
  <si>
    <t>69.41 kg</t>
  </si>
  <si>
    <t>106.76 kg</t>
  </si>
  <si>
    <t>66.11 kg</t>
  </si>
  <si>
    <t>93.19 kg</t>
  </si>
  <si>
    <t>76.51 kg</t>
  </si>
  <si>
    <t>70.43 kg</t>
  </si>
  <si>
    <t>26.25 kg</t>
  </si>
  <si>
    <t>112.25 kg</t>
  </si>
  <si>
    <t>135.65 kg</t>
  </si>
  <si>
    <t>80.18 kg</t>
  </si>
  <si>
    <t>150.53 kg</t>
  </si>
  <si>
    <t>46.43 kg</t>
  </si>
  <si>
    <t>97.98 kg</t>
  </si>
  <si>
    <t>8.51 kg</t>
  </si>
  <si>
    <t>63.92 kg</t>
  </si>
  <si>
    <t>93.92 kg</t>
  </si>
  <si>
    <t>145.53 kg</t>
  </si>
  <si>
    <t>65.21 kg</t>
  </si>
  <si>
    <t>133.39 kg</t>
  </si>
  <si>
    <t>77.00 kg</t>
  </si>
  <si>
    <t>108.20 kg</t>
  </si>
  <si>
    <t>138.56 kg</t>
  </si>
  <si>
    <t>64.83 kg</t>
  </si>
  <si>
    <t>65.64 kg</t>
  </si>
  <si>
    <t>1992 55.69 kg</t>
  </si>
  <si>
    <t>121.58 kg</t>
  </si>
  <si>
    <t>44.61 kg</t>
  </si>
  <si>
    <t>354.78 kg</t>
  </si>
  <si>
    <t>261.09 kg</t>
  </si>
  <si>
    <t>54.80 kg</t>
  </si>
  <si>
    <t>89.44 kg</t>
  </si>
  <si>
    <t>67.79 kg</t>
  </si>
  <si>
    <t>102.49 kg</t>
  </si>
  <si>
    <t>102.60 kg</t>
  </si>
  <si>
    <t>53.72 kg</t>
  </si>
  <si>
    <t>81.06 kg</t>
  </si>
  <si>
    <t>88.22 kg</t>
  </si>
  <si>
    <t>7.13 kg</t>
  </si>
  <si>
    <t>1992 3.59 kg</t>
  </si>
  <si>
    <t>94.93 kg</t>
  </si>
  <si>
    <t>107.64 kg</t>
  </si>
  <si>
    <t>103.70 kg</t>
  </si>
  <si>
    <t>43.14 kg</t>
  </si>
  <si>
    <t>95.24 kg</t>
  </si>
  <si>
    <t>114.34 kg</t>
  </si>
  <si>
    <t>88.13 kg</t>
  </si>
  <si>
    <t>152.32 kg</t>
  </si>
  <si>
    <t>49.93 kg</t>
  </si>
  <si>
    <t>88.46 kg</t>
  </si>
  <si>
    <t>196.19 kg</t>
  </si>
  <si>
    <t>121.52 kg</t>
  </si>
  <si>
    <t>147.41 kg</t>
  </si>
  <si>
    <t>59.99 kg</t>
  </si>
  <si>
    <t>86.68 kg</t>
  </si>
  <si>
    <t>56.70 kg</t>
  </si>
  <si>
    <t>66.00 kg</t>
  </si>
  <si>
    <t>86.41 kg</t>
  </si>
  <si>
    <t>79.68 kg</t>
  </si>
  <si>
    <t>58.38 kg</t>
  </si>
  <si>
    <t>133.10 kg</t>
  </si>
  <si>
    <t>133.15 kg</t>
  </si>
  <si>
    <t>45.98 kg</t>
  </si>
  <si>
    <t>158.56 kg</t>
  </si>
  <si>
    <t>118.83 kg</t>
  </si>
  <si>
    <t>139.79 kg</t>
  </si>
  <si>
    <t>104.77 kg</t>
  </si>
  <si>
    <t>52.85 kg</t>
  </si>
  <si>
    <t>57.50 kg</t>
  </si>
  <si>
    <t>90.68 kg</t>
  </si>
  <si>
    <t>54.79 kg</t>
  </si>
  <si>
    <t>84.55 kg</t>
  </si>
  <si>
    <t>108.81 kg</t>
  </si>
  <si>
    <t>29.11 kg</t>
  </si>
  <si>
    <t>53.03 kg</t>
  </si>
  <si>
    <t>82.35 kg</t>
  </si>
  <si>
    <t>47.99 kg</t>
  </si>
  <si>
    <t>45.42 kg</t>
  </si>
  <si>
    <t>106.28 kg</t>
  </si>
  <si>
    <t>28.24 kg</t>
  </si>
  <si>
    <t>43.48 kg</t>
  </si>
  <si>
    <t>49.08 kg</t>
  </si>
  <si>
    <t>53.51 kg</t>
  </si>
  <si>
    <t>200.83 kg</t>
  </si>
  <si>
    <t>69.11 kg</t>
  </si>
  <si>
    <t>45.74 kg</t>
  </si>
  <si>
    <t>62.32 kg</t>
  </si>
  <si>
    <t>45.29 kg</t>
  </si>
  <si>
    <t>157.88 kg</t>
  </si>
  <si>
    <t>28.70 kg</t>
  </si>
  <si>
    <t>76.20 kg</t>
  </si>
  <si>
    <t>11.34 kg</t>
  </si>
  <si>
    <t>66.93 kg</t>
  </si>
  <si>
    <t>60.80 kg</t>
  </si>
  <si>
    <t>107.44 kg</t>
  </si>
  <si>
    <t>79.27 kg</t>
  </si>
  <si>
    <t>55.50 kg</t>
  </si>
  <si>
    <t>30.11 kg</t>
  </si>
  <si>
    <t>85.31 kg</t>
  </si>
  <si>
    <t>26.04 kg</t>
  </si>
  <si>
    <t>39.32 kg</t>
  </si>
  <si>
    <t>72.82 kg</t>
  </si>
  <si>
    <t>61.17 kg</t>
  </si>
  <si>
    <t>54.78 kg</t>
  </si>
  <si>
    <t>176.10 kg</t>
  </si>
  <si>
    <t>2010 64.10 kg</t>
  </si>
  <si>
    <t>122.49 kg</t>
  </si>
  <si>
    <t>99.01 kg</t>
  </si>
  <si>
    <t>39.08 kg</t>
  </si>
  <si>
    <t>28.46 kg</t>
  </si>
  <si>
    <t>56.94 kg</t>
  </si>
  <si>
    <t>57.41 kg</t>
  </si>
  <si>
    <t>98.32 kg</t>
  </si>
  <si>
    <t>96.96 kg</t>
  </si>
  <si>
    <t>107.63 kg</t>
  </si>
  <si>
    <t>122.67 kg</t>
  </si>
  <si>
    <t>140.87 kg</t>
  </si>
  <si>
    <t>88.71 kg</t>
  </si>
  <si>
    <t>229.22 kg</t>
  </si>
  <si>
    <t>89.46 kg</t>
  </si>
  <si>
    <t>73.04 kg</t>
  </si>
  <si>
    <t>118.21 kg</t>
  </si>
  <si>
    <t>105.70 kg</t>
  </si>
  <si>
    <t>60.17 kg</t>
  </si>
  <si>
    <t>134.15 kg</t>
  </si>
  <si>
    <t>125.25 kg</t>
  </si>
  <si>
    <t>76.17 kg</t>
  </si>
  <si>
    <t>71.65 kg</t>
  </si>
  <si>
    <t>312.48 kg</t>
  </si>
  <si>
    <t>73.71 kg</t>
  </si>
  <si>
    <t>87.87 kg</t>
  </si>
  <si>
    <t>183.42 kg</t>
  </si>
  <si>
    <t>201.25 kg</t>
  </si>
  <si>
    <t>222.30 kg</t>
  </si>
  <si>
    <t>91.52 kg</t>
  </si>
  <si>
    <t>21.65 kg</t>
  </si>
  <si>
    <t>109.85 kg</t>
  </si>
  <si>
    <t>2005 71.24 kg</t>
  </si>
  <si>
    <t>37.92 kg</t>
  </si>
  <si>
    <t>58.05 kg</t>
  </si>
  <si>
    <t>117.35 kg</t>
  </si>
  <si>
    <t>135.26 kg</t>
  </si>
  <si>
    <t>51.63 kg</t>
  </si>
  <si>
    <t>38.00 kg</t>
  </si>
  <si>
    <t>96.61 kg</t>
  </si>
  <si>
    <t>69.42 kg</t>
  </si>
  <si>
    <t>66.86 kg</t>
  </si>
  <si>
    <t>40.97 kg</t>
  </si>
  <si>
    <t>53.45 kg</t>
  </si>
  <si>
    <t>112.62 kg</t>
  </si>
  <si>
    <t>72.23 kg</t>
  </si>
  <si>
    <t>36.15 kg</t>
  </si>
  <si>
    <t>78.96 kg</t>
  </si>
  <si>
    <t>2011 58.30 kg</t>
  </si>
  <si>
    <t>116.46 kg</t>
  </si>
  <si>
    <t>125.00 kg</t>
  </si>
  <si>
    <t>103.61 kg</t>
  </si>
  <si>
    <t>115.57 kg</t>
  </si>
  <si>
    <t>33.21 kg</t>
  </si>
  <si>
    <t>77.38 kg</t>
  </si>
  <si>
    <t>103.12 kg</t>
  </si>
  <si>
    <t>16.92 kg</t>
  </si>
  <si>
    <t>9.55 kg</t>
  </si>
  <si>
    <t>111.85 kg</t>
  </si>
  <si>
    <t>90.59 kg</t>
  </si>
  <si>
    <t>127.17 kg</t>
  </si>
  <si>
    <t>56.10 kg</t>
  </si>
  <si>
    <t>1991 35.56 kg</t>
  </si>
  <si>
    <t>117.77 kg</t>
  </si>
  <si>
    <t>61.51 kg</t>
  </si>
  <si>
    <t>116.72 kg</t>
  </si>
  <si>
    <t>127.41 kg</t>
  </si>
  <si>
    <t>104.53 kg</t>
  </si>
  <si>
    <t>71.27 kg</t>
  </si>
  <si>
    <t>91.17 kg</t>
  </si>
  <si>
    <t>81.68 kg</t>
  </si>
  <si>
    <t>68.06 kg</t>
  </si>
  <si>
    <t>60.67 kg</t>
  </si>
  <si>
    <t>94.78 kg</t>
  </si>
  <si>
    <t>77.87 kg</t>
  </si>
  <si>
    <t>52.64 kg</t>
  </si>
  <si>
    <t>1991 57.34 kg</t>
  </si>
  <si>
    <t>10.23 kg</t>
  </si>
  <si>
    <t>15.32 kg</t>
  </si>
  <si>
    <t>All our related research and data</t>
  </si>
  <si>
    <t>Charts</t>
  </si>
  <si>
    <t>PULSES</t>
  </si>
  <si>
    <t>https://ourworldindata.org/grapher/average-per-capita-supply-of-pulses?tab=table</t>
  </si>
  <si>
    <t xml:space="preserve">2010 1.99 </t>
  </si>
  <si>
    <t xml:space="preserve">2005 8.12 </t>
  </si>
  <si>
    <t xml:space="preserve">2011 9.12 </t>
  </si>
  <si>
    <t xml:space="preserve">1991 1.72 </t>
  </si>
  <si>
    <t xml:space="preserve">1991 5.30 </t>
  </si>
  <si>
    <t>PULSES inc Soya</t>
  </si>
  <si>
    <t>PULSES TOTAL</t>
  </si>
  <si>
    <t>Peas</t>
  </si>
  <si>
    <t>Groundnuts</t>
  </si>
  <si>
    <t>Beans</t>
  </si>
  <si>
    <t>Soya</t>
  </si>
  <si>
    <t>soy % of total</t>
  </si>
  <si>
    <t>% of soy going to animal feed</t>
  </si>
  <si>
    <t>% remamaing going to feed</t>
  </si>
  <si>
    <t>https://ourworldindata.org/grapher/vegetable-consumption-per-capita?tab=table</t>
  </si>
  <si>
    <t>48.34 kg</t>
  </si>
  <si>
    <t>2013 67.57 kg</t>
  </si>
  <si>
    <t>296.86 kg</t>
  </si>
  <si>
    <t>186.08 kg</t>
  </si>
  <si>
    <t>2013 75.94 kg</t>
  </si>
  <si>
    <t>26.31 kg</t>
  </si>
  <si>
    <t>69.01 kg</t>
  </si>
  <si>
    <t>67.57 kg</t>
  </si>
  <si>
    <t>336.18 kg</t>
  </si>
  <si>
    <t>2013 176.83 kg</t>
  </si>
  <si>
    <t>2013 222.94 kg</t>
  </si>
  <si>
    <t>93.23 kg</t>
  </si>
  <si>
    <t>2013 107.15 kg</t>
  </si>
  <si>
    <t>95.21 kg</t>
  </si>
  <si>
    <t>159.61 kg</t>
  </si>
  <si>
    <t>87.83 kg</t>
  </si>
  <si>
    <t>35.09 kg</t>
  </si>
  <si>
    <t>66.79 kg</t>
  </si>
  <si>
    <t>170.84 kg</t>
  </si>
  <si>
    <t>138.49 kg</t>
  </si>
  <si>
    <t>1999 147.88 kg</t>
  </si>
  <si>
    <t>56.20 kg</t>
  </si>
  <si>
    <t>60.21 kg</t>
  </si>
  <si>
    <t>2013 172.65 kg</t>
  </si>
  <si>
    <t>35.89 kg</t>
  </si>
  <si>
    <t>230.86 kg</t>
  </si>
  <si>
    <t>43.40 kg</t>
  </si>
  <si>
    <t>50.96 kg</t>
  </si>
  <si>
    <t>2013 90.25 kg</t>
  </si>
  <si>
    <t>90.27 kg</t>
  </si>
  <si>
    <t>15.00 kg</t>
  </si>
  <si>
    <t>30.30 kg</t>
  </si>
  <si>
    <t>121.15 kg</t>
  </si>
  <si>
    <t>101.57 kg</t>
  </si>
  <si>
    <t>69.48 kg</t>
  </si>
  <si>
    <t>2013 74.29 kg</t>
  </si>
  <si>
    <t>18.47 kg</t>
  </si>
  <si>
    <t>2013 53.41 kg</t>
  </si>
  <si>
    <t>6.28 kg</t>
  </si>
  <si>
    <t>377.17 kg</t>
  </si>
  <si>
    <t>48.73 kg</t>
  </si>
  <si>
    <t>31.27 kg</t>
  </si>
  <si>
    <t>41.36 kg</t>
  </si>
  <si>
    <t>36.29 kg</t>
  </si>
  <si>
    <t>255.12 kg</t>
  </si>
  <si>
    <t>141.46 kg</t>
  </si>
  <si>
    <t>101.20 kg</t>
  </si>
  <si>
    <t>78.73 kg</t>
  </si>
  <si>
    <t>1992 60.42 kg</t>
  </si>
  <si>
    <t>100.89 kg</t>
  </si>
  <si>
    <t>84.26 kg</t>
  </si>
  <si>
    <t>91.71 kg</t>
  </si>
  <si>
    <t>43.21 kg</t>
  </si>
  <si>
    <t>2013 29.47 kg</t>
  </si>
  <si>
    <t>2013 320.32 kg</t>
  </si>
  <si>
    <t>2013 121.46 kg</t>
  </si>
  <si>
    <t>28.16 kg</t>
  </si>
  <si>
    <t>159.33 kg</t>
  </si>
  <si>
    <t>84.25 kg</t>
  </si>
  <si>
    <t>102.35 kg</t>
  </si>
  <si>
    <t>27.37 kg</t>
  </si>
  <si>
    <t>13.35 kg</t>
  </si>
  <si>
    <t>1992 9.33 kg</t>
  </si>
  <si>
    <t>2013 115.10 kg</t>
  </si>
  <si>
    <t>2013 97.50 kg</t>
  </si>
  <si>
    <t>2013 109.39 kg</t>
  </si>
  <si>
    <t>57.37 kg</t>
  </si>
  <si>
    <t>84.18 kg</t>
  </si>
  <si>
    <t>84.18  kg</t>
  </si>
  <si>
    <t>55.63 kg</t>
  </si>
  <si>
    <t>32.86 kg</t>
  </si>
  <si>
    <t>17.26 kg</t>
  </si>
  <si>
    <t>49.77 kg</t>
  </si>
  <si>
    <t>95.36 kg</t>
  </si>
  <si>
    <t>28.67 kg</t>
  </si>
  <si>
    <t>149.94 kg</t>
  </si>
  <si>
    <t>37.90 kg</t>
  </si>
  <si>
    <t>53.31 kg</t>
  </si>
  <si>
    <t>49.99 kg</t>
  </si>
  <si>
    <t>18.45 kg</t>
  </si>
  <si>
    <t>272.46 kg</t>
  </si>
  <si>
    <t>18.16 kg</t>
  </si>
  <si>
    <t>25.09 kg</t>
  </si>
  <si>
    <t>129.85 kg</t>
  </si>
  <si>
    <t>86.99 kg</t>
  </si>
  <si>
    <t>72.53 kg</t>
  </si>
  <si>
    <t>79.86 kg</t>
  </si>
  <si>
    <t>43.73 kg</t>
  </si>
  <si>
    <t>187.98 kg</t>
  </si>
  <si>
    <t>37.53 kg</t>
  </si>
  <si>
    <t>97.14 kg</t>
  </si>
  <si>
    <t>156.24 kg</t>
  </si>
  <si>
    <t>130.88 kg</t>
  </si>
  <si>
    <t>88.05 kg</t>
  </si>
  <si>
    <t>91.10 kg</t>
  </si>
  <si>
    <t>104.27 kg</t>
  </si>
  <si>
    <t>191.92 kg</t>
  </si>
  <si>
    <t>39.95 kg</t>
  </si>
  <si>
    <t>51.98 kg</t>
  </si>
  <si>
    <t>178.82 kg</t>
  </si>
  <si>
    <t>184.35 kg</t>
  </si>
  <si>
    <t>2013 71.79 kg</t>
  </si>
  <si>
    <t>206.89 kg</t>
  </si>
  <si>
    <t>116.44 kg</t>
  </si>
  <si>
    <t>2013 41.52 kg</t>
  </si>
  <si>
    <t>129.43 kg</t>
  </si>
  <si>
    <t>24.03 kg</t>
  </si>
  <si>
    <t>94.45 kg</t>
  </si>
  <si>
    <t>2013 69.09 kg</t>
  </si>
  <si>
    <t>96.03 kg</t>
  </si>
  <si>
    <t>134.57 kg</t>
  </si>
  <si>
    <t>15.93 kg</t>
  </si>
  <si>
    <t>54.23 kg</t>
  </si>
  <si>
    <t>66.45 kg</t>
  </si>
  <si>
    <t>79.33 kg</t>
  </si>
  <si>
    <t>90.32 kg</t>
  </si>
  <si>
    <t>200.88 kg</t>
  </si>
  <si>
    <t>36.35 kg</t>
  </si>
  <si>
    <t>72.69 kg</t>
  </si>
  <si>
    <t>2013 37.41 kg</t>
  </si>
  <si>
    <t>75.52 kg</t>
  </si>
  <si>
    <t>2013 56.70 kg</t>
  </si>
  <si>
    <t>2013 63.19 kg</t>
  </si>
  <si>
    <t>75.12 kg</t>
  </si>
  <si>
    <t>47.31 kg</t>
  </si>
  <si>
    <t>108.62 kg</t>
  </si>
  <si>
    <t>102.05 kg</t>
  </si>
  <si>
    <t>28.00 kg</t>
  </si>
  <si>
    <t>82.79 kg</t>
  </si>
  <si>
    <t>26.87 kg</t>
  </si>
  <si>
    <t>128.04 kg</t>
  </si>
  <si>
    <t>2013 55.87 kg</t>
  </si>
  <si>
    <t>61.60 kg</t>
  </si>
  <si>
    <t>2010 37.96 kg</t>
  </si>
  <si>
    <t>65.39 kg</t>
  </si>
  <si>
    <t>98.63 kg</t>
  </si>
  <si>
    <t>35.55 kg</t>
  </si>
  <si>
    <t>106.52 kg</t>
  </si>
  <si>
    <t>78.90 kg</t>
  </si>
  <si>
    <t>126.22 kg</t>
  </si>
  <si>
    <t>257.64 kg</t>
  </si>
  <si>
    <t>2013 160.87 kg</t>
  </si>
  <si>
    <t>2013 113.42 kg</t>
  </si>
  <si>
    <t>2013 96.46 kg</t>
  </si>
  <si>
    <t>73.16 kg</t>
  </si>
  <si>
    <t>2013 101.47 kg</t>
  </si>
  <si>
    <t>154.59 kg</t>
  </si>
  <si>
    <t>20.83 kg</t>
  </si>
  <si>
    <t>25.43 kg</t>
  </si>
  <si>
    <t>62.56 kg</t>
  </si>
  <si>
    <t>125.56 kg</t>
  </si>
  <si>
    <t>2013 40.12 kg</t>
  </si>
  <si>
    <t>152.78 kg</t>
  </si>
  <si>
    <t>196.22 kg</t>
  </si>
  <si>
    <t>113.04 kg</t>
  </si>
  <si>
    <t>39.46 kg</t>
  </si>
  <si>
    <t>44.40 kg</t>
  </si>
  <si>
    <t>45.80 kg</t>
  </si>
  <si>
    <t>67.60 kg</t>
  </si>
  <si>
    <t>19.43 kg</t>
  </si>
  <si>
    <t>10.53 kg</t>
  </si>
  <si>
    <t>62.31 kg</t>
  </si>
  <si>
    <t>69.37 kg</t>
  </si>
  <si>
    <t>110.17 kg</t>
  </si>
  <si>
    <t>2005 123.10 kg</t>
  </si>
  <si>
    <t>47.81 kg</t>
  </si>
  <si>
    <t>62.79 kg</t>
  </si>
  <si>
    <t>91.83 kg</t>
  </si>
  <si>
    <t>2013 69.61 kg</t>
  </si>
  <si>
    <t>14.81 kg</t>
  </si>
  <si>
    <t>41.88 kg</t>
  </si>
  <si>
    <t>2013 52.60 kg</t>
  </si>
  <si>
    <t>2013 68.17 kg</t>
  </si>
  <si>
    <t>197.13 kg</t>
  </si>
  <si>
    <t>2013 41.28 kg</t>
  </si>
  <si>
    <t>2013 82.86 kg</t>
  </si>
  <si>
    <t>2013 136.79 kg</t>
  </si>
  <si>
    <t>146.54 kg</t>
  </si>
  <si>
    <t>49.83 kg</t>
  </si>
  <si>
    <t>84.49 kg</t>
  </si>
  <si>
    <t>2011 63.07 kg</t>
  </si>
  <si>
    <t>62.47 kg</t>
  </si>
  <si>
    <t>85.67 kg</t>
  </si>
  <si>
    <t>117.75 kg</t>
  </si>
  <si>
    <t>208.83 kg</t>
  </si>
  <si>
    <t>46.11 kg</t>
  </si>
  <si>
    <t>39.89 kg</t>
  </si>
  <si>
    <t>24.87 kg</t>
  </si>
  <si>
    <t>19.26 kg</t>
  </si>
  <si>
    <t>36.09 kg</t>
  </si>
  <si>
    <t>272.58 kg</t>
  </si>
  <si>
    <t>254.11 kg</t>
  </si>
  <si>
    <t>143.09 kg</t>
  </si>
  <si>
    <t>1991 87.53 kg</t>
  </si>
  <si>
    <t>28.82 kg</t>
  </si>
  <si>
    <t>161.44 kg</t>
  </si>
  <si>
    <t>103.82 kg</t>
  </si>
  <si>
    <t>82.91 kg</t>
  </si>
  <si>
    <t>113.41 kg</t>
  </si>
  <si>
    <t>59.93 kg</t>
  </si>
  <si>
    <t>274.15 kg</t>
  </si>
  <si>
    <t>51.39 kg</t>
  </si>
  <si>
    <t>44.30 kg</t>
  </si>
  <si>
    <t>170.53 kg</t>
  </si>
  <si>
    <t>2013 54.32 kg</t>
  </si>
  <si>
    <t>2013 155.65 kg</t>
  </si>
  <si>
    <t>2013 140.48 kg</t>
  </si>
  <si>
    <t>1991 82.55 kg</t>
  </si>
  <si>
    <t>24.67 kg</t>
  </si>
  <si>
    <t>15.69 kg</t>
  </si>
  <si>
    <t>#ERROR!</t>
  </si>
  <si>
    <t>Region</t>
  </si>
  <si>
    <t>Types of food</t>
  </si>
  <si>
    <t>Type of food</t>
  </si>
  <si>
    <t>production</t>
  </si>
  <si>
    <t>by population</t>
  </si>
  <si>
    <t>country</t>
  </si>
  <si>
    <t>consump</t>
  </si>
  <si>
    <t>consumption</t>
  </si>
  <si>
    <t>2.65 kg</t>
  </si>
  <si>
    <t>12.18 kg</t>
  </si>
  <si>
    <t>9.39 kg</t>
  </si>
  <si>
    <t>5.73 kg</t>
  </si>
  <si>
    <t>14.54 kg</t>
  </si>
  <si>
    <t xml:space="preserve"> 8.22 kg</t>
  </si>
  <si>
    <t xml:space="preserve"> 9.19 kg</t>
  </si>
  <si>
    <t xml:space="preserve"> 7.35 kg</t>
  </si>
  <si>
    <t>2.51 kg</t>
  </si>
  <si>
    <t>14.37 kg</t>
  </si>
  <si>
    <t xml:space="preserve"> 0.74 kg</t>
  </si>
  <si>
    <t xml:space="preserve"> 12.01 kg</t>
  </si>
  <si>
    <t xml:space="preserve"> 2.79 kg</t>
  </si>
  <si>
    <t xml:space="preserve"> 6.49 kg</t>
  </si>
  <si>
    <t xml:space="preserve"> 5.99 kg</t>
  </si>
  <si>
    <t xml:space="preserve"> 9.26 kg</t>
  </si>
  <si>
    <t xml:space="preserve"> 5.27 kg</t>
  </si>
  <si>
    <t xml:space="preserve"> 7.07 kg</t>
  </si>
  <si>
    <t xml:space="preserve"> 6.13 kg</t>
  </si>
  <si>
    <t xml:space="preserve"> 8.42 kg</t>
  </si>
  <si>
    <t>11.50 kg</t>
  </si>
  <si>
    <t xml:space="preserve"> 14.42 kg</t>
  </si>
  <si>
    <t xml:space="preserve"> 5.09 kg</t>
  </si>
  <si>
    <t xml:space="preserve"> 4.42 kg</t>
  </si>
  <si>
    <t xml:space="preserve"> 2.71 kg</t>
  </si>
  <si>
    <t xml:space="preserve"> 0.64 kg</t>
  </si>
  <si>
    <t xml:space="preserve"> 2.78 kg</t>
  </si>
  <si>
    <t xml:space="preserve"> 4.87 kg</t>
  </si>
  <si>
    <t xml:space="preserve"> 2.31 kg</t>
  </si>
  <si>
    <t xml:space="preserve"> 1.64 kg</t>
  </si>
  <si>
    <t xml:space="preserve"> 2.45 kg</t>
  </si>
  <si>
    <t xml:space="preserve"> 12.04 kg</t>
  </si>
  <si>
    <t xml:space="preserve"> 12.74 kg</t>
  </si>
  <si>
    <t xml:space="preserve"> 12.99 kg</t>
  </si>
  <si>
    <t xml:space="preserve"> 1.19 kg</t>
  </si>
  <si>
    <t xml:space="preserve"> 14.17 kg</t>
  </si>
  <si>
    <t xml:space="preserve"> 18.22 kg</t>
  </si>
  <si>
    <t xml:space="preserve"> 1.03 kg</t>
  </si>
  <si>
    <t xml:space="preserve"> 15.48 kg</t>
  </si>
  <si>
    <t xml:space="preserve"> 15.96 kg</t>
  </si>
  <si>
    <t xml:space="preserve"> 5.64 kg</t>
  </si>
  <si>
    <t xml:space="preserve"> 16.16 kg</t>
  </si>
  <si>
    <t xml:space="preserve"> 14.92 kg</t>
  </si>
  <si>
    <t xml:space="preserve"> 227.86 kg</t>
  </si>
  <si>
    <t xml:space="preserve"> 134.46 kg</t>
  </si>
  <si>
    <t xml:space="preserve"> 16.69 kg</t>
  </si>
  <si>
    <t xml:space="preserve"> 162.36 kg</t>
  </si>
  <si>
    <t xml:space="preserve"> 162.03 kg</t>
  </si>
  <si>
    <t xml:space="preserve"> 172.38 kg</t>
  </si>
  <si>
    <t xml:space="preserve"> 154.64 kg</t>
  </si>
  <si>
    <t xml:space="preserve"> 170.42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</si>
</sst>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_(* #,##0.0_);_(* \(#,##0.0\);_(* &quot;-&quot;??_);_(@_)"/>
    <numFmt numFmtId="167" formatCode="_(* #,##0.0_);_(* \(#,##0.0\);_(* &quot;-&quot;??.0_);_(@_)"/>
    <numFmt numFmtId="168" formatCode="0.0%"/>
    <numFmt numFmtId="169" formatCode="#,##0.000"/>
  </numFmts>
  <fonts count="98">
    <font>
      <sz val="10"/>
      <color rgb="FF000000"/>
      <name val="Arial"/>
    </font>
    <font>
      <b/>
      <sz val="14"/>
      <color theme="1"/>
      <name val="Arial"/>
    </font>
    <font>
      <sz val="14"/>
      <color theme="1"/>
      <name val="Arial"/>
    </font>
    <font>
      <b/>
      <sz val="14"/>
      <color rgb="FF000000"/>
      <name val="Arial"/>
    </font>
    <font>
      <sz val="14"/>
      <color rgb="FFCCCCCC"/>
      <name val="Arial"/>
    </font>
    <font>
      <sz val="14"/>
      <color rgb="FFB7B7B7"/>
      <name val="Arial"/>
    </font>
    <font>
      <sz val="10"/>
      <color theme="1"/>
      <name val="Arial"/>
    </font>
    <font>
      <sz val="14"/>
      <color rgb="FF000000"/>
      <name val="Arial"/>
    </font>
    <font>
      <sz val="10"/>
      <color rgb="FFCCCCCC"/>
      <name val="Arial"/>
    </font>
    <font>
      <sz val="10"/>
      <color rgb="FFB7B7B7"/>
      <name val="Arial"/>
    </font>
    <font>
      <b/>
      <sz val="10"/>
      <color theme="1"/>
      <name val="Arial"/>
    </font>
    <font>
      <sz val="10"/>
      <name val="Arial"/>
    </font>
    <font>
      <b/>
      <sz val="14"/>
      <color rgb="FFCCCCCC"/>
      <name val="Arial"/>
    </font>
    <font>
      <b/>
      <sz val="14"/>
      <color rgb="FFB7B7B7"/>
      <name val="Arial"/>
    </font>
    <font>
      <b/>
      <sz val="10"/>
      <color theme="1"/>
      <name val="Arial"/>
    </font>
    <font>
      <b/>
      <sz val="10"/>
      <color rgb="FF000000"/>
      <name val="Arial"/>
    </font>
    <font>
      <sz val="10"/>
      <color rgb="FFCCCCCC"/>
      <name val="Arial"/>
    </font>
    <font>
      <b/>
      <sz val="10"/>
      <color rgb="FFB7B7B7"/>
      <name val="Arial"/>
    </font>
    <font>
      <b/>
      <sz val="10"/>
      <color rgb="FFCCCCCC"/>
      <name val="Arial"/>
    </font>
    <font>
      <sz val="10"/>
      <color rgb="FFB7B7B7"/>
      <name val="Arial"/>
    </font>
    <font>
      <sz val="10"/>
      <color theme="1"/>
      <name val="Arial"/>
    </font>
    <font>
      <sz val="10"/>
      <color rgb="FFD9D9D9"/>
      <name val="Arial"/>
    </font>
    <font>
      <b/>
      <sz val="10"/>
      <color rgb="FFFF0000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D9D9D9"/>
      <name val="Arial"/>
    </font>
    <font>
      <sz val="10"/>
      <color rgb="FFD9D9D9"/>
      <name val="Arial"/>
    </font>
    <font>
      <sz val="10"/>
      <color rgb="FFFF0000"/>
      <name val="Arial"/>
    </font>
    <font>
      <sz val="12"/>
      <color theme="1"/>
      <name val="Arial"/>
    </font>
    <font>
      <b/>
      <sz val="12"/>
      <color theme="1"/>
      <name val="Arial"/>
    </font>
    <font>
      <sz val="12"/>
      <color rgb="FFCCCCCC"/>
      <name val="Arial"/>
    </font>
    <font>
      <sz val="12"/>
      <color rgb="FFB7B7B7"/>
      <name val="Arial"/>
    </font>
    <font>
      <b/>
      <sz val="12"/>
      <color rgb="FFB7B7B7"/>
      <name val="Arial"/>
    </font>
    <font>
      <sz val="12"/>
      <color rgb="FFB7B7B7"/>
      <name val="Inconsolata"/>
    </font>
    <font>
      <b/>
      <sz val="12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rgb="FFB7B7B7"/>
      <name val="Arial"/>
    </font>
    <font>
      <b/>
      <sz val="10"/>
      <color rgb="FF333333"/>
      <name val="Arial"/>
    </font>
    <font>
      <b/>
      <sz val="10"/>
      <color rgb="FF333333"/>
      <name val="Docs-Lato"/>
    </font>
    <font>
      <b/>
      <sz val="10"/>
      <color rgb="FF000000"/>
      <name val="Docs-Lato"/>
    </font>
    <font>
      <b/>
      <sz val="10"/>
      <color rgb="FFB7B7B7"/>
      <name val="Consolas"/>
    </font>
    <font>
      <sz val="10"/>
      <color rgb="FF333333"/>
      <name val="Arial"/>
    </font>
    <font>
      <sz val="10"/>
      <color rgb="FF333333"/>
      <name val="Docs-Lato"/>
    </font>
    <font>
      <sz val="10"/>
      <color rgb="FFCCCCCC"/>
      <name val="Docs-Lato"/>
    </font>
    <font>
      <sz val="10"/>
      <color rgb="FF000000"/>
      <name val="&quot;docs-Helvetica Neue&quot;"/>
    </font>
    <font>
      <b/>
      <sz val="10"/>
      <color rgb="FF000000"/>
      <name val="Lato"/>
    </font>
    <font>
      <b/>
      <sz val="10"/>
      <color rgb="FF000000"/>
      <name val="Docs-Lato"/>
    </font>
    <font>
      <sz val="10"/>
      <color rgb="FF000000"/>
      <name val="Lato"/>
    </font>
    <font>
      <sz val="10"/>
      <color rgb="FFB7B7B7"/>
      <name val="Consolas"/>
    </font>
    <font>
      <b/>
      <sz val="10"/>
      <color rgb="FF000000"/>
      <name val="Lato"/>
    </font>
    <font>
      <sz val="10"/>
      <color rgb="FFB7B7B7"/>
      <name val="Lato"/>
    </font>
    <font>
      <sz val="10"/>
      <color rgb="FFCCCCCC"/>
      <name val="Lato"/>
    </font>
    <font>
      <sz val="10"/>
      <color rgb="FF000000"/>
      <name val="Docs-Lato"/>
    </font>
    <font>
      <sz val="10"/>
      <color rgb="FF666666"/>
      <name val="&quot;Lucida Console&quot;"/>
    </font>
    <font>
      <sz val="10"/>
      <color rgb="FF000000"/>
      <name val="Helvetica Neue"/>
    </font>
    <font>
      <sz val="10"/>
      <color rgb="FF000000"/>
      <name val="Lato"/>
    </font>
    <font>
      <sz val="10"/>
      <color rgb="FFCCCCCC"/>
      <name val="&quot;Helvetica Neue&quot;"/>
    </font>
    <font>
      <sz val="10"/>
      <color rgb="FF333333"/>
      <name val="Lato"/>
    </font>
    <font>
      <sz val="10"/>
      <color rgb="FF666666"/>
      <name val="Arial"/>
    </font>
    <font>
      <sz val="12"/>
      <color rgb="FF000000"/>
      <name val="Inconsolata"/>
    </font>
    <font>
      <u/>
      <sz val="10"/>
      <color rgb="FF0000FF"/>
      <name val="Arial"/>
    </font>
    <font>
      <u/>
      <sz val="10"/>
      <color rgb="FF1155CC"/>
      <name val="Arial"/>
    </font>
    <font>
      <sz val="12"/>
      <color rgb="FF000000"/>
      <name val="Arial"/>
    </font>
    <font>
      <sz val="9"/>
      <color rgb="FFB7B7B7"/>
      <name val="Arial"/>
    </font>
    <font>
      <sz val="8"/>
      <color rgb="FF000000"/>
      <name val="&quot;Helvetica Neue&quot;"/>
    </font>
    <font>
      <b/>
      <sz val="8"/>
      <color rgb="FF000000"/>
      <name val="&quot;Helvetica Neue&quot;"/>
    </font>
    <font>
      <b/>
      <sz val="10"/>
      <color rgb="FFCCCCCC"/>
      <name val="Arial"/>
    </font>
    <font>
      <u/>
      <sz val="10"/>
      <color rgb="FF0000FF"/>
      <name val="Arial"/>
    </font>
    <font>
      <sz val="8"/>
      <color rgb="FFCCCCCC"/>
      <name val="&quot;Helvetica Neue&quot;"/>
    </font>
    <font>
      <b/>
      <sz val="10"/>
      <color rgb="FF333333"/>
      <name val="Lato"/>
    </font>
    <font>
      <sz val="10"/>
      <color rgb="FF333333"/>
      <name val="Lato"/>
    </font>
    <font>
      <sz val="10"/>
      <color rgb="FF777777"/>
      <name val="Lato"/>
    </font>
    <font>
      <sz val="10"/>
      <color rgb="FF002147"/>
      <name val="Lato"/>
    </font>
    <font>
      <sz val="12"/>
      <color rgb="FF002147"/>
      <name val="&quot;Playfair Display&quot;"/>
    </font>
    <font>
      <u/>
      <sz val="10"/>
      <color rgb="FFDCA10D"/>
      <name val="Arial"/>
    </font>
    <font>
      <b/>
      <sz val="10"/>
      <color rgb="FFFF00FF"/>
      <name val="Arial"/>
    </font>
    <font>
      <sz val="8"/>
      <color rgb="FFFF00FF"/>
      <name val="&quot;Helvetica Neue&quot;"/>
    </font>
    <font>
      <sz val="10"/>
      <color rgb="FFFF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b/>
      <sz val="10"/>
      <color rgb="FFD9D9D9"/>
      <name val="Docs-Lato"/>
    </font>
    <font>
      <b/>
      <sz val="10"/>
      <color rgb="FFCCCCCC"/>
      <name val="Lato"/>
    </font>
    <font>
      <b/>
      <sz val="10"/>
      <color rgb="FFD9D9D9"/>
      <name val="Arial"/>
    </font>
    <font>
      <b/>
      <sz val="10"/>
      <color rgb="FFD9D9D9"/>
      <name val="Lato"/>
    </font>
    <font>
      <b/>
      <sz val="10"/>
      <color rgb="FFCCCCCC"/>
      <name val="Docs-Lato"/>
    </font>
    <font>
      <sz val="12"/>
      <color rgb="FF1D3D63"/>
      <name val="Lato"/>
    </font>
    <font>
      <b/>
      <sz val="10"/>
      <color rgb="FF92A5BB"/>
      <name val="Lato"/>
    </font>
    <font>
      <b/>
      <sz val="18"/>
      <color rgb="FF1D3D63"/>
      <name val="Lato"/>
    </font>
    <font>
      <b/>
      <sz val="14"/>
      <color rgb="FF1D3D63"/>
      <name val="Lato"/>
    </font>
    <font>
      <sz val="12"/>
      <color rgb="FF000000"/>
      <name val="&quot;Helvetica Neue&quot;"/>
    </font>
    <font>
      <b/>
      <sz val="12"/>
      <color rgb="FF000000"/>
      <name val="&quot;Helvetica Neue&quot;"/>
    </font>
    <font>
      <u/>
      <sz val="10"/>
      <color rgb="FF1155CC"/>
      <name val="Arial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666666"/>
        <bgColor rgb="FF666666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F7F7F7"/>
        <bgColor rgb="FFF7F7F7"/>
      </patternFill>
    </fill>
    <fill>
      <patternFill patternType="solid">
        <fgColor rgb="FFF1F1F1"/>
        <bgColor rgb="FFF1F1F1"/>
      </patternFill>
    </fill>
    <fill>
      <patternFill patternType="solid">
        <fgColor rgb="FFF5F5F5"/>
        <bgColor rgb="FFF5F5F5"/>
      </patternFill>
    </fill>
    <fill>
      <patternFill patternType="solid">
        <fgColor rgb="FFFAFBFD"/>
        <bgColor rgb="FFFAFBFD"/>
      </patternFill>
    </fill>
    <fill>
      <patternFill patternType="solid">
        <fgColor rgb="FFEBEEF2"/>
        <bgColor rgb="FFEBEEF2"/>
      </patternFill>
    </fill>
    <fill>
      <patternFill patternType="solid">
        <fgColor rgb="FFD8E0E9"/>
        <bgColor rgb="FFD8E0E9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68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2" fillId="2" borderId="0" xfId="0" applyFont="1" applyFill="1"/>
    <xf numFmtId="0" fontId="3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 wrapText="1"/>
    </xf>
    <xf numFmtId="0" fontId="4" fillId="2" borderId="0" xfId="0" applyFont="1" applyFill="1"/>
    <xf numFmtId="164" fontId="2" fillId="2" borderId="0" xfId="0" applyNumberFormat="1" applyFont="1" applyFill="1"/>
    <xf numFmtId="1" fontId="3" fillId="2" borderId="0" xfId="0" applyNumberFormat="1" applyFont="1" applyFill="1" applyAlignment="1"/>
    <xf numFmtId="0" fontId="5" fillId="2" borderId="0" xfId="0" applyFont="1" applyFill="1"/>
    <xf numFmtId="0" fontId="5" fillId="2" borderId="0" xfId="0" applyFont="1" applyFill="1"/>
    <xf numFmtId="0" fontId="2" fillId="2" borderId="0" xfId="0" applyFont="1" applyFill="1"/>
    <xf numFmtId="0" fontId="2" fillId="4" borderId="0" xfId="0" applyFont="1" applyFill="1"/>
    <xf numFmtId="0" fontId="1" fillId="2" borderId="0" xfId="0" applyFont="1" applyFill="1" applyAlignment="1">
      <alignment horizontal="left"/>
    </xf>
    <xf numFmtId="0" fontId="6" fillId="2" borderId="0" xfId="0" applyFont="1" applyFill="1"/>
    <xf numFmtId="0" fontId="7" fillId="2" borderId="0" xfId="0" applyFont="1" applyFill="1"/>
    <xf numFmtId="165" fontId="1" fillId="2" borderId="0" xfId="0" applyNumberFormat="1" applyFont="1" applyFill="1"/>
    <xf numFmtId="0" fontId="8" fillId="2" borderId="0" xfId="0" applyFont="1" applyFill="1"/>
    <xf numFmtId="0" fontId="2" fillId="5" borderId="0" xfId="0" applyFont="1" applyFill="1"/>
    <xf numFmtId="0" fontId="1" fillId="2" borderId="0" xfId="0" applyFont="1" applyFill="1" applyAlignment="1">
      <alignment horizontal="left" vertical="top"/>
    </xf>
    <xf numFmtId="0" fontId="7" fillId="2" borderId="0" xfId="0" applyFont="1" applyFill="1"/>
    <xf numFmtId="2" fontId="2" fillId="2" borderId="0" xfId="0" applyNumberFormat="1" applyFont="1" applyFill="1"/>
    <xf numFmtId="0" fontId="1" fillId="2" borderId="0" xfId="0" applyFont="1" applyFill="1" applyAlignment="1">
      <alignment horizontal="center"/>
    </xf>
    <xf numFmtId="0" fontId="9" fillId="2" borderId="0" xfId="0" applyFont="1" applyFill="1"/>
    <xf numFmtId="0" fontId="1" fillId="2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left"/>
    </xf>
    <xf numFmtId="0" fontId="1" fillId="2" borderId="0" xfId="0" applyFont="1" applyFill="1" applyAlignment="1">
      <alignment horizontal="left" vertical="top"/>
    </xf>
    <xf numFmtId="0" fontId="10" fillId="2" borderId="0" xfId="0" applyFont="1" applyFill="1"/>
    <xf numFmtId="0" fontId="2" fillId="4" borderId="0" xfId="0" applyFont="1" applyFill="1"/>
    <xf numFmtId="0" fontId="1" fillId="2" borderId="4" xfId="0" applyFont="1" applyFill="1" applyBorder="1" applyAlignment="1">
      <alignment horizontal="center"/>
    </xf>
    <xf numFmtId="0" fontId="12" fillId="2" borderId="4" xfId="0" applyFont="1" applyFill="1" applyBorder="1" applyAlignment="1">
      <alignment horizontal="center"/>
    </xf>
    <xf numFmtId="0" fontId="1" fillId="2" borderId="0" xfId="0" applyFont="1" applyFill="1"/>
    <xf numFmtId="0" fontId="13" fillId="2" borderId="0" xfId="0" applyFont="1" applyFill="1"/>
    <xf numFmtId="0" fontId="14" fillId="2" borderId="0" xfId="0" applyFont="1" applyFill="1" applyAlignment="1">
      <alignment vertical="top" wrapText="1"/>
    </xf>
    <xf numFmtId="0" fontId="14" fillId="2" borderId="0" xfId="0" applyFont="1" applyFill="1" applyAlignment="1">
      <alignment vertical="top" wrapText="1"/>
    </xf>
    <xf numFmtId="0" fontId="15" fillId="2" borderId="0" xfId="0" applyFont="1" applyFill="1" applyAlignment="1">
      <alignment horizontal="right" vertical="top" wrapText="1"/>
    </xf>
    <xf numFmtId="0" fontId="14" fillId="2" borderId="0" xfId="0" applyFont="1" applyFill="1" applyAlignment="1">
      <alignment horizontal="right" vertical="top" wrapText="1"/>
    </xf>
    <xf numFmtId="0" fontId="14" fillId="3" borderId="0" xfId="0" applyFont="1" applyFill="1" applyAlignment="1">
      <alignment vertical="top" wrapText="1"/>
    </xf>
    <xf numFmtId="0" fontId="14" fillId="2" borderId="0" xfId="0" applyFont="1" applyFill="1" applyAlignment="1">
      <alignment vertical="top"/>
    </xf>
    <xf numFmtId="0" fontId="16" fillId="2" borderId="0" xfId="0" applyFont="1" applyFill="1" applyAlignment="1">
      <alignment vertical="top" wrapText="1"/>
    </xf>
    <xf numFmtId="0" fontId="16" fillId="2" borderId="0" xfId="0" applyFont="1" applyFill="1" applyAlignment="1">
      <alignment vertical="top"/>
    </xf>
    <xf numFmtId="164" fontId="14" fillId="2" borderId="0" xfId="0" applyNumberFormat="1" applyFont="1" applyFill="1" applyAlignment="1">
      <alignment vertical="top" wrapText="1"/>
    </xf>
    <xf numFmtId="1" fontId="15" fillId="2" borderId="0" xfId="0" applyNumberFormat="1" applyFont="1" applyFill="1" applyAlignment="1">
      <alignment vertical="top" wrapText="1"/>
    </xf>
    <xf numFmtId="0" fontId="9" fillId="2" borderId="0" xfId="0" applyFont="1" applyFill="1" applyAlignment="1">
      <alignment vertical="top"/>
    </xf>
    <xf numFmtId="0" fontId="17" fillId="2" borderId="0" xfId="0" applyFont="1" applyFill="1" applyAlignment="1">
      <alignment horizontal="center" vertical="top" wrapText="1"/>
    </xf>
    <xf numFmtId="0" fontId="15" fillId="2" borderId="0" xfId="0" applyFont="1" applyFill="1" applyAlignment="1">
      <alignment horizontal="center" vertical="top" wrapText="1"/>
    </xf>
    <xf numFmtId="0" fontId="15" fillId="4" borderId="0" xfId="0" applyFont="1" applyFill="1" applyAlignment="1">
      <alignment horizontal="center" vertical="top" wrapText="1"/>
    </xf>
    <xf numFmtId="0" fontId="15" fillId="2" borderId="0" xfId="0" applyFont="1" applyFill="1" applyAlignment="1">
      <alignment vertical="top"/>
    </xf>
    <xf numFmtId="0" fontId="18" fillId="2" borderId="0" xfId="0" applyFont="1" applyFill="1" applyAlignment="1">
      <alignment vertical="top"/>
    </xf>
    <xf numFmtId="0" fontId="15" fillId="2" borderId="0" xfId="0" applyFont="1" applyFill="1" applyAlignment="1">
      <alignment vertical="top" wrapText="1"/>
    </xf>
    <xf numFmtId="0" fontId="18" fillId="2" borderId="0" xfId="0" applyFont="1" applyFill="1" applyAlignment="1">
      <alignment vertical="top" wrapText="1"/>
    </xf>
    <xf numFmtId="165" fontId="15" fillId="2" borderId="0" xfId="0" applyNumberFormat="1" applyFont="1" applyFill="1" applyAlignment="1">
      <alignment vertical="top" wrapText="1"/>
    </xf>
    <xf numFmtId="165" fontId="16" fillId="2" borderId="0" xfId="0" applyNumberFormat="1" applyFont="1" applyFill="1" applyAlignment="1">
      <alignment vertical="top" wrapText="1"/>
    </xf>
    <xf numFmtId="0" fontId="19" fillId="2" borderId="0" xfId="0" applyFont="1" applyFill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15" fillId="2" borderId="0" xfId="0" applyFont="1" applyFill="1" applyAlignment="1">
      <alignment vertical="top"/>
    </xf>
    <xf numFmtId="2" fontId="14" fillId="2" borderId="0" xfId="0" applyNumberFormat="1" applyFont="1" applyFill="1" applyAlignment="1">
      <alignment vertical="top" wrapText="1"/>
    </xf>
    <xf numFmtId="0" fontId="17" fillId="2" borderId="0" xfId="0" applyFont="1" applyFill="1" applyAlignment="1">
      <alignment horizontal="left" vertical="top" wrapText="1"/>
    </xf>
    <xf numFmtId="0" fontId="20" fillId="2" borderId="1" xfId="0" applyFont="1" applyFill="1" applyBorder="1" applyAlignment="1">
      <alignment vertical="top" wrapText="1"/>
    </xf>
    <xf numFmtId="0" fontId="14" fillId="4" borderId="0" xfId="0" applyFont="1" applyFill="1" applyAlignment="1">
      <alignment vertical="top" wrapText="1"/>
    </xf>
    <xf numFmtId="0" fontId="14" fillId="2" borderId="0" xfId="0" applyFont="1" applyFill="1"/>
    <xf numFmtId="0" fontId="18" fillId="2" borderId="0" xfId="0" applyFont="1" applyFill="1"/>
    <xf numFmtId="43" fontId="21" fillId="2" borderId="0" xfId="0" applyNumberFormat="1" applyFont="1" applyFill="1" applyAlignment="1"/>
    <xf numFmtId="43" fontId="16" fillId="2" borderId="0" xfId="0" applyNumberFormat="1" applyFont="1" applyFill="1" applyAlignment="1"/>
    <xf numFmtId="0" fontId="14" fillId="2" borderId="4" xfId="0" applyFont="1" applyFill="1" applyBorder="1" applyAlignment="1">
      <alignment vertical="top" wrapText="1"/>
    </xf>
    <xf numFmtId="0" fontId="17" fillId="2" borderId="0" xfId="0" applyFont="1" applyFill="1" applyAlignment="1">
      <alignment vertical="top" wrapText="1"/>
    </xf>
    <xf numFmtId="0" fontId="19" fillId="2" borderId="0" xfId="0" applyFont="1" applyFill="1" applyAlignment="1">
      <alignment vertical="top" wrapText="1"/>
    </xf>
    <xf numFmtId="0" fontId="17" fillId="2" borderId="0" xfId="0" applyFont="1" applyFill="1"/>
    <xf numFmtId="0" fontId="15" fillId="2" borderId="0" xfId="0" applyFont="1" applyFill="1" applyAlignment="1">
      <alignment horizontal="right"/>
    </xf>
    <xf numFmtId="0" fontId="20" fillId="2" borderId="0" xfId="0" applyFont="1" applyFill="1"/>
    <xf numFmtId="0" fontId="9" fillId="2" borderId="0" xfId="0" applyFont="1" applyFill="1" applyAlignment="1"/>
    <xf numFmtId="0" fontId="16" fillId="2" borderId="0" xfId="0" applyFont="1" applyFill="1" applyAlignment="1"/>
    <xf numFmtId="0" fontId="17" fillId="2" borderId="0" xfId="0" applyFont="1" applyFill="1" applyAlignment="1"/>
    <xf numFmtId="0" fontId="19" fillId="2" borderId="0" xfId="0" applyFont="1" applyFill="1" applyAlignment="1">
      <alignment wrapText="1"/>
    </xf>
    <xf numFmtId="0" fontId="17" fillId="2" borderId="0" xfId="0" applyFont="1" applyFill="1" applyAlignment="1">
      <alignment horizontal="center"/>
    </xf>
    <xf numFmtId="0" fontId="22" fillId="2" borderId="0" xfId="0" applyFont="1" applyFill="1" applyAlignment="1">
      <alignment horizontal="center"/>
    </xf>
    <xf numFmtId="0" fontId="22" fillId="4" borderId="0" xfId="0" applyFont="1" applyFill="1" applyAlignment="1">
      <alignment horizontal="center"/>
    </xf>
    <xf numFmtId="0" fontId="6" fillId="2" borderId="0" xfId="0" applyFont="1" applyFill="1" applyAlignment="1">
      <alignment wrapText="1"/>
    </xf>
    <xf numFmtId="0" fontId="8" fillId="2" borderId="0" xfId="0" applyFont="1" applyFill="1" applyAlignment="1"/>
    <xf numFmtId="0" fontId="18" fillId="2" borderId="0" xfId="0" applyFont="1" applyFill="1" applyAlignment="1"/>
    <xf numFmtId="165" fontId="14" fillId="2" borderId="0" xfId="0" applyNumberFormat="1" applyFont="1" applyFill="1" applyAlignment="1"/>
    <xf numFmtId="165" fontId="18" fillId="2" borderId="0" xfId="0" applyNumberFormat="1" applyFont="1" applyFill="1"/>
    <xf numFmtId="0" fontId="19" fillId="2" borderId="0" xfId="0" applyFont="1" applyFill="1" applyAlignment="1"/>
    <xf numFmtId="0" fontId="20" fillId="5" borderId="0" xfId="0" applyFont="1" applyFill="1"/>
    <xf numFmtId="0" fontId="23" fillId="2" borderId="0" xfId="0" applyFont="1" applyFill="1"/>
    <xf numFmtId="0" fontId="24" fillId="2" borderId="0" xfId="0" applyFont="1" applyFill="1" applyAlignment="1"/>
    <xf numFmtId="2" fontId="14" fillId="2" borderId="0" xfId="0" applyNumberFormat="1" applyFont="1" applyFill="1" applyAlignment="1"/>
    <xf numFmtId="0" fontId="20" fillId="2" borderId="0" xfId="0" applyFont="1" applyFill="1"/>
    <xf numFmtId="0" fontId="20" fillId="2" borderId="1" xfId="0" applyFont="1" applyFill="1" applyBorder="1"/>
    <xf numFmtId="0" fontId="14" fillId="4" borderId="0" xfId="0" applyFont="1" applyFill="1"/>
    <xf numFmtId="0" fontId="6" fillId="2" borderId="0" xfId="0" applyFont="1" applyFill="1" applyAlignment="1"/>
    <xf numFmtId="0" fontId="25" fillId="2" borderId="0" xfId="0" applyFont="1" applyFill="1" applyAlignment="1"/>
    <xf numFmtId="0" fontId="14" fillId="2" borderId="0" xfId="0" applyFont="1" applyFill="1" applyAlignment="1"/>
    <xf numFmtId="0" fontId="14" fillId="2" borderId="4" xfId="0" applyFont="1" applyFill="1" applyBorder="1"/>
    <xf numFmtId="0" fontId="19" fillId="2" borderId="0" xfId="0" applyFont="1" applyFill="1"/>
    <xf numFmtId="0" fontId="19" fillId="2" borderId="0" xfId="0" applyFont="1" applyFill="1"/>
    <xf numFmtId="0" fontId="0" fillId="2" borderId="0" xfId="0" applyFont="1" applyFill="1" applyAlignment="1">
      <alignment horizontal="right"/>
    </xf>
    <xf numFmtId="0" fontId="20" fillId="2" borderId="0" xfId="0" applyFont="1" applyFill="1" applyAlignment="1">
      <alignment vertical="top" wrapText="1"/>
    </xf>
    <xf numFmtId="1" fontId="20" fillId="2" borderId="0" xfId="0" applyNumberFormat="1" applyFont="1" applyFill="1"/>
    <xf numFmtId="0" fontId="16" fillId="2" borderId="0" xfId="0" applyFont="1" applyFill="1"/>
    <xf numFmtId="164" fontId="20" fillId="2" borderId="0" xfId="0" applyNumberFormat="1" applyFont="1" applyFill="1"/>
    <xf numFmtId="4" fontId="17" fillId="2" borderId="0" xfId="0" applyNumberFormat="1" applyFont="1" applyFill="1"/>
    <xf numFmtId="0" fontId="17" fillId="2" borderId="0" xfId="0" applyFont="1" applyFill="1"/>
    <xf numFmtId="10" fontId="17" fillId="2" borderId="0" xfId="0" applyNumberFormat="1" applyFont="1" applyFill="1"/>
    <xf numFmtId="3" fontId="0" fillId="2" borderId="0" xfId="0" applyNumberFormat="1" applyFont="1" applyFill="1"/>
    <xf numFmtId="3" fontId="0" fillId="4" borderId="0" xfId="0" applyNumberFormat="1" applyFont="1" applyFill="1"/>
    <xf numFmtId="43" fontId="0" fillId="2" borderId="0" xfId="0" applyNumberFormat="1" applyFont="1" applyFill="1"/>
    <xf numFmtId="43" fontId="16" fillId="2" borderId="0" xfId="0" applyNumberFormat="1" applyFont="1" applyFill="1"/>
    <xf numFmtId="166" fontId="18" fillId="2" borderId="0" xfId="0" applyNumberFormat="1" applyFont="1" applyFill="1"/>
    <xf numFmtId="165" fontId="14" fillId="2" borderId="0" xfId="0" applyNumberFormat="1" applyFont="1" applyFill="1"/>
    <xf numFmtId="165" fontId="16" fillId="2" borderId="0" xfId="0" applyNumberFormat="1" applyFont="1" applyFill="1"/>
    <xf numFmtId="43" fontId="19" fillId="2" borderId="0" xfId="0" applyNumberFormat="1" applyFont="1" applyFill="1"/>
    <xf numFmtId="43" fontId="20" fillId="2" borderId="0" xfId="0" applyNumberFormat="1" applyFont="1" applyFill="1"/>
    <xf numFmtId="43" fontId="20" fillId="5" borderId="0" xfId="0" applyNumberFormat="1" applyFont="1" applyFill="1"/>
    <xf numFmtId="0" fontId="0" fillId="2" borderId="0" xfId="0" applyFont="1" applyFill="1"/>
    <xf numFmtId="2" fontId="14" fillId="2" borderId="0" xfId="0" applyNumberFormat="1" applyFont="1" applyFill="1"/>
    <xf numFmtId="166" fontId="20" fillId="2" borderId="0" xfId="0" applyNumberFormat="1" applyFont="1" applyFill="1"/>
    <xf numFmtId="166" fontId="19" fillId="2" borderId="0" xfId="0" applyNumberFormat="1" applyFont="1" applyFill="1"/>
    <xf numFmtId="9" fontId="19" fillId="2" borderId="0" xfId="0" applyNumberFormat="1" applyFont="1" applyFill="1"/>
    <xf numFmtId="9" fontId="20" fillId="2" borderId="1" xfId="0" applyNumberFormat="1" applyFont="1" applyFill="1" applyBorder="1"/>
    <xf numFmtId="0" fontId="14" fillId="4" borderId="0" xfId="0" applyFont="1" applyFill="1" applyAlignment="1">
      <alignment vertical="center"/>
    </xf>
    <xf numFmtId="43" fontId="14" fillId="2" borderId="0" xfId="0" applyNumberFormat="1" applyFont="1" applyFill="1"/>
    <xf numFmtId="43" fontId="20" fillId="4" borderId="0" xfId="0" applyNumberFormat="1" applyFont="1" applyFill="1"/>
    <xf numFmtId="1" fontId="26" fillId="2" borderId="0" xfId="0" applyNumberFormat="1" applyFont="1" applyFill="1"/>
    <xf numFmtId="1" fontId="8" fillId="2" borderId="0" xfId="0" applyNumberFormat="1" applyFont="1" applyFill="1"/>
    <xf numFmtId="43" fontId="20" fillId="2" borderId="4" xfId="0" applyNumberFormat="1" applyFont="1" applyFill="1" applyBorder="1"/>
    <xf numFmtId="9" fontId="20" fillId="2" borderId="4" xfId="0" applyNumberFormat="1" applyFont="1" applyFill="1" applyBorder="1"/>
    <xf numFmtId="1" fontId="20" fillId="2" borderId="0" xfId="0" applyNumberFormat="1" applyFont="1" applyFill="1" applyAlignment="1">
      <alignment vertical="top" wrapText="1"/>
    </xf>
    <xf numFmtId="1" fontId="14" fillId="2" borderId="0" xfId="0" applyNumberFormat="1" applyFont="1" applyFill="1" applyAlignment="1">
      <alignment vertical="top" wrapText="1"/>
    </xf>
    <xf numFmtId="0" fontId="20" fillId="2" borderId="0" xfId="0" applyFont="1" applyFill="1" applyAlignment="1">
      <alignment vertical="top" wrapText="1"/>
    </xf>
    <xf numFmtId="10" fontId="20" fillId="2" borderId="0" xfId="0" applyNumberFormat="1" applyFont="1" applyFill="1" applyAlignment="1">
      <alignment horizontal="right"/>
    </xf>
    <xf numFmtId="2" fontId="16" fillId="2" borderId="0" xfId="0" applyNumberFormat="1" applyFont="1" applyFill="1"/>
    <xf numFmtId="164" fontId="14" fillId="2" borderId="0" xfId="0" applyNumberFormat="1" applyFont="1" applyFill="1"/>
    <xf numFmtId="1" fontId="15" fillId="2" borderId="0" xfId="0" applyNumberFormat="1" applyFont="1" applyFill="1"/>
    <xf numFmtId="4" fontId="17" fillId="2" borderId="0" xfId="0" applyNumberFormat="1" applyFont="1" applyFill="1" applyAlignment="1"/>
    <xf numFmtId="10" fontId="19" fillId="2" borderId="0" xfId="0" applyNumberFormat="1" applyFont="1" applyFill="1"/>
    <xf numFmtId="167" fontId="19" fillId="2" borderId="0" xfId="0" applyNumberFormat="1" applyFont="1" applyFill="1"/>
    <xf numFmtId="0" fontId="0" fillId="2" borderId="0" xfId="0" applyFont="1" applyFill="1" applyAlignment="1"/>
    <xf numFmtId="9" fontId="20" fillId="2" borderId="0" xfId="0" applyNumberFormat="1" applyFont="1" applyFill="1"/>
    <xf numFmtId="165" fontId="21" fillId="2" borderId="0" xfId="0" applyNumberFormat="1" applyFont="1" applyFill="1"/>
    <xf numFmtId="0" fontId="14" fillId="2" borderId="0" xfId="0" applyFont="1" applyFill="1"/>
    <xf numFmtId="9" fontId="20" fillId="2" borderId="0" xfId="0" applyNumberFormat="1" applyFont="1" applyFill="1" applyAlignment="1"/>
    <xf numFmtId="9" fontId="20" fillId="2" borderId="0" xfId="0" applyNumberFormat="1" applyFont="1" applyFill="1" applyAlignment="1">
      <alignment vertical="top" wrapText="1"/>
    </xf>
    <xf numFmtId="0" fontId="27" fillId="2" borderId="0" xfId="0" applyFont="1" applyFill="1"/>
    <xf numFmtId="0" fontId="27" fillId="4" borderId="0" xfId="0" applyFont="1" applyFill="1"/>
    <xf numFmtId="0" fontId="0" fillId="2" borderId="0" xfId="0" applyFont="1" applyFill="1"/>
    <xf numFmtId="2" fontId="20" fillId="2" borderId="0" xfId="0" applyNumberFormat="1" applyFont="1" applyFill="1"/>
    <xf numFmtId="0" fontId="20" fillId="4" borderId="0" xfId="0" applyFont="1" applyFill="1"/>
    <xf numFmtId="0" fontId="14" fillId="2" borderId="3" xfId="0" applyFont="1" applyFill="1" applyBorder="1"/>
    <xf numFmtId="10" fontId="20" fillId="2" borderId="0" xfId="0" applyNumberFormat="1" applyFont="1" applyFill="1" applyAlignment="1">
      <alignment horizontal="right"/>
    </xf>
    <xf numFmtId="0" fontId="20" fillId="2" borderId="4" xfId="0" applyFont="1" applyFill="1" applyBorder="1"/>
    <xf numFmtId="0" fontId="19" fillId="2" borderId="4" xfId="0" applyFont="1" applyFill="1" applyBorder="1"/>
    <xf numFmtId="0" fontId="20" fillId="2" borderId="0" xfId="0" applyFont="1" applyFill="1" applyAlignment="1"/>
    <xf numFmtId="0" fontId="20" fillId="5" borderId="0" xfId="0" applyFont="1" applyFill="1"/>
    <xf numFmtId="0" fontId="20" fillId="4" borderId="0" xfId="0" applyFont="1" applyFill="1"/>
    <xf numFmtId="167" fontId="21" fillId="2" borderId="0" xfId="0" applyNumberFormat="1" applyFont="1" applyFill="1"/>
    <xf numFmtId="167" fontId="16" fillId="2" borderId="0" xfId="0" applyNumberFormat="1" applyFont="1" applyFill="1"/>
    <xf numFmtId="0" fontId="0" fillId="2" borderId="0" xfId="0" applyFont="1" applyFill="1" applyAlignment="1">
      <alignment horizontal="right"/>
    </xf>
    <xf numFmtId="10" fontId="20" fillId="2" borderId="0" xfId="0" applyNumberFormat="1" applyFont="1" applyFill="1" applyAlignment="1"/>
    <xf numFmtId="10" fontId="20" fillId="2" borderId="0" xfId="0" applyNumberFormat="1" applyFont="1" applyFill="1" applyAlignment="1">
      <alignment vertical="top" wrapText="1"/>
    </xf>
    <xf numFmtId="0" fontId="16" fillId="2" borderId="0" xfId="0" applyFont="1" applyFill="1"/>
    <xf numFmtId="0" fontId="0" fillId="2" borderId="0" xfId="0" applyFont="1" applyFill="1" applyAlignment="1">
      <alignment horizontal="right"/>
    </xf>
    <xf numFmtId="0" fontId="28" fillId="2" borderId="0" xfId="0" applyFont="1" applyFill="1" applyAlignment="1"/>
    <xf numFmtId="0" fontId="28" fillId="2" borderId="0" xfId="0" applyFont="1" applyFill="1"/>
    <xf numFmtId="0" fontId="10" fillId="2" borderId="0" xfId="0" applyFont="1" applyFill="1" applyAlignment="1"/>
    <xf numFmtId="0" fontId="19" fillId="2" borderId="0" xfId="0" applyFont="1" applyFill="1" applyAlignment="1">
      <alignment horizontal="center"/>
    </xf>
    <xf numFmtId="1" fontId="19" fillId="2" borderId="0" xfId="0" applyNumberFormat="1" applyFont="1" applyFill="1" applyAlignment="1">
      <alignment horizontal="center"/>
    </xf>
    <xf numFmtId="1" fontId="19" fillId="2" borderId="0" xfId="0" applyNumberFormat="1" applyFont="1" applyFill="1"/>
    <xf numFmtId="165" fontId="17" fillId="2" borderId="0" xfId="0" applyNumberFormat="1" applyFont="1" applyFill="1"/>
    <xf numFmtId="0" fontId="14" fillId="2" borderId="0" xfId="0" applyFont="1" applyFill="1" applyAlignment="1">
      <alignment vertical="top" wrapText="1"/>
    </xf>
    <xf numFmtId="0" fontId="14" fillId="3" borderId="0" xfId="0" applyFont="1" applyFill="1" applyAlignment="1">
      <alignment vertical="top" wrapText="1"/>
    </xf>
    <xf numFmtId="0" fontId="18" fillId="2" borderId="0" xfId="0" applyFont="1" applyFill="1"/>
    <xf numFmtId="0" fontId="14" fillId="2" borderId="0" xfId="0" applyFont="1" applyFill="1" applyAlignment="1">
      <alignment vertical="top"/>
    </xf>
    <xf numFmtId="0" fontId="14" fillId="4" borderId="0" xfId="0" applyFont="1" applyFill="1"/>
    <xf numFmtId="1" fontId="0" fillId="2" borderId="0" xfId="0" applyNumberFormat="1" applyFont="1" applyFill="1"/>
    <xf numFmtId="0" fontId="2" fillId="0" borderId="0" xfId="0" applyFont="1"/>
    <xf numFmtId="0" fontId="5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2" fillId="3" borderId="0" xfId="0" applyFont="1" applyFill="1"/>
    <xf numFmtId="0" fontId="9" fillId="0" borderId="0" xfId="0" applyFont="1"/>
    <xf numFmtId="0" fontId="1" fillId="3" borderId="2" xfId="0" applyFont="1" applyFill="1" applyBorder="1" applyAlignment="1">
      <alignment horizontal="left"/>
    </xf>
    <xf numFmtId="0" fontId="1" fillId="0" borderId="0" xfId="0" applyFont="1" applyAlignment="1">
      <alignment horizontal="left" vertical="top"/>
    </xf>
    <xf numFmtId="0" fontId="10" fillId="0" borderId="0" xfId="0" applyFont="1"/>
    <xf numFmtId="0" fontId="2" fillId="6" borderId="0" xfId="0" applyFont="1" applyFill="1"/>
    <xf numFmtId="0" fontId="1" fillId="7" borderId="0" xfId="0" applyFont="1" applyFill="1"/>
    <xf numFmtId="0" fontId="13" fillId="0" borderId="0" xfId="0" applyFont="1"/>
    <xf numFmtId="0" fontId="14" fillId="0" borderId="0" xfId="0" applyFont="1" applyAlignment="1">
      <alignment vertical="top" wrapText="1"/>
    </xf>
    <xf numFmtId="0" fontId="15" fillId="0" borderId="0" xfId="0" applyFont="1" applyAlignment="1">
      <alignment horizontal="right" vertical="top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right" vertical="top" wrapText="1"/>
    </xf>
    <xf numFmtId="0" fontId="14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19" fillId="0" borderId="0" xfId="0" applyFont="1" applyAlignment="1">
      <alignment vertical="top" wrapText="1"/>
    </xf>
    <xf numFmtId="0" fontId="20" fillId="0" borderId="0" xfId="0" applyFont="1" applyAlignment="1">
      <alignment vertical="top" wrapText="1"/>
    </xf>
    <xf numFmtId="0" fontId="20" fillId="3" borderId="0" xfId="0" applyFont="1" applyFill="1" applyAlignment="1">
      <alignment vertical="top" wrapText="1"/>
    </xf>
    <xf numFmtId="0" fontId="15" fillId="0" borderId="0" xfId="0" applyFont="1" applyAlignment="1">
      <alignment vertical="top"/>
    </xf>
    <xf numFmtId="0" fontId="14" fillId="0" borderId="0" xfId="0" applyFont="1"/>
    <xf numFmtId="0" fontId="18" fillId="0" borderId="0" xfId="0" applyFont="1"/>
    <xf numFmtId="0" fontId="14" fillId="6" borderId="0" xfId="0" applyFont="1" applyFill="1" applyAlignment="1">
      <alignment vertical="top" wrapText="1"/>
    </xf>
    <xf numFmtId="43" fontId="21" fillId="0" borderId="0" xfId="0" applyNumberFormat="1" applyFont="1" applyAlignment="1"/>
    <xf numFmtId="43" fontId="16" fillId="0" borderId="0" xfId="0" applyNumberFormat="1" applyFont="1" applyAlignment="1"/>
    <xf numFmtId="0" fontId="14" fillId="8" borderId="4" xfId="0" applyFont="1" applyFill="1" applyBorder="1" applyAlignment="1">
      <alignment vertical="top" wrapText="1"/>
    </xf>
    <xf numFmtId="0" fontId="14" fillId="7" borderId="0" xfId="0" applyFont="1" applyFill="1" applyAlignment="1">
      <alignment vertical="top" wrapText="1"/>
    </xf>
    <xf numFmtId="0" fontId="17" fillId="0" borderId="0" xfId="0" applyFont="1" applyAlignment="1">
      <alignment vertical="top" wrapText="1"/>
    </xf>
    <xf numFmtId="0" fontId="19" fillId="0" borderId="0" xfId="0" applyFont="1" applyAlignment="1">
      <alignment vertical="top" wrapText="1"/>
    </xf>
    <xf numFmtId="0" fontId="15" fillId="0" borderId="0" xfId="0" applyFont="1" applyAlignment="1">
      <alignment horizontal="right"/>
    </xf>
    <xf numFmtId="0" fontId="20" fillId="0" borderId="0" xfId="0" applyFont="1"/>
    <xf numFmtId="0" fontId="9" fillId="0" borderId="0" xfId="0" applyFont="1" applyAlignment="1"/>
    <xf numFmtId="0" fontId="16" fillId="0" borderId="0" xfId="0" applyFont="1" applyAlignment="1"/>
    <xf numFmtId="0" fontId="6" fillId="0" borderId="0" xfId="0" applyFont="1" applyAlignment="1">
      <alignment wrapText="1"/>
    </xf>
    <xf numFmtId="0" fontId="8" fillId="0" borderId="0" xfId="0" applyFont="1" applyAlignment="1"/>
    <xf numFmtId="0" fontId="19" fillId="0" borderId="0" xfId="0" applyFont="1" applyAlignment="1"/>
    <xf numFmtId="0" fontId="20" fillId="3" borderId="0" xfId="0" applyFont="1" applyFill="1"/>
    <xf numFmtId="0" fontId="23" fillId="0" borderId="0" xfId="0" applyFont="1"/>
    <xf numFmtId="0" fontId="24" fillId="0" borderId="0" xfId="0" applyFont="1" applyAlignment="1"/>
    <xf numFmtId="0" fontId="14" fillId="3" borderId="0" xfId="0" applyFont="1" applyFill="1"/>
    <xf numFmtId="0" fontId="14" fillId="6" borderId="0" xfId="0" applyFont="1" applyFill="1"/>
    <xf numFmtId="0" fontId="6" fillId="0" borderId="0" xfId="0" applyFont="1" applyAlignment="1"/>
    <xf numFmtId="0" fontId="25" fillId="0" borderId="0" xfId="0" applyFont="1" applyAlignment="1"/>
    <xf numFmtId="0" fontId="14" fillId="0" borderId="0" xfId="0" applyFont="1" applyAlignment="1"/>
    <xf numFmtId="0" fontId="18" fillId="0" borderId="0" xfId="0" applyFont="1" applyAlignment="1"/>
    <xf numFmtId="0" fontId="14" fillId="8" borderId="4" xfId="0" applyFont="1" applyFill="1" applyBorder="1"/>
    <xf numFmtId="0" fontId="14" fillId="7" borderId="0" xfId="0" applyFont="1" applyFill="1"/>
    <xf numFmtId="0" fontId="17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Font="1" applyAlignment="1">
      <alignment horizontal="right"/>
    </xf>
    <xf numFmtId="0" fontId="20" fillId="0" borderId="0" xfId="0" applyFont="1" applyAlignment="1">
      <alignment vertical="top" wrapText="1"/>
    </xf>
    <xf numFmtId="1" fontId="20" fillId="0" borderId="0" xfId="0" applyNumberFormat="1" applyFont="1"/>
    <xf numFmtId="164" fontId="20" fillId="0" borderId="0" xfId="0" applyNumberFormat="1" applyFont="1"/>
    <xf numFmtId="43" fontId="0" fillId="0" borderId="0" xfId="0" applyNumberFormat="1" applyFont="1"/>
    <xf numFmtId="43" fontId="16" fillId="0" borderId="0" xfId="0" applyNumberFormat="1" applyFont="1"/>
    <xf numFmtId="43" fontId="19" fillId="0" borderId="0" xfId="0" applyNumberFormat="1" applyFont="1"/>
    <xf numFmtId="43" fontId="20" fillId="0" borderId="0" xfId="0" applyNumberFormat="1" applyFont="1"/>
    <xf numFmtId="43" fontId="20" fillId="3" borderId="0" xfId="0" applyNumberFormat="1" applyFont="1" applyFill="1"/>
    <xf numFmtId="0" fontId="0" fillId="0" borderId="0" xfId="0" applyFont="1"/>
    <xf numFmtId="0" fontId="14" fillId="3" borderId="0" xfId="0" applyFont="1" applyFill="1" applyAlignment="1">
      <alignment vertical="center"/>
    </xf>
    <xf numFmtId="165" fontId="16" fillId="0" borderId="0" xfId="0" applyNumberFormat="1" applyFont="1"/>
    <xf numFmtId="43" fontId="14" fillId="0" borderId="0" xfId="0" applyNumberFormat="1" applyFont="1"/>
    <xf numFmtId="43" fontId="20" fillId="6" borderId="0" xfId="0" applyNumberFormat="1" applyFont="1" applyFill="1"/>
    <xf numFmtId="1" fontId="26" fillId="0" borderId="0" xfId="0" applyNumberFormat="1" applyFont="1"/>
    <xf numFmtId="1" fontId="8" fillId="0" borderId="0" xfId="0" applyNumberFormat="1" applyFont="1"/>
    <xf numFmtId="43" fontId="20" fillId="8" borderId="4" xfId="0" applyNumberFormat="1" applyFont="1" applyFill="1" applyBorder="1"/>
    <xf numFmtId="9" fontId="20" fillId="8" borderId="4" xfId="0" applyNumberFormat="1" applyFont="1" applyFill="1" applyBorder="1"/>
    <xf numFmtId="0" fontId="20" fillId="7" borderId="0" xfId="0" applyFont="1" applyFill="1"/>
    <xf numFmtId="0" fontId="19" fillId="0" borderId="0" xfId="0" applyFont="1"/>
    <xf numFmtId="1" fontId="20" fillId="0" borderId="0" xfId="0" applyNumberFormat="1" applyFont="1" applyAlignment="1">
      <alignment vertical="top" wrapText="1"/>
    </xf>
    <xf numFmtId="1" fontId="14" fillId="0" borderId="0" xfId="0" applyNumberFormat="1" applyFont="1" applyAlignment="1">
      <alignment vertical="top" wrapText="1"/>
    </xf>
    <xf numFmtId="10" fontId="20" fillId="0" borderId="0" xfId="0" applyNumberFormat="1" applyFont="1" applyAlignment="1">
      <alignment horizontal="right"/>
    </xf>
    <xf numFmtId="167" fontId="19" fillId="0" borderId="0" xfId="0" applyNumberFormat="1" applyFont="1"/>
    <xf numFmtId="0" fontId="0" fillId="0" borderId="0" xfId="0" applyFont="1" applyAlignment="1"/>
    <xf numFmtId="165" fontId="21" fillId="0" borderId="0" xfId="0" applyNumberFormat="1" applyFont="1"/>
    <xf numFmtId="0" fontId="14" fillId="0" borderId="0" xfId="0" applyFont="1"/>
    <xf numFmtId="9" fontId="20" fillId="0" borderId="0" xfId="0" applyNumberFormat="1" applyFont="1" applyAlignment="1"/>
    <xf numFmtId="9" fontId="20" fillId="0" borderId="0" xfId="0" applyNumberFormat="1" applyFont="1" applyAlignment="1">
      <alignment vertical="top" wrapText="1"/>
    </xf>
    <xf numFmtId="0" fontId="0" fillId="0" borderId="0" xfId="0" applyFont="1"/>
    <xf numFmtId="0" fontId="20" fillId="6" borderId="0" xfId="0" applyFont="1" applyFill="1"/>
    <xf numFmtId="0" fontId="20" fillId="7" borderId="0" xfId="0" applyFont="1" applyFill="1"/>
    <xf numFmtId="0" fontId="14" fillId="9" borderId="3" xfId="0" applyFont="1" applyFill="1" applyBorder="1"/>
    <xf numFmtId="0" fontId="20" fillId="9" borderId="0" xfId="0" applyFont="1" applyFill="1"/>
    <xf numFmtId="10" fontId="20" fillId="0" borderId="0" xfId="0" applyNumberFormat="1" applyFont="1" applyAlignment="1">
      <alignment horizontal="right"/>
    </xf>
    <xf numFmtId="0" fontId="0" fillId="9" borderId="0" xfId="0" applyFont="1" applyFill="1"/>
    <xf numFmtId="0" fontId="20" fillId="9" borderId="4" xfId="0" applyFont="1" applyFill="1" applyBorder="1"/>
    <xf numFmtId="0" fontId="19" fillId="9" borderId="4" xfId="0" applyFont="1" applyFill="1" applyBorder="1"/>
    <xf numFmtId="0" fontId="20" fillId="0" borderId="0" xfId="0" applyFont="1" applyAlignment="1"/>
    <xf numFmtId="0" fontId="20" fillId="3" borderId="0" xfId="0" applyFont="1" applyFill="1"/>
    <xf numFmtId="0" fontId="20" fillId="6" borderId="0" xfId="0" applyFont="1" applyFill="1"/>
    <xf numFmtId="167" fontId="21" fillId="0" borderId="0" xfId="0" applyNumberFormat="1" applyFont="1"/>
    <xf numFmtId="167" fontId="16" fillId="0" borderId="0" xfId="0" applyNumberFormat="1" applyFont="1"/>
    <xf numFmtId="0" fontId="14" fillId="10" borderId="3" xfId="0" applyFont="1" applyFill="1" applyBorder="1"/>
    <xf numFmtId="0" fontId="20" fillId="10" borderId="0" xfId="0" applyFont="1" applyFill="1"/>
    <xf numFmtId="0" fontId="0" fillId="10" borderId="0" xfId="0" applyFont="1" applyFill="1"/>
    <xf numFmtId="0" fontId="20" fillId="10" borderId="4" xfId="0" applyFont="1" applyFill="1" applyBorder="1"/>
    <xf numFmtId="0" fontId="19" fillId="10" borderId="4" xfId="0" applyFont="1" applyFill="1" applyBorder="1"/>
    <xf numFmtId="0" fontId="0" fillId="0" borderId="0" xfId="0" applyFont="1" applyAlignment="1">
      <alignment horizontal="right"/>
    </xf>
    <xf numFmtId="10" fontId="20" fillId="0" borderId="0" xfId="0" applyNumberFormat="1" applyFont="1" applyAlignment="1"/>
    <xf numFmtId="10" fontId="20" fillId="0" borderId="0" xfId="0" applyNumberFormat="1" applyFont="1" applyAlignment="1">
      <alignment vertical="top" wrapText="1"/>
    </xf>
    <xf numFmtId="0" fontId="20" fillId="11" borderId="0" xfId="0" applyFont="1" applyFill="1"/>
    <xf numFmtId="0" fontId="20" fillId="11" borderId="0" xfId="0" applyFont="1" applyFill="1" applyAlignment="1"/>
    <xf numFmtId="0" fontId="0" fillId="4" borderId="0" xfId="0" applyFont="1" applyFill="1" applyAlignment="1">
      <alignment horizontal="right"/>
    </xf>
    <xf numFmtId="0" fontId="28" fillId="0" borderId="0" xfId="0" applyFont="1" applyAlignment="1"/>
    <xf numFmtId="0" fontId="28" fillId="0" borderId="0" xfId="0" applyFont="1"/>
    <xf numFmtId="0" fontId="10" fillId="0" borderId="0" xfId="0" applyFont="1" applyAlignment="1"/>
    <xf numFmtId="0" fontId="19" fillId="0" borderId="0" xfId="0" applyFont="1" applyAlignment="1">
      <alignment horizontal="center"/>
    </xf>
    <xf numFmtId="1" fontId="19" fillId="0" borderId="0" xfId="0" applyNumberFormat="1" applyFont="1" applyAlignment="1">
      <alignment horizontal="center"/>
    </xf>
    <xf numFmtId="164" fontId="6" fillId="0" borderId="0" xfId="0" applyNumberFormat="1" applyFont="1"/>
    <xf numFmtId="164" fontId="14" fillId="2" borderId="0" xfId="0" applyNumberFormat="1" applyFont="1" applyFill="1" applyAlignment="1">
      <alignment vertical="top" wrapText="1"/>
    </xf>
    <xf numFmtId="1" fontId="19" fillId="0" borderId="0" xfId="0" applyNumberFormat="1" applyFont="1"/>
    <xf numFmtId="165" fontId="17" fillId="0" borderId="0" xfId="0" applyNumberFormat="1" applyFont="1"/>
    <xf numFmtId="0" fontId="16" fillId="0" borderId="0" xfId="0" applyFont="1"/>
    <xf numFmtId="0" fontId="6" fillId="0" borderId="0" xfId="0" applyFont="1"/>
    <xf numFmtId="0" fontId="14" fillId="0" borderId="0" xfId="0" applyFont="1" applyAlignment="1">
      <alignment vertical="top" wrapText="1"/>
    </xf>
    <xf numFmtId="0" fontId="14" fillId="0" borderId="0" xfId="0" applyFont="1" applyAlignment="1">
      <alignment vertical="top"/>
    </xf>
    <xf numFmtId="0" fontId="14" fillId="3" borderId="0" xfId="0" applyFont="1" applyFill="1"/>
    <xf numFmtId="0" fontId="14" fillId="4" borderId="0" xfId="0" applyFont="1" applyFill="1" applyAlignment="1">
      <alignment vertical="top" wrapText="1"/>
    </xf>
    <xf numFmtId="0" fontId="16" fillId="4" borderId="0" xfId="0" applyFont="1" applyFill="1"/>
    <xf numFmtId="164" fontId="20" fillId="4" borderId="0" xfId="0" applyNumberFormat="1" applyFont="1" applyFill="1"/>
    <xf numFmtId="1" fontId="0" fillId="4" borderId="0" xfId="0" applyNumberFormat="1" applyFont="1" applyFill="1"/>
    <xf numFmtId="0" fontId="19" fillId="4" borderId="0" xfId="0" applyFont="1" applyFill="1"/>
    <xf numFmtId="0" fontId="19" fillId="4" borderId="0" xfId="0" applyFont="1" applyFill="1"/>
    <xf numFmtId="0" fontId="0" fillId="4" borderId="0" xfId="0" applyFont="1" applyFill="1"/>
    <xf numFmtId="0" fontId="18" fillId="4" borderId="0" xfId="0" applyFont="1" applyFill="1"/>
    <xf numFmtId="165" fontId="14" fillId="4" borderId="0" xfId="0" applyNumberFormat="1" applyFont="1" applyFill="1"/>
    <xf numFmtId="165" fontId="16" fillId="4" borderId="0" xfId="0" applyNumberFormat="1" applyFont="1" applyFill="1"/>
    <xf numFmtId="0" fontId="14" fillId="4" borderId="0" xfId="0" applyFont="1" applyFill="1" applyAlignment="1">
      <alignment vertical="top"/>
    </xf>
    <xf numFmtId="2" fontId="20" fillId="4" borderId="0" xfId="0" applyNumberFormat="1" applyFont="1" applyFill="1"/>
    <xf numFmtId="1" fontId="29" fillId="0" borderId="0" xfId="0" applyNumberFormat="1" applyFont="1" applyAlignment="1"/>
    <xf numFmtId="0" fontId="29" fillId="0" borderId="0" xfId="0" applyFont="1" applyAlignment="1">
      <alignment wrapText="1"/>
    </xf>
    <xf numFmtId="0" fontId="29" fillId="4" borderId="0" xfId="0" applyFont="1" applyFill="1" applyAlignment="1">
      <alignment wrapText="1"/>
    </xf>
    <xf numFmtId="0" fontId="29" fillId="0" borderId="0" xfId="0" applyFont="1" applyAlignment="1"/>
    <xf numFmtId="0" fontId="29" fillId="0" borderId="0" xfId="0" applyFont="1" applyAlignment="1"/>
    <xf numFmtId="0" fontId="28" fillId="4" borderId="0" xfId="0" applyFont="1" applyFill="1"/>
    <xf numFmtId="168" fontId="28" fillId="0" borderId="0" xfId="0" applyNumberFormat="1" applyFont="1" applyAlignment="1"/>
    <xf numFmtId="10" fontId="28" fillId="0" borderId="0" xfId="0" applyNumberFormat="1" applyFont="1"/>
    <xf numFmtId="10" fontId="30" fillId="0" borderId="0" xfId="0" applyNumberFormat="1" applyFont="1"/>
    <xf numFmtId="2" fontId="30" fillId="0" borderId="0" xfId="0" applyNumberFormat="1" applyFont="1"/>
    <xf numFmtId="0" fontId="30" fillId="0" borderId="0" xfId="0" applyFont="1"/>
    <xf numFmtId="0" fontId="30" fillId="4" borderId="0" xfId="0" applyFont="1" applyFill="1"/>
    <xf numFmtId="1" fontId="6" fillId="0" borderId="0" xfId="0" applyNumberFormat="1" applyFont="1"/>
    <xf numFmtId="0" fontId="31" fillId="0" borderId="0" xfId="0" applyFont="1"/>
    <xf numFmtId="1" fontId="32" fillId="0" borderId="0" xfId="0" applyNumberFormat="1" applyFont="1" applyAlignment="1"/>
    <xf numFmtId="0" fontId="31" fillId="0" borderId="0" xfId="0" applyFont="1" applyAlignment="1">
      <alignment wrapText="1"/>
    </xf>
    <xf numFmtId="3" fontId="19" fillId="0" borderId="0" xfId="0" applyNumberFormat="1" applyFont="1"/>
    <xf numFmtId="0" fontId="31" fillId="0" borderId="0" xfId="0" applyFont="1" applyAlignment="1"/>
    <xf numFmtId="0" fontId="32" fillId="0" borderId="0" xfId="0" applyFont="1" applyAlignment="1">
      <alignment wrapText="1"/>
    </xf>
    <xf numFmtId="3" fontId="19" fillId="0" borderId="0" xfId="0" applyNumberFormat="1" applyFont="1" applyAlignment="1">
      <alignment wrapText="1"/>
    </xf>
    <xf numFmtId="3" fontId="33" fillId="2" borderId="0" xfId="0" applyNumberFormat="1" applyFont="1" applyFill="1" applyAlignment="1">
      <alignment horizontal="right"/>
    </xf>
    <xf numFmtId="3" fontId="19" fillId="0" borderId="0" xfId="0" applyNumberFormat="1" applyFont="1" applyAlignment="1"/>
    <xf numFmtId="169" fontId="6" fillId="0" borderId="0" xfId="0" applyNumberFormat="1" applyFont="1"/>
    <xf numFmtId="0" fontId="28" fillId="5" borderId="0" xfId="0" applyFont="1" applyFill="1"/>
    <xf numFmtId="1" fontId="29" fillId="5" borderId="0" xfId="0" applyNumberFormat="1" applyFont="1" applyFill="1" applyAlignment="1"/>
    <xf numFmtId="0" fontId="29" fillId="5" borderId="0" xfId="0" applyFont="1" applyFill="1" applyAlignment="1">
      <alignment wrapText="1"/>
    </xf>
    <xf numFmtId="0" fontId="6" fillId="5" borderId="0" xfId="0" applyFont="1" applyFill="1"/>
    <xf numFmtId="0" fontId="29" fillId="5" borderId="0" xfId="0" applyFont="1" applyFill="1" applyAlignment="1"/>
    <xf numFmtId="1" fontId="28" fillId="0" borderId="0" xfId="0" applyNumberFormat="1" applyFont="1"/>
    <xf numFmtId="1" fontId="29" fillId="2" borderId="0" xfId="0" applyNumberFormat="1" applyFont="1" applyFill="1" applyAlignment="1">
      <alignment horizontal="right"/>
    </xf>
    <xf numFmtId="0" fontId="29" fillId="2" borderId="0" xfId="0" applyFont="1" applyFill="1" applyAlignment="1">
      <alignment horizontal="right"/>
    </xf>
    <xf numFmtId="0" fontId="34" fillId="2" borderId="0" xfId="0" applyFont="1" applyFill="1" applyAlignment="1"/>
    <xf numFmtId="0" fontId="34" fillId="5" borderId="0" xfId="0" applyFont="1" applyFill="1" applyAlignment="1"/>
    <xf numFmtId="3" fontId="32" fillId="0" borderId="0" xfId="0" applyNumberFormat="1" applyFont="1" applyAlignment="1">
      <alignment horizontal="right"/>
    </xf>
    <xf numFmtId="0" fontId="20" fillId="0" borderId="0" xfId="0" applyFont="1" applyAlignment="1"/>
    <xf numFmtId="1" fontId="35" fillId="2" borderId="0" xfId="0" applyNumberFormat="1" applyFont="1" applyFill="1" applyAlignment="1">
      <alignment horizontal="left"/>
    </xf>
    <xf numFmtId="0" fontId="36" fillId="2" borderId="0" xfId="0" applyFont="1" applyFill="1" applyAlignment="1">
      <alignment horizontal="left"/>
    </xf>
    <xf numFmtId="0" fontId="20" fillId="0" borderId="0" xfId="0" applyFont="1" applyAlignment="1"/>
    <xf numFmtId="0" fontId="20" fillId="5" borderId="0" xfId="0" applyFont="1" applyFill="1" applyAlignment="1"/>
    <xf numFmtId="0" fontId="37" fillId="0" borderId="0" xfId="0" applyFont="1" applyAlignment="1">
      <alignment horizontal="left"/>
    </xf>
    <xf numFmtId="0" fontId="38" fillId="0" borderId="0" xfId="0" applyFont="1" applyAlignment="1"/>
    <xf numFmtId="0" fontId="39" fillId="0" borderId="0" xfId="0" applyFont="1" applyAlignment="1"/>
    <xf numFmtId="0" fontId="40" fillId="2" borderId="0" xfId="0" applyFont="1" applyFill="1" applyAlignment="1"/>
    <xf numFmtId="0" fontId="0" fillId="5" borderId="0" xfId="0" applyFont="1" applyFill="1" applyAlignment="1"/>
    <xf numFmtId="3" fontId="41" fillId="0" borderId="0" xfId="0" applyNumberFormat="1" applyFont="1" applyAlignment="1">
      <alignment horizontal="left"/>
    </xf>
    <xf numFmtId="0" fontId="14" fillId="0" borderId="0" xfId="0" applyFont="1" applyAlignment="1"/>
    <xf numFmtId="1" fontId="14" fillId="0" borderId="0" xfId="0" applyNumberFormat="1" applyFont="1" applyAlignment="1"/>
    <xf numFmtId="0" fontId="14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3" fontId="17" fillId="0" borderId="0" xfId="0" applyNumberFormat="1" applyFont="1" applyAlignment="1">
      <alignment horizontal="right"/>
    </xf>
    <xf numFmtId="1" fontId="14" fillId="2" borderId="0" xfId="0" applyNumberFormat="1" applyFont="1" applyFill="1" applyAlignment="1">
      <alignment horizontal="right"/>
    </xf>
    <xf numFmtId="10" fontId="20" fillId="0" borderId="0" xfId="0" applyNumberFormat="1" applyFont="1" applyAlignment="1"/>
    <xf numFmtId="3" fontId="14" fillId="0" borderId="0" xfId="0" applyNumberFormat="1" applyFont="1" applyAlignment="1">
      <alignment horizontal="right"/>
    </xf>
    <xf numFmtId="0" fontId="14" fillId="2" borderId="0" xfId="0" applyFont="1" applyFill="1" applyAlignment="1">
      <alignment horizontal="right"/>
    </xf>
    <xf numFmtId="0" fontId="15" fillId="2" borderId="0" xfId="0" applyFont="1" applyFill="1" applyAlignment="1">
      <alignment horizontal="right"/>
    </xf>
    <xf numFmtId="0" fontId="14" fillId="11" borderId="0" xfId="0" applyFont="1" applyFill="1" applyAlignment="1"/>
    <xf numFmtId="1" fontId="15" fillId="11" borderId="0" xfId="0" applyNumberFormat="1" applyFont="1" applyFill="1" applyAlignment="1">
      <alignment horizontal="right"/>
    </xf>
    <xf numFmtId="10" fontId="20" fillId="11" borderId="0" xfId="0" applyNumberFormat="1" applyFont="1" applyFill="1"/>
    <xf numFmtId="0" fontId="15" fillId="11" borderId="0" xfId="0" applyFont="1" applyFill="1" applyAlignment="1">
      <alignment horizontal="right"/>
    </xf>
    <xf numFmtId="0" fontId="16" fillId="11" borderId="0" xfId="0" applyFont="1" applyFill="1" applyAlignment="1"/>
    <xf numFmtId="3" fontId="15" fillId="11" borderId="0" xfId="0" applyNumberFormat="1" applyFont="1" applyFill="1" applyAlignment="1">
      <alignment horizontal="right"/>
    </xf>
    <xf numFmtId="0" fontId="42" fillId="2" borderId="0" xfId="0" applyFont="1" applyFill="1" applyAlignment="1"/>
    <xf numFmtId="10" fontId="15" fillId="2" borderId="0" xfId="0" applyNumberFormat="1" applyFont="1" applyFill="1" applyAlignment="1">
      <alignment horizontal="right"/>
    </xf>
    <xf numFmtId="4" fontId="43" fillId="2" borderId="0" xfId="0" applyNumberFormat="1" applyFont="1" applyFill="1" applyAlignment="1">
      <alignment horizontal="right"/>
    </xf>
    <xf numFmtId="1" fontId="14" fillId="0" borderId="0" xfId="0" applyNumberFormat="1" applyFont="1"/>
    <xf numFmtId="0" fontId="14" fillId="5" borderId="0" xfId="0" applyFont="1" applyFill="1" applyAlignment="1"/>
    <xf numFmtId="10" fontId="43" fillId="2" borderId="0" xfId="0" applyNumberFormat="1" applyFont="1" applyFill="1" applyAlignment="1">
      <alignment horizontal="right"/>
    </xf>
    <xf numFmtId="10" fontId="44" fillId="2" borderId="0" xfId="0" applyNumberFormat="1" applyFont="1" applyFill="1" applyAlignment="1">
      <alignment horizontal="right"/>
    </xf>
    <xf numFmtId="0" fontId="18" fillId="5" borderId="0" xfId="0" applyFont="1" applyFill="1" applyAlignment="1"/>
    <xf numFmtId="3" fontId="45" fillId="2" borderId="0" xfId="0" applyNumberFormat="1" applyFont="1" applyFill="1" applyAlignment="1">
      <alignment horizontal="right"/>
    </xf>
    <xf numFmtId="0" fontId="46" fillId="2" borderId="0" xfId="0" applyFont="1" applyFill="1" applyAlignment="1"/>
    <xf numFmtId="1" fontId="47" fillId="2" borderId="0" xfId="0" applyNumberFormat="1" applyFont="1" applyFill="1" applyAlignment="1">
      <alignment horizontal="right"/>
    </xf>
    <xf numFmtId="0" fontId="47" fillId="2" borderId="0" xfId="0" applyFont="1" applyFill="1" applyAlignment="1">
      <alignment horizontal="right"/>
    </xf>
    <xf numFmtId="0" fontId="20" fillId="5" borderId="0" xfId="0" applyFont="1" applyFill="1" applyAlignment="1"/>
    <xf numFmtId="0" fontId="48" fillId="12" borderId="0" xfId="0" applyFont="1" applyFill="1" applyAlignment="1">
      <alignment horizontal="right"/>
    </xf>
    <xf numFmtId="0" fontId="49" fillId="2" borderId="0" xfId="0" applyFont="1" applyFill="1" applyAlignment="1">
      <alignment horizontal="right"/>
    </xf>
    <xf numFmtId="0" fontId="50" fillId="2" borderId="0" xfId="0" applyFont="1" applyFill="1" applyAlignment="1">
      <alignment horizontal="right"/>
    </xf>
    <xf numFmtId="0" fontId="51" fillId="12" borderId="0" xfId="0" applyFont="1" applyFill="1" applyAlignment="1">
      <alignment horizontal="right"/>
    </xf>
    <xf numFmtId="0" fontId="52" fillId="12" borderId="0" xfId="0" applyFont="1" applyFill="1" applyAlignment="1">
      <alignment horizontal="right"/>
    </xf>
    <xf numFmtId="0" fontId="16" fillId="5" borderId="0" xfId="0" applyFont="1" applyFill="1" applyAlignment="1"/>
    <xf numFmtId="0" fontId="50" fillId="2" borderId="0" xfId="0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0" fontId="48" fillId="2" borderId="0" xfId="0" applyFont="1" applyFill="1" applyAlignment="1">
      <alignment horizontal="right"/>
    </xf>
    <xf numFmtId="0" fontId="51" fillId="2" borderId="0" xfId="0" applyFont="1" applyFill="1" applyAlignment="1">
      <alignment horizontal="right"/>
    </xf>
    <xf numFmtId="0" fontId="52" fillId="2" borderId="0" xfId="0" applyFont="1" applyFill="1" applyAlignment="1">
      <alignment horizontal="right"/>
    </xf>
    <xf numFmtId="0" fontId="15" fillId="2" borderId="0" xfId="0" applyFont="1" applyFill="1" applyAlignment="1">
      <alignment horizontal="right"/>
    </xf>
    <xf numFmtId="1" fontId="14" fillId="2" borderId="0" xfId="0" applyNumberFormat="1" applyFont="1" applyFill="1" applyAlignment="1">
      <alignment horizontal="right"/>
    </xf>
    <xf numFmtId="0" fontId="14" fillId="2" borderId="0" xfId="0" applyFont="1" applyFill="1" applyAlignment="1">
      <alignment horizontal="right"/>
    </xf>
    <xf numFmtId="0" fontId="18" fillId="0" borderId="0" xfId="0" applyFont="1" applyAlignment="1">
      <alignment horizontal="right"/>
    </xf>
    <xf numFmtId="168" fontId="20" fillId="0" borderId="0" xfId="0" applyNumberFormat="1" applyFont="1"/>
    <xf numFmtId="0" fontId="46" fillId="2" borderId="0" xfId="0" applyFont="1" applyFill="1" applyAlignment="1"/>
    <xf numFmtId="1" fontId="20" fillId="2" borderId="0" xfId="0" applyNumberFormat="1" applyFont="1" applyFill="1" applyAlignment="1">
      <alignment horizontal="right"/>
    </xf>
    <xf numFmtId="0" fontId="20" fillId="2" borderId="0" xfId="0" applyFont="1" applyFill="1" applyAlignment="1">
      <alignment horizontal="right"/>
    </xf>
    <xf numFmtId="0" fontId="54" fillId="2" borderId="0" xfId="0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3" fontId="55" fillId="12" borderId="0" xfId="0" applyNumberFormat="1" applyFont="1" applyFill="1" applyAlignment="1">
      <alignment horizontal="right"/>
    </xf>
    <xf numFmtId="0" fontId="56" fillId="12" borderId="0" xfId="0" applyFont="1" applyFill="1" applyAlignment="1">
      <alignment horizontal="right"/>
    </xf>
    <xf numFmtId="0" fontId="56" fillId="2" borderId="0" xfId="0" applyFont="1" applyFill="1" applyAlignment="1">
      <alignment horizontal="right"/>
    </xf>
    <xf numFmtId="0" fontId="46" fillId="2" borderId="0" xfId="0" applyFont="1" applyFill="1" applyAlignment="1"/>
    <xf numFmtId="3" fontId="17" fillId="0" borderId="0" xfId="0" applyNumberFormat="1" applyFont="1" applyAlignment="1">
      <alignment horizontal="right"/>
    </xf>
    <xf numFmtId="0" fontId="51" fillId="13" borderId="0" xfId="0" applyFont="1" applyFill="1" applyAlignment="1">
      <alignment horizontal="right"/>
    </xf>
    <xf numFmtId="0" fontId="15" fillId="2" borderId="0" xfId="0" applyFont="1" applyFill="1" applyAlignment="1">
      <alignment horizontal="left"/>
    </xf>
    <xf numFmtId="10" fontId="20" fillId="0" borderId="0" xfId="0" applyNumberFormat="1" applyFont="1"/>
    <xf numFmtId="0" fontId="14" fillId="0" borderId="0" xfId="0" applyFont="1" applyAlignment="1">
      <alignment horizontal="right"/>
    </xf>
    <xf numFmtId="0" fontId="15" fillId="11" borderId="0" xfId="0" applyFont="1" applyFill="1" applyAlignment="1">
      <alignment horizontal="left"/>
    </xf>
    <xf numFmtId="0" fontId="14" fillId="11" borderId="0" xfId="0" applyFont="1" applyFill="1"/>
    <xf numFmtId="1" fontId="14" fillId="11" borderId="0" xfId="0" applyNumberFormat="1" applyFont="1" applyFill="1"/>
    <xf numFmtId="0" fontId="15" fillId="11" borderId="0" xfId="0" applyFont="1" applyFill="1"/>
    <xf numFmtId="3" fontId="14" fillId="11" borderId="0" xfId="0" applyNumberFormat="1" applyFont="1" applyFill="1"/>
    <xf numFmtId="10" fontId="47" fillId="2" borderId="0" xfId="0" applyNumberFormat="1" applyFont="1" applyFill="1" applyAlignment="1">
      <alignment horizontal="right"/>
    </xf>
    <xf numFmtId="10" fontId="57" fillId="2" borderId="0" xfId="0" applyNumberFormat="1" applyFont="1" applyFill="1" applyAlignment="1">
      <alignment horizontal="right"/>
    </xf>
    <xf numFmtId="0" fontId="58" fillId="2" borderId="0" xfId="0" applyFont="1" applyFill="1" applyAlignment="1">
      <alignment vertical="top"/>
    </xf>
    <xf numFmtId="1" fontId="19" fillId="2" borderId="0" xfId="0" applyNumberFormat="1" applyFont="1" applyFill="1" applyAlignment="1">
      <alignment horizontal="right"/>
    </xf>
    <xf numFmtId="0" fontId="19" fillId="2" borderId="0" xfId="0" applyFont="1" applyFill="1" applyAlignment="1">
      <alignment horizontal="right"/>
    </xf>
    <xf numFmtId="0" fontId="44" fillId="2" borderId="0" xfId="0" applyFont="1" applyFill="1" applyAlignment="1">
      <alignment horizontal="right"/>
    </xf>
    <xf numFmtId="0" fontId="59" fillId="2" borderId="0" xfId="0" applyFont="1" applyFill="1" applyAlignment="1">
      <alignment horizontal="right"/>
    </xf>
    <xf numFmtId="0" fontId="60" fillId="2" borderId="0" xfId="0" applyFont="1" applyFill="1" applyAlignment="1">
      <alignment horizontal="right"/>
    </xf>
    <xf numFmtId="0" fontId="61" fillId="0" borderId="0" xfId="0" applyFont="1" applyAlignment="1">
      <alignment vertical="top"/>
    </xf>
    <xf numFmtId="0" fontId="47" fillId="12" borderId="0" xfId="0" applyFont="1" applyFill="1" applyAlignment="1">
      <alignment horizontal="right"/>
    </xf>
    <xf numFmtId="0" fontId="62" fillId="2" borderId="0" xfId="0" applyFont="1" applyFill="1" applyAlignment="1">
      <alignment horizontal="right"/>
    </xf>
    <xf numFmtId="3" fontId="55" fillId="2" borderId="0" xfId="0" applyNumberFormat="1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3" fontId="19" fillId="0" borderId="0" xfId="0" applyNumberFormat="1" applyFont="1" applyAlignment="1">
      <alignment horizontal="right"/>
    </xf>
    <xf numFmtId="1" fontId="16" fillId="2" borderId="0" xfId="0" applyNumberFormat="1" applyFont="1" applyFill="1" applyAlignment="1">
      <alignment horizontal="right"/>
    </xf>
    <xf numFmtId="0" fontId="16" fillId="2" borderId="0" xfId="0" applyFont="1" applyFill="1" applyAlignment="1">
      <alignment horizontal="right"/>
    </xf>
    <xf numFmtId="0" fontId="16" fillId="5" borderId="0" xfId="0" applyFont="1" applyFill="1"/>
    <xf numFmtId="2" fontId="16" fillId="2" borderId="0" xfId="0" applyNumberFormat="1" applyFont="1" applyFill="1" applyAlignment="1">
      <alignment horizontal="right"/>
    </xf>
    <xf numFmtId="1" fontId="14" fillId="2" borderId="0" xfId="0" applyNumberFormat="1" applyFont="1" applyFill="1" applyAlignment="1">
      <alignment horizontal="right"/>
    </xf>
    <xf numFmtId="0" fontId="14" fillId="2" borderId="0" xfId="0" applyFont="1" applyFill="1" applyAlignment="1">
      <alignment horizontal="right"/>
    </xf>
    <xf numFmtId="3" fontId="17" fillId="0" borderId="0" xfId="0" applyNumberFormat="1" applyFont="1" applyAlignment="1">
      <alignment horizontal="right"/>
    </xf>
    <xf numFmtId="0" fontId="16" fillId="11" borderId="0" xfId="0" applyFont="1" applyFill="1"/>
    <xf numFmtId="0" fontId="50" fillId="2" borderId="0" xfId="0" applyFont="1" applyFill="1" applyAlignment="1">
      <alignment horizontal="right"/>
    </xf>
    <xf numFmtId="0" fontId="63" fillId="2" borderId="0" xfId="0" applyFont="1" applyFill="1" applyAlignment="1">
      <alignment vertical="top"/>
    </xf>
    <xf numFmtId="0" fontId="14" fillId="5" borderId="0" xfId="0" applyFont="1" applyFill="1"/>
    <xf numFmtId="0" fontId="18" fillId="5" borderId="0" xfId="0" applyFont="1" applyFill="1"/>
    <xf numFmtId="0" fontId="16" fillId="5" borderId="0" xfId="0" applyFont="1" applyFill="1" applyAlignment="1"/>
    <xf numFmtId="0" fontId="58" fillId="14" borderId="0" xfId="0" applyFont="1" applyFill="1" applyAlignment="1">
      <alignment vertical="top"/>
    </xf>
    <xf numFmtId="0" fontId="63" fillId="14" borderId="0" xfId="0" applyFont="1" applyFill="1" applyAlignment="1">
      <alignment vertical="top"/>
    </xf>
    <xf numFmtId="1" fontId="20" fillId="2" borderId="0" xfId="0" applyNumberFormat="1" applyFont="1" applyFill="1" applyAlignment="1">
      <alignment horizontal="right"/>
    </xf>
    <xf numFmtId="0" fontId="20" fillId="2" borderId="0" xfId="0" applyFont="1" applyFill="1" applyAlignment="1">
      <alignment horizontal="right"/>
    </xf>
    <xf numFmtId="3" fontId="19" fillId="0" borderId="0" xfId="0" applyNumberFormat="1" applyFont="1" applyAlignment="1">
      <alignment horizontal="right"/>
    </xf>
    <xf numFmtId="0" fontId="28" fillId="0" borderId="0" xfId="0" applyFont="1" applyAlignment="1">
      <alignment wrapText="1"/>
    </xf>
    <xf numFmtId="3" fontId="0" fillId="0" borderId="0" xfId="0" applyNumberFormat="1" applyFont="1"/>
    <xf numFmtId="3" fontId="64" fillId="2" borderId="0" xfId="0" applyNumberFormat="1" applyFont="1" applyFill="1" applyAlignment="1">
      <alignment horizontal="right"/>
    </xf>
    <xf numFmtId="3" fontId="0" fillId="0" borderId="0" xfId="0" applyNumberFormat="1" applyFont="1" applyAlignment="1">
      <alignment wrapText="1"/>
    </xf>
    <xf numFmtId="3" fontId="0" fillId="0" borderId="0" xfId="0" applyNumberFormat="1" applyFont="1" applyAlignment="1"/>
    <xf numFmtId="2" fontId="6" fillId="0" borderId="0" xfId="0" applyNumberFormat="1" applyFont="1" applyAlignment="1"/>
    <xf numFmtId="10" fontId="6" fillId="0" borderId="0" xfId="0" applyNumberFormat="1" applyFont="1"/>
    <xf numFmtId="1" fontId="29" fillId="0" borderId="0" xfId="0" applyNumberFormat="1" applyFont="1" applyAlignment="1">
      <alignment wrapText="1"/>
    </xf>
    <xf numFmtId="1" fontId="28" fillId="0" borderId="0" xfId="0" applyNumberFormat="1" applyFont="1" applyAlignment="1"/>
    <xf numFmtId="3" fontId="6" fillId="0" borderId="0" xfId="0" applyNumberFormat="1" applyFont="1"/>
    <xf numFmtId="4" fontId="6" fillId="0" borderId="0" xfId="0" applyNumberFormat="1" applyFont="1"/>
    <xf numFmtId="2" fontId="29" fillId="0" borderId="0" xfId="0" applyNumberFormat="1" applyFont="1" applyAlignment="1">
      <alignment wrapText="1"/>
    </xf>
    <xf numFmtId="0" fontId="6" fillId="0" borderId="0" xfId="0" applyFont="1" applyAlignment="1"/>
    <xf numFmtId="0" fontId="6" fillId="0" borderId="0" xfId="0" applyFont="1" applyAlignment="1"/>
    <xf numFmtId="1" fontId="10" fillId="0" borderId="0" xfId="0" applyNumberFormat="1" applyFont="1" applyAlignment="1"/>
    <xf numFmtId="168" fontId="6" fillId="0" borderId="0" xfId="0" applyNumberFormat="1" applyFont="1" applyAlignment="1"/>
    <xf numFmtId="0" fontId="65" fillId="0" borderId="0" xfId="0" applyFont="1" applyAlignment="1"/>
    <xf numFmtId="0" fontId="66" fillId="0" borderId="0" xfId="0" applyFont="1" applyAlignment="1"/>
    <xf numFmtId="0" fontId="6" fillId="4" borderId="0" xfId="0" applyFont="1" applyFill="1"/>
    <xf numFmtId="0" fontId="6" fillId="4" borderId="0" xfId="0" applyFont="1" applyFill="1" applyAlignment="1"/>
    <xf numFmtId="9" fontId="6" fillId="0" borderId="0" xfId="0" applyNumberFormat="1" applyFont="1"/>
    <xf numFmtId="2" fontId="28" fillId="0" borderId="0" xfId="0" applyNumberFormat="1" applyFont="1"/>
    <xf numFmtId="10" fontId="6" fillId="0" borderId="0" xfId="0" applyNumberFormat="1" applyFont="1" applyAlignment="1"/>
    <xf numFmtId="10" fontId="29" fillId="0" borderId="0" xfId="0" applyNumberFormat="1" applyFont="1" applyAlignment="1">
      <alignment wrapText="1"/>
    </xf>
    <xf numFmtId="2" fontId="6" fillId="0" borderId="0" xfId="0" applyNumberFormat="1" applyFont="1"/>
    <xf numFmtId="1" fontId="67" fillId="0" borderId="0" xfId="0" applyNumberFormat="1" applyFont="1" applyAlignment="1"/>
    <xf numFmtId="164" fontId="10" fillId="0" borderId="0" xfId="0" applyNumberFormat="1" applyFont="1"/>
    <xf numFmtId="2" fontId="68" fillId="0" borderId="0" xfId="0" applyNumberFormat="1" applyFont="1"/>
    <xf numFmtId="0" fontId="69" fillId="0" borderId="5" xfId="0" applyFont="1" applyBorder="1" applyAlignment="1">
      <alignment vertical="top"/>
    </xf>
    <xf numFmtId="0" fontId="69" fillId="0" borderId="0" xfId="0" applyFont="1" applyAlignment="1">
      <alignment vertical="top"/>
    </xf>
    <xf numFmtId="0" fontId="70" fillId="0" borderId="0" xfId="0" applyFont="1" applyAlignment="1">
      <alignment vertical="top"/>
    </xf>
    <xf numFmtId="0" fontId="71" fillId="0" borderId="0" xfId="0" applyFont="1" applyAlignment="1"/>
    <xf numFmtId="0" fontId="72" fillId="0" borderId="0" xfId="0" applyFont="1" applyAlignment="1"/>
    <xf numFmtId="0" fontId="73" fillId="0" borderId="0" xfId="0" applyFont="1" applyAlignment="1">
      <alignment vertical="top"/>
    </xf>
    <xf numFmtId="0" fontId="74" fillId="2" borderId="0" xfId="0" applyFont="1" applyFill="1" applyAlignment="1">
      <alignment horizontal="left"/>
    </xf>
    <xf numFmtId="0" fontId="74" fillId="2" borderId="0" xfId="0" applyFont="1" applyFill="1" applyAlignment="1">
      <alignment horizontal="right"/>
    </xf>
    <xf numFmtId="0" fontId="74" fillId="12" borderId="0" xfId="0" applyFont="1" applyFill="1" applyAlignment="1">
      <alignment horizontal="left"/>
    </xf>
    <xf numFmtId="0" fontId="74" fillId="12" borderId="0" xfId="0" applyFont="1" applyFill="1" applyAlignment="1">
      <alignment horizontal="right"/>
    </xf>
    <xf numFmtId="0" fontId="74" fillId="13" borderId="0" xfId="0" applyFont="1" applyFill="1" applyAlignment="1">
      <alignment horizontal="left"/>
    </xf>
    <xf numFmtId="0" fontId="74" fillId="13" borderId="0" xfId="0" applyFont="1" applyFill="1" applyAlignment="1">
      <alignment horizontal="right"/>
    </xf>
    <xf numFmtId="0" fontId="75" fillId="2" borderId="0" xfId="0" applyFont="1" applyFill="1" applyAlignment="1">
      <alignment horizontal="right"/>
    </xf>
    <xf numFmtId="0" fontId="75" fillId="2" borderId="0" xfId="0" applyFont="1" applyFill="1" applyAlignment="1">
      <alignment horizontal="right"/>
    </xf>
    <xf numFmtId="0" fontId="75" fillId="12" borderId="0" xfId="0" applyFont="1" applyFill="1" applyAlignment="1">
      <alignment horizontal="right"/>
    </xf>
    <xf numFmtId="0" fontId="75" fillId="12" borderId="0" xfId="0" applyFont="1" applyFill="1" applyAlignment="1">
      <alignment horizontal="right"/>
    </xf>
    <xf numFmtId="9" fontId="75" fillId="2" borderId="0" xfId="0" applyNumberFormat="1" applyFont="1" applyFill="1" applyAlignment="1">
      <alignment horizontal="right"/>
    </xf>
    <xf numFmtId="9" fontId="75" fillId="12" borderId="0" xfId="0" applyNumberFormat="1" applyFont="1" applyFill="1" applyAlignment="1">
      <alignment horizontal="right"/>
    </xf>
    <xf numFmtId="0" fontId="76" fillId="2" borderId="0" xfId="0" applyFont="1" applyFill="1" applyAlignment="1">
      <alignment horizontal="center"/>
    </xf>
    <xf numFmtId="0" fontId="76" fillId="15" borderId="0" xfId="0" applyFont="1" applyFill="1" applyAlignment="1">
      <alignment horizontal="center"/>
    </xf>
    <xf numFmtId="0" fontId="77" fillId="0" borderId="0" xfId="0" applyFont="1" applyAlignment="1">
      <alignment horizontal="center"/>
    </xf>
    <xf numFmtId="0" fontId="78" fillId="0" borderId="0" xfId="0" applyFont="1" applyAlignment="1"/>
    <xf numFmtId="0" fontId="79" fillId="0" borderId="0" xfId="0" applyFont="1" applyAlignment="1"/>
    <xf numFmtId="0" fontId="70" fillId="0" borderId="5" xfId="0" applyFont="1" applyBorder="1" applyAlignment="1">
      <alignment vertical="top"/>
    </xf>
    <xf numFmtId="0" fontId="80" fillId="0" borderId="0" xfId="0" applyFont="1" applyAlignment="1"/>
    <xf numFmtId="0" fontId="81" fillId="0" borderId="5" xfId="0" applyFont="1" applyBorder="1" applyAlignment="1">
      <alignment vertical="top"/>
    </xf>
    <xf numFmtId="0" fontId="82" fillId="0" borderId="0" xfId="0" applyFont="1"/>
    <xf numFmtId="0" fontId="10" fillId="0" borderId="0" xfId="0" applyFont="1" applyAlignment="1">
      <alignment wrapText="1"/>
    </xf>
    <xf numFmtId="9" fontId="6" fillId="0" borderId="0" xfId="0" applyNumberFormat="1" applyFont="1" applyAlignment="1"/>
    <xf numFmtId="0" fontId="23" fillId="2" borderId="0" xfId="0" applyFont="1" applyFill="1" applyAlignment="1">
      <alignment horizontal="left"/>
    </xf>
    <xf numFmtId="168" fontId="6" fillId="0" borderId="0" xfId="0" applyNumberFormat="1" applyFont="1"/>
    <xf numFmtId="0" fontId="78" fillId="0" borderId="0" xfId="0" applyFont="1"/>
    <xf numFmtId="0" fontId="6" fillId="0" borderId="0" xfId="0" applyFont="1" applyAlignment="1">
      <alignment horizontal="right"/>
    </xf>
    <xf numFmtId="0" fontId="26" fillId="2" borderId="0" xfId="0" applyFont="1" applyFill="1"/>
    <xf numFmtId="0" fontId="8" fillId="5" borderId="0" xfId="0" applyFont="1" applyFill="1"/>
    <xf numFmtId="0" fontId="10" fillId="0" borderId="0" xfId="0" applyFont="1" applyAlignment="1">
      <alignment horizontal="right"/>
    </xf>
    <xf numFmtId="0" fontId="10" fillId="5" borderId="0" xfId="0" applyFont="1" applyFill="1" applyAlignment="1"/>
    <xf numFmtId="0" fontId="24" fillId="5" borderId="0" xfId="0" applyFont="1" applyFill="1" applyAlignment="1"/>
    <xf numFmtId="0" fontId="83" fillId="0" borderId="0" xfId="0" applyFont="1" applyAlignment="1">
      <alignment horizontal="left"/>
    </xf>
    <xf numFmtId="0" fontId="6" fillId="5" borderId="0" xfId="0" applyFont="1" applyFill="1" applyAlignment="1"/>
    <xf numFmtId="0" fontId="84" fillId="2" borderId="0" xfId="0" applyFont="1" applyFill="1" applyAlignment="1"/>
    <xf numFmtId="0" fontId="23" fillId="0" borderId="0" xfId="0" applyFont="1" applyAlignment="1"/>
    <xf numFmtId="0" fontId="23" fillId="5" borderId="0" xfId="0" applyFont="1" applyFill="1" applyAlignment="1"/>
    <xf numFmtId="0" fontId="85" fillId="2" borderId="0" xfId="0" applyFont="1" applyFill="1" applyAlignment="1"/>
    <xf numFmtId="0" fontId="10" fillId="0" borderId="0" xfId="0" applyFont="1" applyAlignment="1"/>
    <xf numFmtId="0" fontId="10" fillId="0" borderId="0" xfId="0" applyFont="1" applyAlignment="1">
      <alignment horizontal="right"/>
    </xf>
    <xf numFmtId="168" fontId="6" fillId="0" borderId="0" xfId="0" applyNumberFormat="1" applyFont="1" applyAlignment="1"/>
    <xf numFmtId="0" fontId="6" fillId="5" borderId="0" xfId="0" applyFont="1" applyFill="1" applyAlignment="1"/>
    <xf numFmtId="0" fontId="10" fillId="2" borderId="0" xfId="0" applyFont="1" applyFill="1" applyAlignment="1">
      <alignment horizontal="right"/>
    </xf>
    <xf numFmtId="0" fontId="24" fillId="2" borderId="0" xfId="0" applyFont="1" applyFill="1" applyAlignment="1">
      <alignment horizontal="right"/>
    </xf>
    <xf numFmtId="0" fontId="8" fillId="5" borderId="0" xfId="0" applyFont="1" applyFill="1" applyAlignment="1"/>
    <xf numFmtId="0" fontId="9" fillId="0" borderId="0" xfId="0" applyFont="1" applyAlignment="1">
      <alignment horizontal="right"/>
    </xf>
    <xf numFmtId="0" fontId="86" fillId="2" borderId="0" xfId="0" applyFont="1" applyFill="1" applyAlignment="1">
      <alignment horizontal="right"/>
    </xf>
    <xf numFmtId="0" fontId="87" fillId="2" borderId="0" xfId="0" applyFont="1" applyFill="1" applyAlignment="1">
      <alignment horizontal="right"/>
    </xf>
    <xf numFmtId="0" fontId="24" fillId="2" borderId="0" xfId="0" applyFont="1" applyFill="1" applyAlignment="1">
      <alignment horizontal="left"/>
    </xf>
    <xf numFmtId="0" fontId="88" fillId="2" borderId="0" xfId="0" applyFont="1" applyFill="1" applyAlignment="1">
      <alignment horizontal="right"/>
    </xf>
    <xf numFmtId="0" fontId="89" fillId="2" borderId="0" xfId="0" applyFont="1" applyFill="1" applyAlignment="1">
      <alignment horizontal="right"/>
    </xf>
    <xf numFmtId="0" fontId="90" fillId="2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87" fillId="2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10" fillId="5" borderId="0" xfId="0" applyFont="1" applyFill="1"/>
    <xf numFmtId="0" fontId="71" fillId="5" borderId="0" xfId="0" applyFont="1" applyFill="1"/>
    <xf numFmtId="0" fontId="6" fillId="0" borderId="0" xfId="0" applyFont="1" applyAlignment="1">
      <alignment horizontal="right"/>
    </xf>
    <xf numFmtId="0" fontId="8" fillId="5" borderId="0" xfId="0" applyFont="1" applyFill="1" applyAlignment="1"/>
    <xf numFmtId="0" fontId="91" fillId="16" borderId="0" xfId="0" applyFont="1" applyFill="1"/>
    <xf numFmtId="0" fontId="92" fillId="17" borderId="0" xfId="0" applyFont="1" applyFill="1"/>
    <xf numFmtId="0" fontId="93" fillId="16" borderId="0" xfId="0" applyFont="1" applyFill="1" applyAlignment="1"/>
    <xf numFmtId="0" fontId="94" fillId="16" borderId="0" xfId="0" applyFont="1" applyFill="1" applyAlignment="1"/>
    <xf numFmtId="0" fontId="75" fillId="13" borderId="0" xfId="0" applyFont="1" applyFill="1" applyAlignment="1">
      <alignment horizontal="right"/>
    </xf>
    <xf numFmtId="9" fontId="75" fillId="13" borderId="0" xfId="0" applyNumberFormat="1" applyFont="1" applyFill="1" applyAlignment="1">
      <alignment horizontal="right"/>
    </xf>
    <xf numFmtId="0" fontId="95" fillId="0" borderId="0" xfId="0" applyFont="1" applyAlignment="1">
      <alignment vertical="top"/>
    </xf>
    <xf numFmtId="0" fontId="96" fillId="0" borderId="0" xfId="0" applyFont="1" applyAlignment="1">
      <alignment vertical="top"/>
    </xf>
    <xf numFmtId="0" fontId="95" fillId="0" borderId="5" xfId="0" applyFont="1" applyBorder="1" applyAlignment="1">
      <alignment vertical="top"/>
    </xf>
    <xf numFmtId="0" fontId="96" fillId="0" borderId="5" xfId="0" applyFont="1" applyBorder="1" applyAlignment="1">
      <alignment vertical="top"/>
    </xf>
    <xf numFmtId="0" fontId="29" fillId="0" borderId="0" xfId="0" applyFont="1"/>
    <xf numFmtId="0" fontId="97" fillId="0" borderId="0" xfId="0" applyFont="1" applyAlignment="1"/>
    <xf numFmtId="0" fontId="14" fillId="2" borderId="0" xfId="0" applyFont="1" applyFill="1" applyAlignment="1">
      <alignment vertical="top" wrapText="1"/>
    </xf>
    <xf numFmtId="0" fontId="0" fillId="0" borderId="0" xfId="0" applyFont="1" applyAlignment="1"/>
    <xf numFmtId="0" fontId="14" fillId="2" borderId="0" xfId="0" applyFont="1" applyFill="1" applyAlignment="1">
      <alignment vertical="top"/>
    </xf>
    <xf numFmtId="0" fontId="1" fillId="2" borderId="3" xfId="0" applyFont="1" applyFill="1" applyBorder="1" applyAlignment="1"/>
    <xf numFmtId="0" fontId="11" fillId="0" borderId="1" xfId="0" applyFont="1" applyBorder="1"/>
    <xf numFmtId="0" fontId="1" fillId="2" borderId="3" xfId="0" applyFont="1" applyFill="1" applyBorder="1" applyAlignment="1">
      <alignment horizontal="left"/>
    </xf>
    <xf numFmtId="0" fontId="17" fillId="2" borderId="0" xfId="0" applyFont="1" applyFill="1" applyAlignment="1">
      <alignment horizontal="left" vertical="top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vertical="top"/>
    </xf>
    <xf numFmtId="0" fontId="1" fillId="2" borderId="3" xfId="0" applyFont="1" applyFill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187</xdr:row>
      <xdr:rowOff>200025</xdr:rowOff>
    </xdr:from>
    <xdr:ext cx="7620000" cy="6343650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</xdr:row>
      <xdr:rowOff>-47625</xdr:rowOff>
    </xdr:from>
    <xdr:ext cx="15354300" cy="11715750"/>
    <xdr:pic>
      <xdr:nvPicPr>
        <xdr:cNvPr id="2" name="image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152400</xdr:colOff>
      <xdr:row>8</xdr:row>
      <xdr:rowOff>152400</xdr:rowOff>
    </xdr:from>
    <xdr:ext cx="7620000" cy="6343650"/>
    <xdr:pic>
      <xdr:nvPicPr>
        <xdr:cNvPr id="2" name="image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1</xdr:row>
      <xdr:rowOff>152400</xdr:rowOff>
    </xdr:from>
    <xdr:ext cx="11115675" cy="9324975"/>
    <xdr:pic>
      <xdr:nvPicPr>
        <xdr:cNvPr id="2" name="image4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77</xdr:row>
      <xdr:rowOff>152400</xdr:rowOff>
    </xdr:from>
    <xdr:ext cx="7620000" cy="6343650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fOAVtnC9Lamg3OwHV32IVsY-Ddum88g-3HALPe4BcHk/edit" TargetMode="External"/><Relationship Id="rId3" Type="http://schemas.openxmlformats.org/officeDocument/2006/relationships/hyperlink" Target="https://docs.google.com/spreadsheets/d/1fOAVtnC9Lamg3OwHV32IVsY-Ddum88g-3HALPe4BcHk/edit" TargetMode="External"/><Relationship Id="rId7" Type="http://schemas.openxmlformats.org/officeDocument/2006/relationships/hyperlink" Target="https://docs.google.com/spreadsheets/d/1fOAVtnC9Lamg3OwHV32IVsY-Ddum88g-3HALPe4BcHk/edit" TargetMode="External"/><Relationship Id="rId2" Type="http://schemas.openxmlformats.org/officeDocument/2006/relationships/hyperlink" Target="https://docs.google.com/spreadsheets/d/1fOAVtnC9Lamg3OwHV32IVsY-Ddum88g-3HALPe4BcHk/edit" TargetMode="External"/><Relationship Id="rId1" Type="http://schemas.openxmlformats.org/officeDocument/2006/relationships/hyperlink" Target="https://docs.google.com/spreadsheets/d/1fOAVtnC9Lamg3OwHV32IVsY-Ddum88g-3HALPe4BcHk/edit" TargetMode="External"/><Relationship Id="rId6" Type="http://schemas.openxmlformats.org/officeDocument/2006/relationships/hyperlink" Target="https://docs.google.com/spreadsheets/d/1fOAVtnC9Lamg3OwHV32IVsY-Ddum88g-3HALPe4BcHk/edit" TargetMode="External"/><Relationship Id="rId5" Type="http://schemas.openxmlformats.org/officeDocument/2006/relationships/hyperlink" Target="https://docs.google.com/spreadsheets/d/1fOAVtnC9Lamg3OwHV32IVsY-Ddum88g-3HALPe4BcHk/edit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ocs.google.com/spreadsheets/d/1fOAVtnC9Lamg3OwHV32IVsY-Ddum88g-3HALPe4BcHk/edit" TargetMode="External"/><Relationship Id="rId9" Type="http://schemas.openxmlformats.org/officeDocument/2006/relationships/hyperlink" Target="https://docs.google.com/spreadsheets/d/1fOAVtnC9Lamg3OwHV32IVsY-Ddum88g-3HALPe4BcHk/edit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atista.com/statistics/264059/production-volume-of-vegetables-and-melons-worldwide-since-1990/" TargetMode="External"/><Relationship Id="rId13" Type="http://schemas.openxmlformats.org/officeDocument/2006/relationships/hyperlink" Target="https://en.wikipedia.org/wiki/Whole_grain" TargetMode="External"/><Relationship Id="rId18" Type="http://schemas.openxmlformats.org/officeDocument/2006/relationships/hyperlink" Target="https://ourworldindata.org/agricultural-production" TargetMode="External"/><Relationship Id="rId26" Type="http://schemas.openxmlformats.org/officeDocument/2006/relationships/hyperlink" Target="https://ourworldindata.org/grapher/cereal-distribution-to-uses?country=~OWID_WRL" TargetMode="External"/><Relationship Id="rId3" Type="http://schemas.openxmlformats.org/officeDocument/2006/relationships/hyperlink" Target="https://ourworldindata.org/meat-production" TargetMode="External"/><Relationship Id="rId21" Type="http://schemas.openxmlformats.org/officeDocument/2006/relationships/hyperlink" Target="http://www.fao.org/faostat/en/" TargetMode="External"/><Relationship Id="rId7" Type="http://schemas.openxmlformats.org/officeDocument/2006/relationships/hyperlink" Target="https://ourworldindata.org/seafood-production?country=" TargetMode="External"/><Relationship Id="rId12" Type="http://schemas.openxmlformats.org/officeDocument/2006/relationships/hyperlink" Target="https://ourworldindata.org/agricultural-production" TargetMode="External"/><Relationship Id="rId17" Type="http://schemas.openxmlformats.org/officeDocument/2006/relationships/hyperlink" Target="https://www.statista.com/statistics/264065/global-production-of-vegetables-by-type/" TargetMode="External"/><Relationship Id="rId25" Type="http://schemas.openxmlformats.org/officeDocument/2006/relationships/hyperlink" Target="https://ourworldindata.org/land-use-diets" TargetMode="External"/><Relationship Id="rId2" Type="http://schemas.openxmlformats.org/officeDocument/2006/relationships/hyperlink" Target="https://docs.google.com/spreadsheets/d/1fOAVtnC9Lamg3OwHV32IVsY-Ddum88g-3HALPe4BcHk/edit" TargetMode="External"/><Relationship Id="rId16" Type="http://schemas.openxmlformats.org/officeDocument/2006/relationships/hyperlink" Target="https://www.statista.com/statistics/382174/global-potato-production/" TargetMode="External"/><Relationship Id="rId20" Type="http://schemas.openxmlformats.org/officeDocument/2006/relationships/hyperlink" Target="https://ourworldindata.org/soy" TargetMode="External"/><Relationship Id="rId29" Type="http://schemas.openxmlformats.org/officeDocument/2006/relationships/hyperlink" Target="https://ourworldindata.org/land-use-diets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www.statista.com/statistics/263977/world-grain-production-by-type/" TargetMode="External"/><Relationship Id="rId24" Type="http://schemas.openxmlformats.org/officeDocument/2006/relationships/hyperlink" Target="https://ourworldindata.org/grapher/cereal-distribution-to-uses?country=~OWID_WRL" TargetMode="External"/><Relationship Id="rId5" Type="http://schemas.openxmlformats.org/officeDocument/2006/relationships/hyperlink" Target="https://docs.google.com/spreadsheets/d/1fOAVtnC9Lamg3OwHV32IVsY-Ddum88g-3HALPe4BcHk/edit" TargetMode="External"/><Relationship Id="rId15" Type="http://schemas.openxmlformats.org/officeDocument/2006/relationships/hyperlink" Target="https://ourworldindata.org/grapher/cassava-production?tab=chart&amp;country=CHN~KEN~SOM~ZWE~BRA~OWID_WRL" TargetMode="External"/><Relationship Id="rId23" Type="http://schemas.openxmlformats.org/officeDocument/2006/relationships/hyperlink" Target="https://ourworldindata.org/land-use-diets" TargetMode="External"/><Relationship Id="rId28" Type="http://schemas.openxmlformats.org/officeDocument/2006/relationships/hyperlink" Target="https://ourworldindata.org/grapher/cereal-distribution-to-uses?country=~OWID_WRL" TargetMode="External"/><Relationship Id="rId10" Type="http://schemas.openxmlformats.org/officeDocument/2006/relationships/hyperlink" Target="https://ourworldindata.org/soy" TargetMode="External"/><Relationship Id="rId19" Type="http://schemas.openxmlformats.org/officeDocument/2006/relationships/hyperlink" Target="https://ourworldindata.org/agricultural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www.statista.com/statistics/262266/global-production-of-fresh-fruit/" TargetMode="External"/><Relationship Id="rId14" Type="http://schemas.openxmlformats.org/officeDocument/2006/relationships/hyperlink" Target="https://www.statista.com/statistics/1030933/tree-nut-global-production/" TargetMode="External"/><Relationship Id="rId22" Type="http://schemas.openxmlformats.org/officeDocument/2006/relationships/hyperlink" Target="https://ourworldindata.org/grapher/cereal-distribution-to-uses?country=~OWID_WRL" TargetMode="External"/><Relationship Id="rId27" Type="http://schemas.openxmlformats.org/officeDocument/2006/relationships/hyperlink" Target="https://ourworldindata.org/land-use-diets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meat-production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ourworldindata.org/meat-production" TargetMode="External"/><Relationship Id="rId13" Type="http://schemas.openxmlformats.org/officeDocument/2006/relationships/hyperlink" Target="https://ourworldindata.org/meat-production" TargetMode="External"/><Relationship Id="rId18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meat-production" TargetMode="External"/><Relationship Id="rId7" Type="http://schemas.openxmlformats.org/officeDocument/2006/relationships/hyperlink" Target="https://ourworldindata.org/meat-production" TargetMode="External"/><Relationship Id="rId12" Type="http://schemas.openxmlformats.org/officeDocument/2006/relationships/hyperlink" Target="https://ourworldindata.org/meat-production" TargetMode="External"/><Relationship Id="rId17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16" Type="http://schemas.openxmlformats.org/officeDocument/2006/relationships/hyperlink" Target="https://ourworldindata.org/meat-production" TargetMode="External"/><Relationship Id="rId20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ourworldindata.org/meat-production" TargetMode="External"/><Relationship Id="rId5" Type="http://schemas.openxmlformats.org/officeDocument/2006/relationships/hyperlink" Target="https://ourworldindata.org/meat-production" TargetMode="External"/><Relationship Id="rId15" Type="http://schemas.openxmlformats.org/officeDocument/2006/relationships/hyperlink" Target="https://ourworldindata.org/meat-production" TargetMode="External"/><Relationship Id="rId10" Type="http://schemas.openxmlformats.org/officeDocument/2006/relationships/hyperlink" Target="https://ourworldindata.org/meat-production" TargetMode="External"/><Relationship Id="rId19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ourworldindata.org/meat-production" TargetMode="External"/><Relationship Id="rId14" Type="http://schemas.openxmlformats.org/officeDocument/2006/relationships/hyperlink" Target="https://ourworldindata.org/meat-production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ourworldindata.org/meat-production" TargetMode="External"/><Relationship Id="rId13" Type="http://schemas.openxmlformats.org/officeDocument/2006/relationships/hyperlink" Target="https://ourworldindata.org/meat-production" TargetMode="External"/><Relationship Id="rId18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meat-production" TargetMode="External"/><Relationship Id="rId7" Type="http://schemas.openxmlformats.org/officeDocument/2006/relationships/hyperlink" Target="https://ourworldindata.org/meat-production" TargetMode="External"/><Relationship Id="rId12" Type="http://schemas.openxmlformats.org/officeDocument/2006/relationships/hyperlink" Target="https://ourworldindata.org/meat-production" TargetMode="External"/><Relationship Id="rId17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16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ourworldindata.org/meat-production" TargetMode="External"/><Relationship Id="rId5" Type="http://schemas.openxmlformats.org/officeDocument/2006/relationships/hyperlink" Target="https://ourworldindata.org/meat-production" TargetMode="External"/><Relationship Id="rId15" Type="http://schemas.openxmlformats.org/officeDocument/2006/relationships/hyperlink" Target="https://ourworldindata.org/meat-production" TargetMode="External"/><Relationship Id="rId10" Type="http://schemas.openxmlformats.org/officeDocument/2006/relationships/hyperlink" Target="https://ourworldindata.org/meat-production" TargetMode="External"/><Relationship Id="rId19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ourworldindata.org/meat-production" TargetMode="External"/><Relationship Id="rId14" Type="http://schemas.openxmlformats.org/officeDocument/2006/relationships/hyperlink" Target="https://ourworldindata.org/meat-production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s://ourworldindata.org/seafood-production?country=" TargetMode="External"/><Relationship Id="rId1" Type="http://schemas.openxmlformats.org/officeDocument/2006/relationships/hyperlink" Target="https://ourworldindata.org/meat-production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atista.com/statistics/1094065/total-global-wheat-consumption-by-country/" TargetMode="External"/><Relationship Id="rId3" Type="http://schemas.openxmlformats.org/officeDocument/2006/relationships/hyperlink" Target="https://ourworldindata.org/grapher/per-capita-meat-consumption-by-type-kilograms-per-year?country=~OWID_WRL" TargetMode="External"/><Relationship Id="rId7" Type="http://schemas.openxmlformats.org/officeDocument/2006/relationships/hyperlink" Target="https://docs.google.com/spreadsheets/d/1fOAVtnC9Lamg3OwHV32IVsY-Ddum88g-3HALPe4BcHk/edit" TargetMode="External"/><Relationship Id="rId2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docs.google.com/spreadsheets/d/1fOAVtnC9Lamg3OwHV32IVsY-Ddum88g-3HALPe4BcHk/edit" TargetMode="External"/><Relationship Id="rId5" Type="http://schemas.openxmlformats.org/officeDocument/2006/relationships/hyperlink" Target="https://docs.google.com/spreadsheets/d/1fOAVtnC9Lamg3OwHV32IVsY-Ddum88g-3HALPe4BcHk/edit" TargetMode="External"/><Relationship Id="rId4" Type="http://schemas.openxmlformats.org/officeDocument/2006/relationships/hyperlink" Target="https://docs.google.com/spreadsheets/d/1fOAVtnC9Lamg3OwHV32IVsY-Ddum88g-3HALPe4BcHk/edit" TargetMode="External"/><Relationship Id="rId9" Type="http://schemas.openxmlformats.org/officeDocument/2006/relationships/drawing" Target="../drawings/drawing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beef-and-buffalo-meat-consumption-per-person?tab=table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average-per-capita-supply-of-pulses?tab=table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vegetable-consumption-per-capita?tab=tab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91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.75" customHeight="1"/>
  <cols>
    <col min="1" max="1" width="22.140625" customWidth="1"/>
    <col min="2" max="2" width="13.5703125" customWidth="1"/>
    <col min="3" max="3" width="14.42578125" customWidth="1"/>
    <col min="4" max="4" width="9.85546875" customWidth="1"/>
    <col min="5" max="5" width="7.5703125" customWidth="1"/>
    <col min="6" max="6" width="11" customWidth="1"/>
    <col min="7" max="7" width="13.7109375" customWidth="1"/>
    <col min="8" max="8" width="12.5703125" customWidth="1"/>
    <col min="9" max="9" width="8.28515625" customWidth="1"/>
    <col min="10" max="10" width="11" customWidth="1"/>
    <col min="11" max="11" width="2.42578125" customWidth="1"/>
    <col min="12" max="12" width="19.5703125" customWidth="1"/>
    <col min="13" max="13" width="16.7109375" customWidth="1"/>
    <col min="14" max="14" width="15.28515625" customWidth="1"/>
    <col min="15" max="17" width="11.42578125" customWidth="1"/>
    <col min="18" max="18" width="9.5703125" customWidth="1"/>
    <col min="19" max="19" width="15.28515625" customWidth="1"/>
    <col min="20" max="20" width="11.28515625" customWidth="1"/>
    <col min="21" max="21" width="12.5703125" customWidth="1"/>
    <col min="22" max="25" width="8.85546875" customWidth="1"/>
    <col min="26" max="26" width="11.5703125" customWidth="1"/>
    <col min="27" max="28" width="3.140625" customWidth="1"/>
    <col min="29" max="29" width="13.5703125" customWidth="1"/>
    <col min="30" max="30" width="17.42578125" customWidth="1"/>
    <col min="31" max="31" width="11.7109375" customWidth="1"/>
    <col min="32" max="32" width="13.5703125" customWidth="1"/>
    <col min="33" max="33" width="15" customWidth="1"/>
    <col min="34" max="34" width="16" customWidth="1"/>
    <col min="35" max="35" width="16.140625" customWidth="1"/>
    <col min="36" max="36" width="12" customWidth="1"/>
    <col min="37" max="37" width="10.28515625" customWidth="1"/>
    <col min="38" max="39" width="4.140625" customWidth="1"/>
    <col min="40" max="40" width="25.5703125" customWidth="1"/>
    <col min="41" max="41" width="13.5703125" customWidth="1"/>
    <col min="42" max="42" width="14.42578125" customWidth="1"/>
    <col min="43" max="43" width="14.5703125" customWidth="1"/>
    <col min="44" max="44" width="12.140625" customWidth="1"/>
    <col min="45" max="45" width="11.85546875" customWidth="1"/>
    <col min="46" max="46" width="11" customWidth="1"/>
    <col min="47" max="48" width="13.5703125" customWidth="1"/>
    <col min="49" max="49" width="4.42578125" customWidth="1"/>
    <col min="50" max="50" width="3.42578125" customWidth="1"/>
    <col min="51" max="52" width="13.5703125" customWidth="1"/>
    <col min="53" max="53" width="14.85546875" customWidth="1"/>
    <col min="54" max="54" width="12.85546875" customWidth="1"/>
    <col min="55" max="55" width="11.28515625" customWidth="1"/>
    <col min="56" max="56" width="10.5703125" customWidth="1"/>
    <col min="57" max="57" width="10.28515625" customWidth="1"/>
    <col min="58" max="59" width="2.85546875" customWidth="1"/>
    <col min="60" max="68" width="13.5703125" customWidth="1"/>
    <col min="69" max="69" width="3.42578125" customWidth="1"/>
    <col min="70" max="70" width="13.5703125" customWidth="1"/>
    <col min="71" max="71" width="21.42578125" customWidth="1"/>
    <col min="72" max="73" width="13.5703125" customWidth="1"/>
  </cols>
  <sheetData>
    <row r="1" spans="1:73" ht="18">
      <c r="A1" s="1" t="s">
        <v>0</v>
      </c>
      <c r="B1" s="2"/>
      <c r="C1" s="3"/>
      <c r="D1" s="2"/>
      <c r="E1" s="2"/>
      <c r="F1" s="4"/>
      <c r="G1" s="4"/>
      <c r="H1" s="4"/>
      <c r="I1" s="4"/>
      <c r="J1" s="4"/>
      <c r="K1" s="5"/>
      <c r="L1" s="4" t="s">
        <v>1</v>
      </c>
      <c r="M1" s="2"/>
      <c r="N1" s="6"/>
      <c r="O1" s="6"/>
      <c r="P1" s="6"/>
      <c r="Q1" s="6"/>
      <c r="R1" s="6"/>
      <c r="S1" s="7"/>
      <c r="T1" s="6"/>
      <c r="U1" s="8" t="s">
        <v>2</v>
      </c>
      <c r="V1" s="9"/>
      <c r="W1" s="9"/>
      <c r="X1" s="9"/>
      <c r="Y1" s="9"/>
      <c r="Z1" s="10"/>
      <c r="AA1" s="11"/>
      <c r="AB1" s="12"/>
      <c r="AC1" s="13" t="s">
        <v>3</v>
      </c>
      <c r="AD1" s="14"/>
      <c r="AE1" s="15"/>
      <c r="AF1" s="6"/>
      <c r="AG1" s="6"/>
      <c r="AH1" s="6"/>
      <c r="AI1" s="16" t="s">
        <v>4</v>
      </c>
      <c r="AJ1" s="17"/>
      <c r="AK1" s="9"/>
      <c r="AL1" s="2"/>
      <c r="AM1" s="18"/>
      <c r="AN1" s="19" t="s">
        <v>5</v>
      </c>
      <c r="AO1" s="15"/>
      <c r="AP1" s="20" t="s">
        <v>6</v>
      </c>
      <c r="AQ1" s="21" t="s">
        <v>4</v>
      </c>
      <c r="AR1" s="22"/>
      <c r="AS1" s="22"/>
      <c r="AT1" s="23"/>
      <c r="AU1" s="23"/>
      <c r="AV1" s="23"/>
      <c r="AW1" s="24"/>
      <c r="AX1" s="25"/>
      <c r="AY1" s="1" t="s">
        <v>7</v>
      </c>
      <c r="AZ1" s="14"/>
      <c r="BA1" s="1"/>
      <c r="BB1" s="1"/>
      <c r="BC1" s="1"/>
      <c r="BD1" s="26" t="s">
        <v>8</v>
      </c>
      <c r="BE1" s="27"/>
      <c r="BF1" s="2"/>
      <c r="BG1" s="28"/>
      <c r="BH1" s="561" t="s">
        <v>9</v>
      </c>
      <c r="BI1" s="562"/>
      <c r="BJ1" s="29"/>
      <c r="BK1" s="29"/>
      <c r="BL1" s="30"/>
      <c r="BM1" s="29"/>
      <c r="BN1" s="563" t="s">
        <v>10</v>
      </c>
      <c r="BO1" s="562"/>
      <c r="BP1" s="2"/>
      <c r="BQ1" s="31"/>
      <c r="BR1" s="32" t="s">
        <v>11</v>
      </c>
      <c r="BS1" s="9"/>
      <c r="BT1" s="9"/>
      <c r="BU1" s="9"/>
    </row>
    <row r="2" spans="1:73" ht="38.25">
      <c r="A2" s="33"/>
      <c r="B2" s="34" t="s">
        <v>12</v>
      </c>
      <c r="C2" s="35" t="s">
        <v>13</v>
      </c>
      <c r="D2" s="34" t="s">
        <v>14</v>
      </c>
      <c r="E2" s="34" t="s">
        <v>15</v>
      </c>
      <c r="F2" s="34" t="s">
        <v>16</v>
      </c>
      <c r="G2" s="36" t="s">
        <v>17</v>
      </c>
      <c r="H2" s="36" t="s">
        <v>18</v>
      </c>
      <c r="I2" s="33"/>
      <c r="J2" s="33"/>
      <c r="K2" s="37"/>
      <c r="L2" s="33" t="s">
        <v>19</v>
      </c>
      <c r="M2" s="38" t="s">
        <v>20</v>
      </c>
      <c r="N2" s="35" t="s">
        <v>21</v>
      </c>
      <c r="O2" s="39" t="s">
        <v>22</v>
      </c>
      <c r="P2" s="39" t="s">
        <v>23</v>
      </c>
      <c r="Q2" s="39" t="s">
        <v>24</v>
      </c>
      <c r="R2" s="40" t="s">
        <v>25</v>
      </c>
      <c r="S2" s="41" t="s">
        <v>26</v>
      </c>
      <c r="T2" s="39" t="s">
        <v>27</v>
      </c>
      <c r="U2" s="42" t="s">
        <v>28</v>
      </c>
      <c r="V2" s="43"/>
      <c r="W2" s="43"/>
      <c r="X2" s="43" t="s">
        <v>29</v>
      </c>
      <c r="Y2" s="43" t="s">
        <v>30</v>
      </c>
      <c r="Z2" s="44" t="s">
        <v>31</v>
      </c>
      <c r="AA2" s="45"/>
      <c r="AB2" s="46"/>
      <c r="AC2" s="33" t="s">
        <v>19</v>
      </c>
      <c r="AD2" s="38" t="s">
        <v>20</v>
      </c>
      <c r="AE2" s="47" t="s">
        <v>32</v>
      </c>
      <c r="AF2" s="48" t="s">
        <v>33</v>
      </c>
      <c r="AG2" s="49" t="s">
        <v>34</v>
      </c>
      <c r="AH2" s="50" t="s">
        <v>35</v>
      </c>
      <c r="AI2" s="51" t="s">
        <v>28</v>
      </c>
      <c r="AJ2" s="52" t="s">
        <v>30</v>
      </c>
      <c r="AK2" s="53" t="s">
        <v>36</v>
      </c>
      <c r="AL2" s="54"/>
      <c r="AM2" s="55"/>
      <c r="AN2" s="38" t="s">
        <v>19</v>
      </c>
      <c r="AO2" s="56" t="s">
        <v>20</v>
      </c>
      <c r="AP2" s="49" t="s">
        <v>37</v>
      </c>
      <c r="AQ2" s="57" t="s">
        <v>38</v>
      </c>
      <c r="AR2" s="34" t="s">
        <v>39</v>
      </c>
      <c r="AS2" s="34" t="s">
        <v>40</v>
      </c>
      <c r="AT2" s="58" t="s">
        <v>41</v>
      </c>
      <c r="AU2" s="564" t="s">
        <v>10</v>
      </c>
      <c r="AV2" s="559"/>
      <c r="AW2" s="59"/>
      <c r="AX2" s="60"/>
      <c r="AY2" s="38" t="s">
        <v>19</v>
      </c>
      <c r="AZ2" s="61" t="s">
        <v>20</v>
      </c>
      <c r="BA2" s="62" t="s">
        <v>42</v>
      </c>
      <c r="BB2" s="34" t="s">
        <v>43</v>
      </c>
      <c r="BC2" s="34" t="s">
        <v>4</v>
      </c>
      <c r="BD2" s="61" t="s">
        <v>44</v>
      </c>
      <c r="BE2" s="61" t="s">
        <v>4</v>
      </c>
      <c r="BF2" s="33"/>
      <c r="BG2" s="60"/>
      <c r="BH2" s="61" t="s">
        <v>20</v>
      </c>
      <c r="BI2" s="61" t="s">
        <v>44</v>
      </c>
      <c r="BJ2" s="63">
        <v>12.77</v>
      </c>
      <c r="BK2" s="34" t="s">
        <v>45</v>
      </c>
      <c r="BL2" s="64">
        <v>12.77</v>
      </c>
      <c r="BM2" s="34" t="s">
        <v>46</v>
      </c>
      <c r="BN2" s="65"/>
      <c r="BO2" s="65"/>
      <c r="BP2" s="54"/>
      <c r="BQ2" s="33"/>
      <c r="BR2" s="66"/>
      <c r="BS2" s="66"/>
      <c r="BT2" s="67"/>
      <c r="BU2" s="67"/>
    </row>
    <row r="3" spans="1:73" ht="12.75">
      <c r="A3" s="61" t="s">
        <v>20</v>
      </c>
      <c r="B3" s="68" t="s">
        <v>44</v>
      </c>
      <c r="C3" s="69"/>
      <c r="D3" s="70"/>
      <c r="E3" s="70"/>
      <c r="F3" s="14"/>
      <c r="G3" s="14"/>
      <c r="H3" s="71" t="s">
        <v>47</v>
      </c>
      <c r="I3" s="33"/>
      <c r="J3" s="33"/>
      <c r="K3" s="37"/>
      <c r="L3" s="14"/>
      <c r="M3" s="14"/>
      <c r="N3" s="71" t="s">
        <v>48</v>
      </c>
      <c r="O3" s="72" t="s">
        <v>49</v>
      </c>
      <c r="P3" s="72"/>
      <c r="Q3" s="72" t="s">
        <v>43</v>
      </c>
      <c r="R3" s="72" t="s">
        <v>43</v>
      </c>
      <c r="S3" s="72" t="s">
        <v>43</v>
      </c>
      <c r="T3" s="72" t="s">
        <v>43</v>
      </c>
      <c r="U3" s="72" t="s">
        <v>43</v>
      </c>
      <c r="V3" s="73" t="s">
        <v>50</v>
      </c>
      <c r="W3" s="73" t="s">
        <v>51</v>
      </c>
      <c r="X3" s="74"/>
      <c r="Y3" s="74" t="s">
        <v>52</v>
      </c>
      <c r="Z3" s="75"/>
      <c r="AA3" s="76"/>
      <c r="AB3" s="77"/>
      <c r="AC3" s="78"/>
      <c r="AD3" s="14"/>
      <c r="AE3" s="14"/>
      <c r="AF3" s="79" t="s">
        <v>53</v>
      </c>
      <c r="AG3" s="62"/>
      <c r="AH3" s="80" t="s">
        <v>53</v>
      </c>
      <c r="AI3" s="81" t="s">
        <v>32</v>
      </c>
      <c r="AJ3" s="82" t="s">
        <v>54</v>
      </c>
      <c r="AK3" s="83" t="s">
        <v>55</v>
      </c>
      <c r="AL3" s="70"/>
      <c r="AM3" s="84"/>
      <c r="AN3" s="14"/>
      <c r="AO3" s="85"/>
      <c r="AP3" s="86" t="s">
        <v>56</v>
      </c>
      <c r="AQ3" s="87" t="s">
        <v>56</v>
      </c>
      <c r="AR3" s="88"/>
      <c r="AS3" s="88"/>
      <c r="AT3" s="83" t="s">
        <v>57</v>
      </c>
      <c r="AU3" s="83" t="s">
        <v>58</v>
      </c>
      <c r="AV3" s="83" t="s">
        <v>58</v>
      </c>
      <c r="AW3" s="89"/>
      <c r="AX3" s="90"/>
      <c r="AY3" s="14"/>
      <c r="AZ3" s="14"/>
      <c r="BA3" s="14"/>
      <c r="BB3" s="61"/>
      <c r="BC3" s="61"/>
      <c r="BD3" s="14"/>
      <c r="BE3" s="27"/>
      <c r="BF3" s="61"/>
      <c r="BG3" s="90"/>
      <c r="BH3" s="14"/>
      <c r="BI3" s="91" t="s">
        <v>59</v>
      </c>
      <c r="BJ3" s="92" t="s">
        <v>50</v>
      </c>
      <c r="BK3" s="93" t="s">
        <v>60</v>
      </c>
      <c r="BL3" s="80" t="s">
        <v>50</v>
      </c>
      <c r="BM3" s="61"/>
      <c r="BN3" s="94" t="s">
        <v>45</v>
      </c>
      <c r="BO3" s="94" t="s">
        <v>61</v>
      </c>
      <c r="BP3" s="70"/>
      <c r="BQ3" s="61"/>
      <c r="BR3" s="68" t="s">
        <v>20</v>
      </c>
      <c r="BS3" s="68" t="s">
        <v>44</v>
      </c>
      <c r="BT3" s="95"/>
      <c r="BU3" s="95"/>
    </row>
    <row r="4" spans="1:73" ht="12.75">
      <c r="A4" s="88"/>
      <c r="B4" s="96"/>
      <c r="C4" s="97">
        <f>SUM(C5:C14)</f>
        <v>7379.5999999999995</v>
      </c>
      <c r="D4" s="70"/>
      <c r="E4" s="70"/>
      <c r="F4" s="98"/>
      <c r="G4" s="99">
        <f>SUM(G5:G15)</f>
        <v>5969.4599999999991</v>
      </c>
      <c r="H4" s="99">
        <f>SUM(H5:H20)</f>
        <v>7384.8999999999987</v>
      </c>
      <c r="I4" s="33"/>
      <c r="J4" s="33"/>
      <c r="K4" s="37"/>
      <c r="L4" s="33"/>
      <c r="M4" s="88"/>
      <c r="N4" s="100"/>
      <c r="O4" s="14"/>
      <c r="P4" s="14"/>
      <c r="Q4" s="14"/>
      <c r="R4" s="70"/>
      <c r="S4" s="101">
        <f>SUM(S5:S90)</f>
        <v>5969.4599999999982</v>
      </c>
      <c r="T4" s="70"/>
      <c r="U4" s="99">
        <f>SUM(U5:U90)</f>
        <v>5969.4599999999991</v>
      </c>
      <c r="V4" s="14"/>
      <c r="W4" s="102">
        <f>SUM(U5/V5)</f>
        <v>9.2659402471273147</v>
      </c>
      <c r="X4" s="103"/>
      <c r="Y4" s="103">
        <f>SUM(Y5:Y901)</f>
        <v>7384.9</v>
      </c>
      <c r="Z4" s="104">
        <f>SUM(Z5:Z901)</f>
        <v>1</v>
      </c>
      <c r="AA4" s="105"/>
      <c r="AB4" s="106"/>
      <c r="AC4" s="33"/>
      <c r="AD4" s="88"/>
      <c r="AE4" s="107"/>
      <c r="AF4" s="108"/>
      <c r="AG4" s="109"/>
      <c r="AH4" s="109"/>
      <c r="AI4" s="110">
        <f>SUM(AI5:AI901)</f>
        <v>6520.6875486215595</v>
      </c>
      <c r="AJ4" s="111"/>
      <c r="AK4" s="112"/>
      <c r="AL4" s="113"/>
      <c r="AM4" s="114"/>
      <c r="AN4" s="38"/>
      <c r="AO4" s="115"/>
      <c r="AP4" s="115"/>
      <c r="AQ4" s="116"/>
      <c r="AR4" s="117"/>
      <c r="AS4" s="117"/>
      <c r="AT4" s="118"/>
      <c r="AU4" s="118"/>
      <c r="AV4" s="119"/>
      <c r="AW4" s="120"/>
      <c r="AX4" s="121"/>
      <c r="AY4" s="38"/>
      <c r="AZ4" s="88"/>
      <c r="BA4" s="111">
        <f>BA5+BA17+BA29+BA41+BA53+BA65+BA77</f>
        <v>6416459397</v>
      </c>
      <c r="BB4" s="113"/>
      <c r="BC4" s="122"/>
      <c r="BD4" s="113"/>
      <c r="BE4" s="122">
        <f>SUM(BE5:BE90)</f>
        <v>3778.3609899907365</v>
      </c>
      <c r="BF4" s="113"/>
      <c r="BG4" s="123"/>
      <c r="BH4" s="88"/>
      <c r="BI4" s="113">
        <f>SUM(BI5:BI15)</f>
        <v>2906.4315307621059</v>
      </c>
      <c r="BJ4" s="124">
        <f>BI4/BJ2</f>
        <v>227.59839708395506</v>
      </c>
      <c r="BK4" s="113">
        <f>SUM(BK5:BK15)</f>
        <v>3778.3609899907374</v>
      </c>
      <c r="BL4" s="125">
        <f>BK4/BL2</f>
        <v>295.87791620914152</v>
      </c>
      <c r="BM4" s="113">
        <f>SUM(BK4-BI4)</f>
        <v>871.92945922863146</v>
      </c>
      <c r="BN4" s="126"/>
      <c r="BO4" s="127"/>
      <c r="BP4" s="70"/>
      <c r="BQ4" s="88"/>
      <c r="BR4" s="96"/>
      <c r="BS4" s="96"/>
      <c r="BT4" s="95"/>
      <c r="BU4" s="95"/>
    </row>
    <row r="5" spans="1:73" ht="12.75">
      <c r="A5" s="61" t="s">
        <v>62</v>
      </c>
      <c r="B5" s="96">
        <v>834.7</v>
      </c>
      <c r="C5" s="97">
        <v>834.7</v>
      </c>
      <c r="D5" s="70"/>
      <c r="E5" s="70"/>
      <c r="F5" s="98"/>
      <c r="G5" s="128">
        <f>C5</f>
        <v>834.7</v>
      </c>
      <c r="H5" s="129">
        <f>G5</f>
        <v>834.7</v>
      </c>
      <c r="I5" s="130"/>
      <c r="J5" s="57"/>
      <c r="K5" s="37"/>
      <c r="L5" s="558" t="s">
        <v>63</v>
      </c>
      <c r="M5" s="88" t="s">
        <v>62</v>
      </c>
      <c r="N5" s="131">
        <f>'NUMBERS-DM'!E4</f>
        <v>0.10300009518289299</v>
      </c>
      <c r="O5" s="131">
        <v>0.40939999999999999</v>
      </c>
      <c r="P5" s="132">
        <f t="shared" ref="P5:P15" si="0">O5-N5</f>
        <v>0.30639990481710699</v>
      </c>
      <c r="Q5" s="132">
        <f>G$5*N5</f>
        <v>85.974179449160786</v>
      </c>
      <c r="R5" s="100">
        <v>414.34</v>
      </c>
      <c r="S5" s="133">
        <f>Q5</f>
        <v>85.974179449160786</v>
      </c>
      <c r="T5" s="100">
        <f>R5</f>
        <v>414.34</v>
      </c>
      <c r="U5" s="134">
        <f>SUM(S5:S15)</f>
        <v>860.29622224453556</v>
      </c>
      <c r="V5" s="135">
        <v>92.844999999999999</v>
      </c>
      <c r="W5" s="14"/>
      <c r="X5" s="104">
        <f>U5/U$4</f>
        <v>0.14411625544765116</v>
      </c>
      <c r="Y5" s="68">
        <v>1469.18</v>
      </c>
      <c r="Z5" s="136">
        <f>BA5/BA$4</f>
        <v>0.20430253024166375</v>
      </c>
      <c r="AA5" s="105"/>
      <c r="AB5" s="106"/>
      <c r="AC5" s="558" t="s">
        <v>63</v>
      </c>
      <c r="AD5" s="88" t="s">
        <v>62</v>
      </c>
      <c r="AE5" s="107">
        <f t="shared" ref="AE5:AE15" si="1">SUM(Q5*1000000)/BA5*1000</f>
        <v>65.584142381233377</v>
      </c>
      <c r="AF5" s="108">
        <v>316.07319463059423</v>
      </c>
      <c r="AG5" s="122">
        <f>AE5</f>
        <v>65.584142381233377</v>
      </c>
      <c r="AH5" s="109">
        <v>316.07319463059423</v>
      </c>
      <c r="AI5" s="110">
        <f>SUM(AG5:AG15)</f>
        <v>656.26436089554977</v>
      </c>
      <c r="AJ5" s="111">
        <v>1120.7424243070341</v>
      </c>
      <c r="AK5" s="137">
        <f>AI5/20</f>
        <v>32.813218044777486</v>
      </c>
      <c r="AL5" s="113"/>
      <c r="AM5" s="114"/>
      <c r="AN5" s="560" t="s">
        <v>63</v>
      </c>
      <c r="AO5" s="138" t="s">
        <v>64</v>
      </c>
      <c r="AP5" s="115">
        <v>18.25</v>
      </c>
      <c r="AQ5" s="116">
        <f>SUM(AP5:AP14)</f>
        <v>452.96500000000003</v>
      </c>
      <c r="AR5" s="117">
        <f>AG5-AP5</f>
        <v>47.334142381233377</v>
      </c>
      <c r="AS5" s="139">
        <f>AR5/AP5</f>
        <v>2.5936516373278562</v>
      </c>
      <c r="AT5" s="118">
        <f>SQRT(AS5)*10</f>
        <v>16.104818028552373</v>
      </c>
      <c r="AU5" s="118">
        <v>297.82319463059423</v>
      </c>
      <c r="AV5" s="119">
        <v>16.319079157840779</v>
      </c>
      <c r="AW5" s="120"/>
      <c r="AX5" s="121"/>
      <c r="AY5" s="560" t="s">
        <v>63</v>
      </c>
      <c r="AZ5" s="88" t="s">
        <v>62</v>
      </c>
      <c r="BA5" s="111">
        <v>1310898890</v>
      </c>
      <c r="BB5" s="113">
        <f>(AP5*BA5)/1000000000</f>
        <v>23.9239047425</v>
      </c>
      <c r="BC5" s="122">
        <f>SUM(BB5:BB14)</f>
        <v>593.79131570884999</v>
      </c>
      <c r="BD5" s="113">
        <f>BB5*1.3</f>
        <v>31.101076165249999</v>
      </c>
      <c r="BE5" s="122">
        <f>SUM(BD5:BD15)</f>
        <v>771.928710421505</v>
      </c>
      <c r="BF5" s="113"/>
      <c r="BG5" s="123"/>
      <c r="BH5" s="88" t="s">
        <v>62</v>
      </c>
      <c r="BI5" s="113">
        <f>BB5+BB17+BB29+BB41+BB53+BB65+BB77</f>
        <v>117.10038399525</v>
      </c>
      <c r="BJ5" s="140">
        <f t="shared" ref="BJ5:BJ11" si="2">BI5/$BJ$2</f>
        <v>9.1699595924236501</v>
      </c>
      <c r="BK5" s="113">
        <f>SUM(BD5+BD17+BD29+BD41+BD53+BD65+BD77)</f>
        <v>152.23049919382498</v>
      </c>
      <c r="BL5" s="111">
        <f t="shared" ref="BL5:BL11" si="3">BK5/$BJ$2</f>
        <v>11.920947470150743</v>
      </c>
      <c r="BM5" s="113"/>
      <c r="BN5" s="126">
        <v>682.46950080617512</v>
      </c>
      <c r="BO5" s="127">
        <v>0.81830875396423874</v>
      </c>
      <c r="BP5" s="70"/>
      <c r="BQ5" s="88"/>
      <c r="BR5" s="96" t="s">
        <v>62</v>
      </c>
      <c r="BS5" s="96">
        <v>834</v>
      </c>
      <c r="BT5" s="95"/>
      <c r="BU5" s="95"/>
    </row>
    <row r="6" spans="1:73" ht="12.75">
      <c r="A6" s="141" t="s">
        <v>65</v>
      </c>
      <c r="B6" s="96">
        <v>2667</v>
      </c>
      <c r="C6" s="97">
        <v>2667</v>
      </c>
      <c r="D6" s="142">
        <v>0.41</v>
      </c>
      <c r="E6" s="142">
        <v>0.11</v>
      </c>
      <c r="F6" s="143">
        <f>SUM(D6:E6)</f>
        <v>0.52</v>
      </c>
      <c r="G6" s="128">
        <f>C6*(100%-F6)</f>
        <v>1280.1599999999999</v>
      </c>
      <c r="H6" s="129">
        <f>G6</f>
        <v>1280.1599999999999</v>
      </c>
      <c r="I6" s="33"/>
      <c r="J6" s="33"/>
      <c r="K6" s="37"/>
      <c r="L6" s="559"/>
      <c r="M6" s="70" t="s">
        <v>65</v>
      </c>
      <c r="N6" s="131">
        <f>'NUMBERS-DM'!E6</f>
        <v>0.20930583341857981</v>
      </c>
      <c r="O6" s="131">
        <v>0.20930000000000001</v>
      </c>
      <c r="P6" s="132">
        <f t="shared" si="0"/>
        <v>-5.8334185797925819E-6</v>
      </c>
      <c r="Q6" s="132">
        <f>G$6*N6</f>
        <v>267.94495570912909</v>
      </c>
      <c r="R6" s="100">
        <v>558.22</v>
      </c>
      <c r="S6" s="133">
        <f>Q6</f>
        <v>267.94495570912909</v>
      </c>
      <c r="T6" s="100">
        <f>R6</f>
        <v>558.22</v>
      </c>
      <c r="U6" s="134"/>
      <c r="V6" s="68"/>
      <c r="W6" s="68"/>
      <c r="X6" s="68"/>
      <c r="Y6" s="68"/>
      <c r="Z6" s="96"/>
      <c r="AA6" s="144"/>
      <c r="AB6" s="145"/>
      <c r="AC6" s="559"/>
      <c r="AD6" s="70" t="s">
        <v>65</v>
      </c>
      <c r="AE6" s="107">
        <f t="shared" si="1"/>
        <v>204.39788129588629</v>
      </c>
      <c r="AF6" s="108">
        <v>425.82994329944091</v>
      </c>
      <c r="AG6" s="122">
        <f>AE6</f>
        <v>204.39788129588629</v>
      </c>
      <c r="AH6" s="109">
        <v>425.82994329944091</v>
      </c>
      <c r="AI6" s="110"/>
      <c r="AJ6" s="111"/>
      <c r="AK6" s="112"/>
      <c r="AL6" s="113"/>
      <c r="AM6" s="114"/>
      <c r="AN6" s="559"/>
      <c r="AO6" s="146" t="s">
        <v>65</v>
      </c>
      <c r="AP6" s="115">
        <v>84.68</v>
      </c>
      <c r="AQ6" s="147"/>
      <c r="AR6" s="117">
        <f>AG6-AP6</f>
        <v>119.71788129588629</v>
      </c>
      <c r="AS6" s="139">
        <f>AR6/AP6</f>
        <v>1.4137680833241175</v>
      </c>
      <c r="AT6" s="118">
        <f>SQRT(AS6)*10</f>
        <v>11.890197993827174</v>
      </c>
      <c r="AU6" s="118">
        <v>341.14994329944091</v>
      </c>
      <c r="AV6" s="119">
        <v>4.0286955987180075</v>
      </c>
      <c r="AW6" s="120"/>
      <c r="AX6" s="121"/>
      <c r="AY6" s="559"/>
      <c r="AZ6" s="70" t="s">
        <v>65</v>
      </c>
      <c r="BA6" s="111">
        <v>1310898890</v>
      </c>
      <c r="BB6" s="113">
        <f>(AP6*BA6)/1000000000</f>
        <v>111.00691800520001</v>
      </c>
      <c r="BC6" s="122"/>
      <c r="BD6" s="113">
        <f>BB6*1.3</f>
        <v>144.30899340676001</v>
      </c>
      <c r="BE6" s="141"/>
      <c r="BF6" s="70"/>
      <c r="BG6" s="148"/>
      <c r="BH6" s="70" t="s">
        <v>65</v>
      </c>
      <c r="BI6" s="113">
        <f>BB6+BB18+BB30+BB42+BB54+BB66+BB78</f>
        <v>543.34578173796012</v>
      </c>
      <c r="BJ6" s="140">
        <f t="shared" si="2"/>
        <v>42.548612508845743</v>
      </c>
      <c r="BK6" s="113">
        <f>SUM(BD6+BD18+BD30+BD42+BD54+BD66+BD78)</f>
        <v>706.34951625934821</v>
      </c>
      <c r="BL6" s="111">
        <f t="shared" si="3"/>
        <v>55.313196261499471</v>
      </c>
      <c r="BM6" s="113"/>
      <c r="BN6" s="126">
        <v>1960.6504837406519</v>
      </c>
      <c r="BO6" s="127">
        <v>0.73515203739806967</v>
      </c>
      <c r="BP6" s="70"/>
      <c r="BQ6" s="70"/>
      <c r="BR6" s="95" t="s">
        <v>65</v>
      </c>
      <c r="BS6" s="96">
        <v>2667</v>
      </c>
      <c r="BT6" s="95"/>
      <c r="BU6" s="95"/>
    </row>
    <row r="7" spans="1:73" ht="12.75">
      <c r="A7" s="149" t="s">
        <v>66</v>
      </c>
      <c r="B7" s="96">
        <v>1130</v>
      </c>
      <c r="C7" s="97">
        <v>2013</v>
      </c>
      <c r="D7" s="70"/>
      <c r="E7" s="70"/>
      <c r="F7" s="98"/>
      <c r="G7" s="98">
        <f>B7</f>
        <v>1130</v>
      </c>
      <c r="H7" s="33">
        <f>G7+G8</f>
        <v>2013</v>
      </c>
      <c r="I7" s="33"/>
      <c r="J7" s="33"/>
      <c r="K7" s="37"/>
      <c r="L7" s="559"/>
      <c r="M7" s="88" t="s">
        <v>66</v>
      </c>
      <c r="N7" s="150">
        <f>'NUMBERS-DM'!E8</f>
        <v>0.10141960449665804</v>
      </c>
      <c r="O7" s="150">
        <v>0.1014</v>
      </c>
      <c r="P7" s="132">
        <f t="shared" si="0"/>
        <v>-1.9604496658040538E-5</v>
      </c>
      <c r="Q7" s="132">
        <f>G$7*N7</f>
        <v>114.60415308122359</v>
      </c>
      <c r="R7" s="100">
        <v>114.6</v>
      </c>
      <c r="S7" s="133">
        <f>Q7+Q8</f>
        <v>236.48929168134336</v>
      </c>
      <c r="T7" s="100">
        <f>R7+R8</f>
        <v>236.49</v>
      </c>
      <c r="U7" s="134"/>
      <c r="V7" s="68"/>
      <c r="W7" s="68"/>
      <c r="X7" s="68"/>
      <c r="Y7" s="68"/>
      <c r="Z7" s="96"/>
      <c r="AA7" s="144"/>
      <c r="AB7" s="145"/>
      <c r="AC7" s="559"/>
      <c r="AD7" s="88" t="s">
        <v>66</v>
      </c>
      <c r="AE7" s="107">
        <f t="shared" si="1"/>
        <v>87.424098041019477</v>
      </c>
      <c r="AF7" s="108">
        <v>87.420929923893667</v>
      </c>
      <c r="AG7" s="122">
        <f>AE7+AE8</f>
        <v>180.40238914333307</v>
      </c>
      <c r="AH7" s="109">
        <v>180.40292947383608</v>
      </c>
      <c r="AI7" s="110"/>
      <c r="AJ7" s="111"/>
      <c r="AK7" s="95"/>
      <c r="AL7" s="70"/>
      <c r="AM7" s="84"/>
      <c r="AN7" s="559"/>
      <c r="AO7" s="115" t="s">
        <v>66</v>
      </c>
      <c r="AP7" s="115">
        <v>182.5</v>
      </c>
      <c r="AQ7" s="147"/>
      <c r="AR7" s="117">
        <f>AG7-AP7</f>
        <v>-2.0976108566669325</v>
      </c>
      <c r="AS7" s="139">
        <f>AR7/AP7</f>
        <v>-1.1493758118722918E-2</v>
      </c>
      <c r="AT7" s="118">
        <f>SQRT(-AS7)*10</f>
        <v>1.0720894607598246</v>
      </c>
      <c r="AU7" s="118">
        <v>-2.0970705261639182</v>
      </c>
      <c r="AV7" s="119">
        <v>-1.1490797403637908E-2</v>
      </c>
      <c r="AW7" s="120"/>
      <c r="AX7" s="121"/>
      <c r="AY7" s="559"/>
      <c r="AZ7" s="88" t="s">
        <v>66</v>
      </c>
      <c r="BA7" s="111">
        <v>1310898890</v>
      </c>
      <c r="BB7" s="113">
        <f>(AP7*BA7)/1000000000</f>
        <v>239.239047425</v>
      </c>
      <c r="BC7" s="122"/>
      <c r="BD7" s="113">
        <f>BB7*1.3</f>
        <v>311.01076165249998</v>
      </c>
      <c r="BE7" s="141"/>
      <c r="BF7" s="70"/>
      <c r="BG7" s="148"/>
      <c r="BH7" s="151" t="s">
        <v>66</v>
      </c>
      <c r="BI7" s="113">
        <f>BB7+BB19+BB31+BB43+BB55+BB67+BB79</f>
        <v>1171.0038399525001</v>
      </c>
      <c r="BJ7" s="140">
        <f t="shared" si="2"/>
        <v>91.699595924236505</v>
      </c>
      <c r="BK7" s="113">
        <f>SUM(BD7+BD19+BD31+BD43+BD55+BD67+BD79)</f>
        <v>1522.3049919382502</v>
      </c>
      <c r="BL7" s="111">
        <f t="shared" si="3"/>
        <v>119.20947470150746</v>
      </c>
      <c r="BM7" s="113"/>
      <c r="BN7" s="126">
        <v>490.69500806175029</v>
      </c>
      <c r="BO7" s="127">
        <v>0.31254459112213395</v>
      </c>
      <c r="BP7" s="70"/>
      <c r="BQ7" s="88"/>
      <c r="BR7" s="152" t="s">
        <v>66</v>
      </c>
      <c r="BS7" s="96">
        <v>1570</v>
      </c>
      <c r="BT7" s="95"/>
      <c r="BU7" s="95"/>
    </row>
    <row r="8" spans="1:73" ht="12.75">
      <c r="A8" s="149" t="s">
        <v>67</v>
      </c>
      <c r="B8" s="96">
        <v>883</v>
      </c>
      <c r="C8" s="97"/>
      <c r="D8" s="70"/>
      <c r="E8" s="70"/>
      <c r="F8" s="98"/>
      <c r="G8" s="98">
        <f>B8</f>
        <v>883</v>
      </c>
      <c r="H8" s="33"/>
      <c r="I8" s="33"/>
      <c r="J8" s="33"/>
      <c r="K8" s="37"/>
      <c r="L8" s="559"/>
      <c r="M8" s="88" t="s">
        <v>67</v>
      </c>
      <c r="N8" s="150">
        <f>'NUMBERS-DM'!E10</f>
        <v>0.13803526455279702</v>
      </c>
      <c r="O8" s="150">
        <v>0.13800000000000001</v>
      </c>
      <c r="P8" s="132">
        <f t="shared" si="0"/>
        <v>-3.5264552797009685E-5</v>
      </c>
      <c r="Q8" s="132">
        <f>G$8*N8</f>
        <v>121.88513860011977</v>
      </c>
      <c r="R8" s="100">
        <v>121.89</v>
      </c>
      <c r="S8" s="133"/>
      <c r="T8" s="100"/>
      <c r="U8" s="134"/>
      <c r="V8" s="68"/>
      <c r="W8" s="68"/>
      <c r="X8" s="68"/>
      <c r="Y8" s="68"/>
      <c r="Z8" s="96"/>
      <c r="AA8" s="144"/>
      <c r="AB8" s="145"/>
      <c r="AC8" s="559"/>
      <c r="AD8" s="88" t="s">
        <v>67</v>
      </c>
      <c r="AE8" s="107">
        <f t="shared" si="1"/>
        <v>92.978291102313591</v>
      </c>
      <c r="AF8" s="108">
        <v>92.981999549942401</v>
      </c>
      <c r="AG8" s="61"/>
      <c r="AH8" s="109"/>
      <c r="AI8" s="110"/>
      <c r="AJ8" s="111"/>
      <c r="AK8" s="95"/>
      <c r="AL8" s="70"/>
      <c r="AM8" s="84"/>
      <c r="AN8" s="559"/>
      <c r="AO8" s="115" t="s">
        <v>67</v>
      </c>
      <c r="AP8" s="115"/>
      <c r="AQ8" s="147"/>
      <c r="AR8" s="117"/>
      <c r="AS8" s="139"/>
      <c r="AT8" s="118"/>
      <c r="AU8" s="118">
        <v>0</v>
      </c>
      <c r="AV8" s="119"/>
      <c r="AW8" s="120"/>
      <c r="AX8" s="121"/>
      <c r="AY8" s="559"/>
      <c r="AZ8" s="88" t="s">
        <v>67</v>
      </c>
      <c r="BA8" s="111">
        <v>1310898890</v>
      </c>
      <c r="BB8" s="113"/>
      <c r="BC8" s="122"/>
      <c r="BD8" s="113"/>
      <c r="BE8" s="141"/>
      <c r="BF8" s="70"/>
      <c r="BG8" s="148"/>
      <c r="BH8" s="151" t="s">
        <v>67</v>
      </c>
      <c r="BI8" s="113">
        <v>0</v>
      </c>
      <c r="BJ8" s="140">
        <f t="shared" si="2"/>
        <v>0</v>
      </c>
      <c r="BK8" s="113"/>
      <c r="BL8" s="111">
        <f t="shared" si="3"/>
        <v>0</v>
      </c>
      <c r="BM8" s="113"/>
      <c r="BN8" s="126">
        <v>0</v>
      </c>
      <c r="BO8" s="127"/>
      <c r="BP8" s="70"/>
      <c r="BQ8" s="88"/>
      <c r="BR8" s="152" t="s">
        <v>67</v>
      </c>
      <c r="BS8" s="96"/>
      <c r="BT8" s="95"/>
      <c r="BU8" s="95"/>
    </row>
    <row r="9" spans="1:73" ht="12.75">
      <c r="A9" s="141" t="s">
        <v>68</v>
      </c>
      <c r="B9" s="96">
        <v>841</v>
      </c>
      <c r="C9" s="97">
        <v>841</v>
      </c>
      <c r="D9" s="70"/>
      <c r="E9" s="70"/>
      <c r="F9" s="98"/>
      <c r="G9" s="98">
        <f>C9*(100%-F9)</f>
        <v>841</v>
      </c>
      <c r="H9" s="33">
        <f>G9</f>
        <v>841</v>
      </c>
      <c r="I9" s="33"/>
      <c r="J9" s="33"/>
      <c r="K9" s="37"/>
      <c r="L9" s="559"/>
      <c r="M9" s="70" t="s">
        <v>68</v>
      </c>
      <c r="N9" s="150">
        <f>'NUMBERS-DM'!E12</f>
        <v>0.14953652986190472</v>
      </c>
      <c r="O9" s="150">
        <v>0.12809999999999999</v>
      </c>
      <c r="P9" s="132">
        <f t="shared" si="0"/>
        <v>-2.1436529861904724E-2</v>
      </c>
      <c r="Q9" s="132">
        <f>G$9*N9</f>
        <v>125.76022161386187</v>
      </c>
      <c r="R9" s="100">
        <v>107.74</v>
      </c>
      <c r="S9" s="133">
        <f>Q9</f>
        <v>125.76022161386187</v>
      </c>
      <c r="T9" s="100">
        <f>R9</f>
        <v>107.74</v>
      </c>
      <c r="U9" s="134"/>
      <c r="V9" s="68"/>
      <c r="W9" s="68"/>
      <c r="X9" s="68"/>
      <c r="Y9" s="68"/>
      <c r="Z9" s="96"/>
      <c r="AA9" s="144"/>
      <c r="AB9" s="145"/>
      <c r="AC9" s="559"/>
      <c r="AD9" s="70" t="s">
        <v>68</v>
      </c>
      <c r="AE9" s="107">
        <f t="shared" si="1"/>
        <v>95.934341369273625</v>
      </c>
      <c r="AF9" s="108">
        <v>82.187879493894442</v>
      </c>
      <c r="AG9" s="122">
        <f>AE9</f>
        <v>95.934341369273625</v>
      </c>
      <c r="AH9" s="109">
        <v>82.187879493894442</v>
      </c>
      <c r="AI9" s="110"/>
      <c r="AJ9" s="111"/>
      <c r="AK9" s="95"/>
      <c r="AL9" s="70"/>
      <c r="AM9" s="84"/>
      <c r="AN9" s="559"/>
      <c r="AO9" s="146" t="s">
        <v>68</v>
      </c>
      <c r="AP9" s="115">
        <v>91.25</v>
      </c>
      <c r="AQ9" s="147"/>
      <c r="AR9" s="117">
        <f>AG9-AP9</f>
        <v>4.6843413692736249</v>
      </c>
      <c r="AS9" s="139">
        <f>AR9/AP9</f>
        <v>5.1335247882450682E-2</v>
      </c>
      <c r="AT9" s="118" t="e">
        <f>SQRT(-AS9)*10</f>
        <v>#NUM!</v>
      </c>
      <c r="AU9" s="118">
        <v>-9.0621205061055576</v>
      </c>
      <c r="AV9" s="119">
        <v>-9.931090965595131E-2</v>
      </c>
      <c r="AW9" s="120"/>
      <c r="AX9" s="121"/>
      <c r="AY9" s="559"/>
      <c r="AZ9" s="70" t="s">
        <v>68</v>
      </c>
      <c r="BA9" s="111">
        <v>1310898890</v>
      </c>
      <c r="BB9" s="113">
        <f>(AP9*BA9)/1000000000</f>
        <v>119.6195237125</v>
      </c>
      <c r="BC9" s="122"/>
      <c r="BD9" s="113">
        <f>BB9*1.3</f>
        <v>155.50538082624999</v>
      </c>
      <c r="BE9" s="141"/>
      <c r="BF9" s="70"/>
      <c r="BG9" s="148"/>
      <c r="BH9" s="70" t="s">
        <v>68</v>
      </c>
      <c r="BI9" s="113">
        <f>BB9+BB21+BB33+BB45+BB57+BB69+BB81</f>
        <v>585.50191997625006</v>
      </c>
      <c r="BJ9" s="140">
        <f t="shared" si="2"/>
        <v>45.849797962118252</v>
      </c>
      <c r="BK9" s="113">
        <f>SUM(BD9+BD21+BD33+BD45+BD57+BD69+BD81)</f>
        <v>761.15249596912508</v>
      </c>
      <c r="BL9" s="111">
        <f t="shared" si="3"/>
        <v>59.60473735075373</v>
      </c>
      <c r="BM9" s="113"/>
      <c r="BN9" s="126">
        <v>79.847504030875143</v>
      </c>
      <c r="BO9" s="127">
        <v>9.4943524412455585E-2</v>
      </c>
      <c r="BP9" s="70"/>
      <c r="BQ9" s="70"/>
      <c r="BR9" s="95" t="s">
        <v>68</v>
      </c>
      <c r="BS9" s="96">
        <v>841</v>
      </c>
      <c r="BT9" s="95"/>
      <c r="BU9" s="95"/>
    </row>
    <row r="10" spans="1:73" ht="12.75">
      <c r="A10" s="93" t="s">
        <v>69</v>
      </c>
      <c r="B10" s="96">
        <v>212</v>
      </c>
      <c r="C10" s="97">
        <v>212</v>
      </c>
      <c r="D10" s="88"/>
      <c r="E10" s="88"/>
      <c r="F10" s="98"/>
      <c r="G10" s="98">
        <f>B10</f>
        <v>212</v>
      </c>
      <c r="H10" s="33">
        <f>G10</f>
        <v>212</v>
      </c>
      <c r="I10" s="33"/>
      <c r="J10" s="33"/>
      <c r="K10" s="37"/>
      <c r="L10" s="559"/>
      <c r="M10" s="153" t="s">
        <v>69</v>
      </c>
      <c r="N10" s="150">
        <f>'NUMBERS-DM'!E14</f>
        <v>2.2612480540453422E-2</v>
      </c>
      <c r="O10" s="150">
        <v>2.2599999999999999E-2</v>
      </c>
      <c r="P10" s="132">
        <f t="shared" si="0"/>
        <v>-1.2480540453423811E-5</v>
      </c>
      <c r="Q10" s="132">
        <f>G$10*N10</f>
        <v>4.7938458745761254</v>
      </c>
      <c r="R10" s="100">
        <v>4.79</v>
      </c>
      <c r="S10" s="133">
        <f>Q10</f>
        <v>4.7938458745761254</v>
      </c>
      <c r="T10" s="100">
        <f>R10</f>
        <v>4.79</v>
      </c>
      <c r="U10" s="134"/>
      <c r="V10" s="68"/>
      <c r="W10" s="68"/>
      <c r="X10" s="68"/>
      <c r="Y10" s="68"/>
      <c r="Z10" s="96"/>
      <c r="AA10" s="144"/>
      <c r="AB10" s="145"/>
      <c r="AC10" s="559"/>
      <c r="AD10" s="88" t="s">
        <v>70</v>
      </c>
      <c r="AE10" s="107">
        <f t="shared" si="1"/>
        <v>3.6569150459621835</v>
      </c>
      <c r="AF10" s="108">
        <v>3.6539812769236533</v>
      </c>
      <c r="AG10" s="122">
        <f>AE10</f>
        <v>3.6569150459621835</v>
      </c>
      <c r="AH10" s="109">
        <v>3.6539812769236533</v>
      </c>
      <c r="AI10" s="110"/>
      <c r="AJ10" s="111"/>
      <c r="AK10" s="96"/>
      <c r="AL10" s="88"/>
      <c r="AM10" s="154"/>
      <c r="AN10" s="559"/>
      <c r="AO10" s="115" t="s">
        <v>70</v>
      </c>
      <c r="AP10" s="115">
        <v>5.1100000000000003</v>
      </c>
      <c r="AQ10" s="147"/>
      <c r="AR10" s="117">
        <f>AG10-AP10</f>
        <v>-1.4530849540378168</v>
      </c>
      <c r="AS10" s="139">
        <f>AR10/AP10</f>
        <v>-0.28436104775691129</v>
      </c>
      <c r="AT10" s="118">
        <f>SQRT(-AS10)*10</f>
        <v>5.3325514320718117</v>
      </c>
      <c r="AU10" s="118">
        <v>-1.4560187230763471</v>
      </c>
      <c r="AV10" s="119">
        <v>-0.284935170856428</v>
      </c>
      <c r="AW10" s="120"/>
      <c r="AX10" s="121"/>
      <c r="AY10" s="559"/>
      <c r="AZ10" s="88" t="s">
        <v>70</v>
      </c>
      <c r="BA10" s="111">
        <v>1310898890</v>
      </c>
      <c r="BB10" s="113">
        <f>(AP10*BA10)/1000000000</f>
        <v>6.6986933279000009</v>
      </c>
      <c r="BC10" s="122"/>
      <c r="BD10" s="113">
        <f>BB10*1.3</f>
        <v>8.7083013262700018</v>
      </c>
      <c r="BE10" s="61"/>
      <c r="BF10" s="88"/>
      <c r="BG10" s="155"/>
      <c r="BH10" s="88" t="s">
        <v>70</v>
      </c>
      <c r="BI10" s="113">
        <f>BB10+BB22+BB34+BB46+BB58+BB70+BB82</f>
        <v>32.788107518670003</v>
      </c>
      <c r="BJ10" s="156">
        <f t="shared" si="2"/>
        <v>2.5675886858786221</v>
      </c>
      <c r="BK10" s="113">
        <f>SUM(BD10+BD22+BD34+BD46+BD58+BD70+BD82)</f>
        <v>42.624539774271007</v>
      </c>
      <c r="BL10" s="157">
        <f t="shared" si="3"/>
        <v>3.3378652916422089</v>
      </c>
      <c r="BM10" s="113"/>
      <c r="BN10" s="126">
        <v>169.375460225729</v>
      </c>
      <c r="BO10" s="127">
        <v>0.79894085012136318</v>
      </c>
      <c r="BP10" s="88"/>
      <c r="BQ10" s="88"/>
      <c r="BR10" s="96" t="s">
        <v>70</v>
      </c>
      <c r="BS10" s="96">
        <v>212</v>
      </c>
      <c r="BT10" s="96"/>
      <c r="BU10" s="96"/>
    </row>
    <row r="11" spans="1:73" ht="12.75">
      <c r="A11" s="149" t="s">
        <v>71</v>
      </c>
      <c r="B11" s="96">
        <v>134</v>
      </c>
      <c r="C11" s="97">
        <v>371.9</v>
      </c>
      <c r="D11" s="70"/>
      <c r="E11" s="70"/>
      <c r="F11" s="98"/>
      <c r="G11" s="98">
        <f>B11</f>
        <v>134</v>
      </c>
      <c r="H11" s="129">
        <f>G11+G12+G13</f>
        <v>371.9</v>
      </c>
      <c r="I11" s="33"/>
      <c r="J11" s="33"/>
      <c r="K11" s="37"/>
      <c r="L11" s="559"/>
      <c r="M11" s="88" t="s">
        <v>71</v>
      </c>
      <c r="N11" s="150">
        <f>'NUMBERS-DM'!E16</f>
        <v>3.345827036240278E-2</v>
      </c>
      <c r="O11" s="150">
        <v>3.3500000000000002E-2</v>
      </c>
      <c r="P11" s="132">
        <f t="shared" si="0"/>
        <v>4.1729637597222313E-5</v>
      </c>
      <c r="Q11" s="132">
        <f>G$11*N11</f>
        <v>4.4834082285619727</v>
      </c>
      <c r="R11" s="100">
        <v>4.4800000000000004</v>
      </c>
      <c r="S11" s="133">
        <f>Q11+Q13+Q12</f>
        <v>19.725860707303717</v>
      </c>
      <c r="T11" s="100">
        <f>R11+R12+R13</f>
        <v>19.720000000000002</v>
      </c>
      <c r="U11" s="134"/>
      <c r="V11" s="68"/>
      <c r="W11" s="68"/>
      <c r="X11" s="68"/>
      <c r="Y11" s="68"/>
      <c r="Z11" s="96"/>
      <c r="AA11" s="144"/>
      <c r="AB11" s="145"/>
      <c r="AC11" s="559"/>
      <c r="AD11" s="88" t="s">
        <v>71</v>
      </c>
      <c r="AE11" s="107">
        <f t="shared" si="1"/>
        <v>3.4201022388248212</v>
      </c>
      <c r="AF11" s="108">
        <v>3.4175023216321438</v>
      </c>
      <c r="AG11" s="122">
        <f>AE11+AE13+AE12</f>
        <v>15.047583652545253</v>
      </c>
      <c r="AH11" s="109">
        <v>15.043112897898633</v>
      </c>
      <c r="AI11" s="110"/>
      <c r="AJ11" s="111"/>
      <c r="AK11" s="95"/>
      <c r="AL11" s="70"/>
      <c r="AM11" s="84"/>
      <c r="AN11" s="559"/>
      <c r="AO11" s="115" t="s">
        <v>71</v>
      </c>
      <c r="AP11" s="115">
        <v>25.55</v>
      </c>
      <c r="AQ11" s="147"/>
      <c r="AR11" s="117">
        <f>AG11-AP11</f>
        <v>-10.502416347454748</v>
      </c>
      <c r="AS11" s="139">
        <f>AR11/AP11</f>
        <v>-0.41105347739548914</v>
      </c>
      <c r="AT11" s="118">
        <f>SQRT(-AS11)*10</f>
        <v>6.4113452363407255</v>
      </c>
      <c r="AU11" s="118">
        <v>-10.506887102101368</v>
      </c>
      <c r="AV11" s="119">
        <v>-0.41122845800788133</v>
      </c>
      <c r="AW11" s="120"/>
      <c r="AX11" s="121"/>
      <c r="AY11" s="559"/>
      <c r="AZ11" s="88" t="s">
        <v>71</v>
      </c>
      <c r="BA11" s="111">
        <v>1310898890</v>
      </c>
      <c r="BB11" s="113">
        <f>(AP11*BA11)/1000000000</f>
        <v>33.493466639499999</v>
      </c>
      <c r="BC11" s="122"/>
      <c r="BD11" s="113">
        <f>BB11*1.3</f>
        <v>43.541506631350003</v>
      </c>
      <c r="BE11" s="141"/>
      <c r="BF11" s="70"/>
      <c r="BG11" s="148"/>
      <c r="BH11" s="151" t="s">
        <v>71</v>
      </c>
      <c r="BI11" s="113">
        <f>BB11+BB23+BB35+BB47+BB59+BB71+BB83</f>
        <v>163.94053759335</v>
      </c>
      <c r="BJ11" s="140">
        <f t="shared" si="2"/>
        <v>12.837943429393109</v>
      </c>
      <c r="BK11" s="113">
        <f>SUM(BD11+BD23+BD35+BD47+BD59+BD71+BD83)</f>
        <v>213.122698871355</v>
      </c>
      <c r="BL11" s="111">
        <f t="shared" si="3"/>
        <v>16.689326458211042</v>
      </c>
      <c r="BM11" s="113"/>
      <c r="BN11" s="126">
        <v>158.77730112864498</v>
      </c>
      <c r="BO11" s="127">
        <v>1.1849052323033207</v>
      </c>
      <c r="BP11" s="70"/>
      <c r="BQ11" s="88"/>
      <c r="BR11" s="152" t="s">
        <v>71</v>
      </c>
      <c r="BS11" s="96">
        <v>134</v>
      </c>
      <c r="BT11" s="95"/>
      <c r="BU11" s="95"/>
    </row>
    <row r="12" spans="1:73" ht="12.75">
      <c r="A12" s="149" t="s">
        <v>72</v>
      </c>
      <c r="B12" s="96">
        <v>155</v>
      </c>
      <c r="C12" s="97"/>
      <c r="D12" s="70"/>
      <c r="E12" s="70"/>
      <c r="F12" s="98"/>
      <c r="G12" s="98">
        <f>B12</f>
        <v>155</v>
      </c>
      <c r="H12" s="33"/>
      <c r="I12" s="33"/>
      <c r="J12" s="33"/>
      <c r="K12" s="37"/>
      <c r="L12" s="559"/>
      <c r="M12" s="88" t="s">
        <v>72</v>
      </c>
      <c r="N12" s="150">
        <f>'NUMBERS-DM'!E18</f>
        <v>6.4269978300628999E-2</v>
      </c>
      <c r="O12" s="150">
        <v>6.4299999999999996E-2</v>
      </c>
      <c r="P12" s="132">
        <f t="shared" si="0"/>
        <v>3.0021699370996746E-5</v>
      </c>
      <c r="Q12" s="132">
        <f>G$12*N12</f>
        <v>9.9618466365974943</v>
      </c>
      <c r="R12" s="100">
        <v>9.9600000000000009</v>
      </c>
      <c r="S12" s="133"/>
      <c r="T12" s="100"/>
      <c r="U12" s="134"/>
      <c r="V12" s="68"/>
      <c r="W12" s="68"/>
      <c r="X12" s="68"/>
      <c r="Y12" s="68"/>
      <c r="Z12" s="96"/>
      <c r="AA12" s="144"/>
      <c r="AB12" s="145"/>
      <c r="AC12" s="559"/>
      <c r="AD12" s="88" t="s">
        <v>72</v>
      </c>
      <c r="AE12" s="107">
        <f t="shared" si="1"/>
        <v>7.5992486625703783</v>
      </c>
      <c r="AF12" s="108">
        <v>7.5978399829143193</v>
      </c>
      <c r="AG12" s="61"/>
      <c r="AH12" s="109"/>
      <c r="AI12" s="110"/>
      <c r="AJ12" s="111"/>
      <c r="AK12" s="95"/>
      <c r="AL12" s="70"/>
      <c r="AM12" s="84"/>
      <c r="AN12" s="559"/>
      <c r="AO12" s="115" t="s">
        <v>72</v>
      </c>
      <c r="AP12" s="115"/>
      <c r="AQ12" s="147"/>
      <c r="AR12" s="117"/>
      <c r="AS12" s="117"/>
      <c r="AT12" s="118"/>
      <c r="AU12" s="118">
        <v>0</v>
      </c>
      <c r="AV12" s="119"/>
      <c r="AW12" s="120"/>
      <c r="AX12" s="121"/>
      <c r="AY12" s="559"/>
      <c r="AZ12" s="88" t="s">
        <v>72</v>
      </c>
      <c r="BA12" s="111">
        <v>1310898890</v>
      </c>
      <c r="BB12" s="113"/>
      <c r="BC12" s="122"/>
      <c r="BD12" s="113"/>
      <c r="BE12" s="141"/>
      <c r="BF12" s="70"/>
      <c r="BG12" s="148"/>
      <c r="BH12" s="151" t="s">
        <v>72</v>
      </c>
      <c r="BI12" s="113">
        <v>0</v>
      </c>
      <c r="BJ12" s="140"/>
      <c r="BK12" s="113"/>
      <c r="BL12" s="111"/>
      <c r="BM12" s="113"/>
      <c r="BN12" s="126">
        <v>0</v>
      </c>
      <c r="BO12" s="127"/>
      <c r="BP12" s="70"/>
      <c r="BQ12" s="88"/>
      <c r="BR12" s="152" t="s">
        <v>72</v>
      </c>
      <c r="BS12" s="96"/>
      <c r="BT12" s="95"/>
      <c r="BU12" s="95"/>
    </row>
    <row r="13" spans="1:73" ht="12.75">
      <c r="A13" s="149" t="s">
        <v>73</v>
      </c>
      <c r="B13" s="96">
        <v>82.9</v>
      </c>
      <c r="C13" s="97"/>
      <c r="D13" s="70"/>
      <c r="E13" s="70"/>
      <c r="F13" s="98"/>
      <c r="G13" s="98">
        <f>B13</f>
        <v>82.9</v>
      </c>
      <c r="H13" s="33"/>
      <c r="I13" s="33"/>
      <c r="J13" s="33"/>
      <c r="K13" s="37"/>
      <c r="L13" s="559"/>
      <c r="M13" s="88" t="s">
        <v>73</v>
      </c>
      <c r="N13" s="150">
        <f>'NUMBERS-DM'!E20</f>
        <v>6.3698502317783498E-2</v>
      </c>
      <c r="O13" s="150">
        <v>6.3700000000000007E-2</v>
      </c>
      <c r="P13" s="132">
        <f t="shared" si="0"/>
        <v>1.497682216508589E-6</v>
      </c>
      <c r="Q13" s="132">
        <f>G$13*N13</f>
        <v>5.2806058421442525</v>
      </c>
      <c r="R13" s="100">
        <v>5.28</v>
      </c>
      <c r="S13" s="133"/>
      <c r="T13" s="100"/>
      <c r="U13" s="134"/>
      <c r="V13" s="68"/>
      <c r="W13" s="68"/>
      <c r="X13" s="68"/>
      <c r="Y13" s="68"/>
      <c r="Z13" s="96"/>
      <c r="AA13" s="144"/>
      <c r="AB13" s="145"/>
      <c r="AC13" s="559"/>
      <c r="AD13" s="88" t="s">
        <v>73</v>
      </c>
      <c r="AE13" s="107">
        <f t="shared" si="1"/>
        <v>4.0282327511500542</v>
      </c>
      <c r="AF13" s="108">
        <v>4.0277705933521695</v>
      </c>
      <c r="AG13" s="61"/>
      <c r="AH13" s="109"/>
      <c r="AI13" s="110"/>
      <c r="AJ13" s="111"/>
      <c r="AK13" s="95"/>
      <c r="AL13" s="70"/>
      <c r="AM13" s="84"/>
      <c r="AN13" s="559"/>
      <c r="AO13" s="115" t="s">
        <v>73</v>
      </c>
      <c r="AP13" s="115"/>
      <c r="AQ13" s="147"/>
      <c r="AR13" s="117"/>
      <c r="AS13" s="117"/>
      <c r="AT13" s="118"/>
      <c r="AU13" s="118">
        <v>0</v>
      </c>
      <c r="AV13" s="119"/>
      <c r="AW13" s="120"/>
      <c r="AX13" s="121"/>
      <c r="AY13" s="559"/>
      <c r="AZ13" s="88" t="s">
        <v>73</v>
      </c>
      <c r="BA13" s="111">
        <v>1310898890</v>
      </c>
      <c r="BB13" s="113"/>
      <c r="BC13" s="122"/>
      <c r="BD13" s="113"/>
      <c r="BE13" s="141"/>
      <c r="BF13" s="70"/>
      <c r="BG13" s="148"/>
      <c r="BH13" s="151" t="s">
        <v>73</v>
      </c>
      <c r="BI13" s="113">
        <v>0</v>
      </c>
      <c r="BJ13" s="140"/>
      <c r="BK13" s="113"/>
      <c r="BL13" s="111"/>
      <c r="BM13" s="113"/>
      <c r="BN13" s="126">
        <v>0</v>
      </c>
      <c r="BO13" s="127"/>
      <c r="BP13" s="70"/>
      <c r="BQ13" s="70"/>
      <c r="BR13" s="95" t="s">
        <v>73</v>
      </c>
      <c r="BS13" s="96"/>
      <c r="BT13" s="95"/>
      <c r="BU13" s="95"/>
    </row>
    <row r="14" spans="1:73" ht="12.75">
      <c r="A14" s="141" t="s">
        <v>74</v>
      </c>
      <c r="B14" s="83">
        <v>440</v>
      </c>
      <c r="C14" s="158">
        <v>440</v>
      </c>
      <c r="D14" s="159">
        <v>6.2E-2</v>
      </c>
      <c r="E14" s="159">
        <v>3.0000000000000001E-3</v>
      </c>
      <c r="F14" s="160">
        <f>SUM(D14:E14)</f>
        <v>6.5000000000000002E-2</v>
      </c>
      <c r="G14" s="128">
        <f>C14*(100%-F14)</f>
        <v>411.40000000000003</v>
      </c>
      <c r="H14" s="129">
        <f>G14+G15</f>
        <v>416.70000000000005</v>
      </c>
      <c r="I14" s="33"/>
      <c r="J14" s="33"/>
      <c r="K14" s="37"/>
      <c r="L14" s="559"/>
      <c r="M14" s="70" t="s">
        <v>75</v>
      </c>
      <c r="N14" s="150">
        <f>'NUMBERS-DM'!E22</f>
        <v>0.28896979225718195</v>
      </c>
      <c r="O14" s="150">
        <v>0.28899999999999998</v>
      </c>
      <c r="P14" s="132">
        <f t="shared" si="0"/>
        <v>3.0207742818033623E-5</v>
      </c>
      <c r="Q14" s="132">
        <f>G$14*N14</f>
        <v>118.88217253460466</v>
      </c>
      <c r="R14" s="100">
        <v>127.88000000000001</v>
      </c>
      <c r="S14" s="133">
        <f>Q14+Q15</f>
        <v>119.60786720916066</v>
      </c>
      <c r="T14" s="132">
        <f>Q14+Q15</f>
        <v>119.60786720916066</v>
      </c>
      <c r="U14" s="134"/>
      <c r="V14" s="68"/>
      <c r="W14" s="68"/>
      <c r="X14" s="68"/>
      <c r="Y14" s="68"/>
      <c r="Z14" s="96"/>
      <c r="AA14" s="144"/>
      <c r="AB14" s="145"/>
      <c r="AC14" s="559"/>
      <c r="AD14" s="70" t="s">
        <v>75</v>
      </c>
      <c r="AE14" s="107">
        <f t="shared" si="1"/>
        <v>90.687522463768858</v>
      </c>
      <c r="AF14" s="108">
        <v>97.551383234446106</v>
      </c>
      <c r="AG14" s="122">
        <f>AE14+AE15</f>
        <v>91.241108007316001</v>
      </c>
      <c r="AH14" s="109">
        <v>97.551383234446106</v>
      </c>
      <c r="AI14" s="110"/>
      <c r="AJ14" s="111"/>
      <c r="AK14" s="95"/>
      <c r="AL14" s="70"/>
      <c r="AM14" s="84"/>
      <c r="AN14" s="559"/>
      <c r="AO14" s="70" t="s">
        <v>75</v>
      </c>
      <c r="AP14" s="115">
        <v>45.625</v>
      </c>
      <c r="AQ14" s="147"/>
      <c r="AR14" s="117">
        <f>AG14-AP14</f>
        <v>45.616108007316001</v>
      </c>
      <c r="AS14" s="139">
        <f>AR14/AP14</f>
        <v>0.99980510700966574</v>
      </c>
      <c r="AT14" s="118">
        <f>SQRT(AS14)*10</f>
        <v>9.9990254875646052</v>
      </c>
      <c r="AU14" s="118">
        <v>51.926383234446106</v>
      </c>
      <c r="AV14" s="119">
        <v>1.1381125092481339</v>
      </c>
      <c r="AW14" s="120"/>
      <c r="AX14" s="121"/>
      <c r="AY14" s="559"/>
      <c r="AZ14" s="70" t="s">
        <v>75</v>
      </c>
      <c r="BA14" s="111">
        <v>1310898890</v>
      </c>
      <c r="BB14" s="113">
        <f>(AP14*BA14)/1000000000</f>
        <v>59.809761856249999</v>
      </c>
      <c r="BC14" s="122"/>
      <c r="BD14" s="113">
        <f>BB14*1.3</f>
        <v>77.752690413124995</v>
      </c>
      <c r="BE14" s="141"/>
      <c r="BF14" s="70"/>
      <c r="BG14" s="148"/>
      <c r="BH14" s="70" t="s">
        <v>75</v>
      </c>
      <c r="BI14" s="113">
        <f>BB14+BB26+BB38+BB50+BB62+BB74+BB86</f>
        <v>292.75095998812503</v>
      </c>
      <c r="BJ14" s="140">
        <f>BI14/$BJ$2</f>
        <v>22.924898981059126</v>
      </c>
      <c r="BK14" s="113">
        <f>SUM(BD14+BD26+BD38+BD50+BD62+BD74+BD86)</f>
        <v>380.57624798456254</v>
      </c>
      <c r="BL14" s="111">
        <f>BK14/$BJ$2</f>
        <v>29.802368675376865</v>
      </c>
      <c r="BM14" s="113"/>
      <c r="BN14" s="126">
        <v>64.723752015437583</v>
      </c>
      <c r="BO14" s="127">
        <v>0.14709943639872178</v>
      </c>
      <c r="BP14" s="70"/>
      <c r="BQ14" s="70"/>
      <c r="BR14" s="95" t="s">
        <v>75</v>
      </c>
      <c r="BS14" s="96">
        <v>440</v>
      </c>
      <c r="BT14" s="95"/>
      <c r="BU14" s="95"/>
    </row>
    <row r="15" spans="1:73" ht="12.75">
      <c r="A15" s="93" t="s">
        <v>76</v>
      </c>
      <c r="B15" s="153">
        <v>5.3</v>
      </c>
      <c r="C15" s="97">
        <f>B15</f>
        <v>5.3</v>
      </c>
      <c r="D15" s="70"/>
      <c r="E15" s="70"/>
      <c r="F15" s="98"/>
      <c r="G15" s="98">
        <f>B15</f>
        <v>5.3</v>
      </c>
      <c r="H15" s="33"/>
      <c r="I15" s="33"/>
      <c r="J15" s="33"/>
      <c r="K15" s="37"/>
      <c r="L15" s="33"/>
      <c r="M15" s="153" t="s">
        <v>77</v>
      </c>
      <c r="N15" s="150">
        <f>'NUMBERS-DM'!E24</f>
        <v>0.13692352350113227</v>
      </c>
      <c r="O15" s="150">
        <v>0.13689999999999999</v>
      </c>
      <c r="P15" s="132">
        <f t="shared" si="0"/>
        <v>-2.3523501132272084E-5</v>
      </c>
      <c r="Q15" s="132">
        <f>G$15*N15</f>
        <v>0.72569467455600101</v>
      </c>
      <c r="R15" s="100"/>
      <c r="S15" s="101"/>
      <c r="T15" s="100"/>
      <c r="U15" s="134"/>
      <c r="V15" s="68"/>
      <c r="W15" s="68"/>
      <c r="X15" s="68"/>
      <c r="Y15" s="68"/>
      <c r="Z15" s="96"/>
      <c r="AA15" s="144"/>
      <c r="AB15" s="145"/>
      <c r="AC15" s="33"/>
      <c r="AD15" s="153" t="s">
        <v>77</v>
      </c>
      <c r="AE15" s="107">
        <f t="shared" si="1"/>
        <v>0.55358554354714651</v>
      </c>
      <c r="AF15" s="108"/>
      <c r="AG15" s="88"/>
      <c r="AH15" s="109"/>
      <c r="AI15" s="110"/>
      <c r="AJ15" s="111"/>
      <c r="AK15" s="112"/>
      <c r="AL15" s="113"/>
      <c r="AM15" s="114"/>
      <c r="AN15" s="38"/>
      <c r="AO15" s="153" t="s">
        <v>77</v>
      </c>
      <c r="AP15" s="115"/>
      <c r="AQ15" s="116"/>
      <c r="AR15" s="117"/>
      <c r="AS15" s="117"/>
      <c r="AT15" s="118"/>
      <c r="AU15" s="118"/>
      <c r="AV15" s="119"/>
      <c r="AW15" s="120"/>
      <c r="AX15" s="121"/>
      <c r="AY15" s="38"/>
      <c r="AZ15" s="88"/>
      <c r="BA15" s="111">
        <v>1310898890</v>
      </c>
      <c r="BB15" s="113"/>
      <c r="BC15" s="122"/>
      <c r="BD15" s="113"/>
      <c r="BE15" s="122"/>
      <c r="BF15" s="113"/>
      <c r="BG15" s="123"/>
      <c r="BH15" s="70"/>
      <c r="BI15" s="70"/>
      <c r="BJ15" s="140"/>
      <c r="BK15" s="70"/>
      <c r="BL15" s="111"/>
      <c r="BM15" s="70"/>
      <c r="BN15" s="70"/>
      <c r="BO15" s="70"/>
      <c r="BP15" s="70"/>
      <c r="BQ15" s="70"/>
      <c r="BR15" s="95"/>
      <c r="BS15" s="95"/>
      <c r="BT15" s="95"/>
      <c r="BU15" s="95"/>
    </row>
    <row r="16" spans="1:73" ht="12.75">
      <c r="A16" s="141"/>
      <c r="B16" s="88"/>
      <c r="C16" s="97"/>
      <c r="D16" s="70"/>
      <c r="E16" s="70"/>
      <c r="F16" s="33"/>
      <c r="G16" s="33"/>
      <c r="H16" s="33"/>
      <c r="I16" s="33"/>
      <c r="J16" s="33"/>
      <c r="K16" s="37"/>
      <c r="L16" s="33"/>
      <c r="M16" s="88"/>
      <c r="N16" s="150"/>
      <c r="O16" s="150"/>
      <c r="P16" s="100"/>
      <c r="Q16" s="100"/>
      <c r="R16" s="100"/>
      <c r="S16" s="133"/>
      <c r="T16" s="100"/>
      <c r="U16" s="134"/>
      <c r="V16" s="68"/>
      <c r="W16" s="68"/>
      <c r="X16" s="68"/>
      <c r="Y16" s="68"/>
      <c r="Z16" s="96"/>
      <c r="AA16" s="144"/>
      <c r="AB16" s="145"/>
      <c r="AC16" s="33"/>
      <c r="AD16" s="88"/>
      <c r="AE16" s="107"/>
      <c r="AF16" s="108"/>
      <c r="AG16" s="109"/>
      <c r="AH16" s="109"/>
      <c r="AI16" s="110"/>
      <c r="AJ16" s="111"/>
      <c r="AK16" s="112"/>
      <c r="AL16" s="113"/>
      <c r="AM16" s="114"/>
      <c r="AN16" s="38"/>
      <c r="AO16" s="115"/>
      <c r="AP16" s="115"/>
      <c r="AQ16" s="116"/>
      <c r="AR16" s="117"/>
      <c r="AS16" s="117"/>
      <c r="AT16" s="118"/>
      <c r="AU16" s="118"/>
      <c r="AV16" s="119"/>
      <c r="AW16" s="120"/>
      <c r="AX16" s="121"/>
      <c r="AY16" s="38"/>
      <c r="AZ16" s="88"/>
      <c r="BA16" s="111"/>
      <c r="BB16" s="113"/>
      <c r="BC16" s="122"/>
      <c r="BD16" s="113"/>
      <c r="BE16" s="122"/>
      <c r="BF16" s="113"/>
      <c r="BG16" s="123"/>
      <c r="BH16" s="153" t="s">
        <v>78</v>
      </c>
      <c r="BI16" s="113">
        <f>BM4</f>
        <v>871.92945922863146</v>
      </c>
      <c r="BJ16" s="140">
        <f>BI16/$BJ$2</f>
        <v>68.279519125186496</v>
      </c>
      <c r="BK16" s="70"/>
      <c r="BL16" s="111">
        <f>BK16/$BJ$2</f>
        <v>0</v>
      </c>
      <c r="BM16" s="70"/>
      <c r="BN16" s="70"/>
      <c r="BO16" s="70"/>
      <c r="BP16" s="70"/>
      <c r="BQ16" s="70"/>
      <c r="BR16" s="95"/>
      <c r="BS16" s="95"/>
      <c r="BT16" s="95"/>
      <c r="BU16" s="95"/>
    </row>
    <row r="17" spans="1:73" ht="12.75">
      <c r="A17" s="141"/>
      <c r="B17" s="88"/>
      <c r="C17" s="97"/>
      <c r="D17" s="70"/>
      <c r="E17" s="70"/>
      <c r="F17" s="33"/>
      <c r="G17" s="33"/>
      <c r="H17" s="33"/>
      <c r="I17" s="33"/>
      <c r="J17" s="33"/>
      <c r="K17" s="37"/>
      <c r="L17" s="558" t="s">
        <v>79</v>
      </c>
      <c r="M17" s="88" t="s">
        <v>62</v>
      </c>
      <c r="N17" s="131">
        <f>'NUMBERS-DM'!F4</f>
        <v>0.31863082923206532</v>
      </c>
      <c r="O17" s="150">
        <v>0.1789</v>
      </c>
      <c r="P17" s="132">
        <f t="shared" ref="P17:P27" si="4">O17-N17</f>
        <v>-0.13973082923206531</v>
      </c>
      <c r="Q17" s="132">
        <f>G$5*N17</f>
        <v>265.96115316000493</v>
      </c>
      <c r="R17" s="100">
        <v>149.32</v>
      </c>
      <c r="S17" s="133">
        <f>Q17</f>
        <v>265.96115316000493</v>
      </c>
      <c r="T17" s="100">
        <f>R17</f>
        <v>149.32</v>
      </c>
      <c r="U17" s="134">
        <f>SUM(S17:S27)</f>
        <v>2193.2947419351499</v>
      </c>
      <c r="V17" s="104"/>
      <c r="W17" s="104"/>
      <c r="X17" s="104">
        <f>U17/U$4</f>
        <v>0.36741928783091776</v>
      </c>
      <c r="Y17" s="68">
        <v>2634.1799999999994</v>
      </c>
      <c r="Z17" s="136">
        <f>BA17/BA$4</f>
        <v>0.32937062953879392</v>
      </c>
      <c r="AA17" s="144"/>
      <c r="AB17" s="145"/>
      <c r="AC17" s="558" t="s">
        <v>79</v>
      </c>
      <c r="AD17" s="88" t="s">
        <v>62</v>
      </c>
      <c r="AE17" s="107">
        <f t="shared" ref="AE17:AE27" si="5">SUM(Q17*1000000)/BA17*1000</f>
        <v>125.84555691055047</v>
      </c>
      <c r="AF17" s="108">
        <v>70.654147549805458</v>
      </c>
      <c r="AG17" s="122">
        <f>AE17</f>
        <v>125.84555691055047</v>
      </c>
      <c r="AH17" s="109">
        <v>70.654147549805458</v>
      </c>
      <c r="AI17" s="110">
        <f>SUM(AG17:AG27)</f>
        <v>1037.807194728761</v>
      </c>
      <c r="AJ17" s="111">
        <v>1246.4220626355916</v>
      </c>
      <c r="AK17" s="137">
        <f>AI17/20</f>
        <v>51.89035973643805</v>
      </c>
      <c r="AL17" s="113"/>
      <c r="AM17" s="114"/>
      <c r="AN17" s="560" t="s">
        <v>79</v>
      </c>
      <c r="AO17" s="115" t="s">
        <v>62</v>
      </c>
      <c r="AP17" s="115">
        <v>18.25</v>
      </c>
      <c r="AQ17" s="116">
        <v>452.96500000000003</v>
      </c>
      <c r="AR17" s="117">
        <f>AG17-AP17</f>
        <v>107.59555691055047</v>
      </c>
      <c r="AS17" s="139">
        <f>AR17/AP17</f>
        <v>5.8956469540027658</v>
      </c>
      <c r="AT17" s="118">
        <f>SQRT(AS17)*10</f>
        <v>24.280953346198672</v>
      </c>
      <c r="AU17" s="118">
        <v>52.404147549805458</v>
      </c>
      <c r="AV17" s="119">
        <v>2.8714601397153676</v>
      </c>
      <c r="AW17" s="120"/>
      <c r="AX17" s="121"/>
      <c r="AY17" s="560" t="s">
        <v>79</v>
      </c>
      <c r="AZ17" s="88" t="s">
        <v>62</v>
      </c>
      <c r="BA17" s="111">
        <v>2113393271</v>
      </c>
      <c r="BB17" s="113">
        <f>(AP17*BA17)/1000000000</f>
        <v>38.569427195750002</v>
      </c>
      <c r="BC17" s="122">
        <f>SUM(BB17:BB26)</f>
        <v>957.29318299851502</v>
      </c>
      <c r="BD17" s="113">
        <f>BB17*1.3</f>
        <v>50.140255354475002</v>
      </c>
      <c r="BE17" s="122">
        <f>SUM(BD17:BD27)</f>
        <v>1244.4811378980694</v>
      </c>
      <c r="BF17" s="113"/>
      <c r="BG17" s="123"/>
      <c r="BH17" s="70"/>
      <c r="BI17" s="70"/>
      <c r="BJ17" s="70"/>
      <c r="BK17" s="70"/>
      <c r="BL17" s="161"/>
      <c r="BM17" s="70"/>
      <c r="BN17" s="70"/>
      <c r="BO17" s="70"/>
      <c r="BP17" s="70"/>
      <c r="BQ17" s="70"/>
      <c r="BR17" s="95"/>
      <c r="BS17" s="95"/>
      <c r="BT17" s="95"/>
      <c r="BU17" s="95"/>
    </row>
    <row r="18" spans="1:73" ht="12.75">
      <c r="A18" s="93" t="s">
        <v>80</v>
      </c>
      <c r="B18" s="70"/>
      <c r="C18" s="69"/>
      <c r="D18" s="14"/>
      <c r="E18" s="70"/>
      <c r="F18" s="33"/>
      <c r="G18" s="33"/>
      <c r="H18" s="129">
        <f>SUM(C6*D6)+(C14*D14)</f>
        <v>1120.75</v>
      </c>
      <c r="I18" s="33"/>
      <c r="J18" s="33"/>
      <c r="K18" s="37"/>
      <c r="L18" s="559"/>
      <c r="M18" s="70" t="s">
        <v>65</v>
      </c>
      <c r="N18" s="131">
        <f>'NUMBERS-DM'!F6</f>
        <v>0.39495224524316069</v>
      </c>
      <c r="O18" s="150">
        <v>0.39500000000000002</v>
      </c>
      <c r="P18" s="132">
        <f t="shared" si="4"/>
        <v>4.7754756839324397E-5</v>
      </c>
      <c r="Q18" s="132">
        <f>G$6*N18</f>
        <v>505.60206627048456</v>
      </c>
      <c r="R18" s="100">
        <v>1053.3399999999999</v>
      </c>
      <c r="S18" s="133">
        <f>Q18</f>
        <v>505.60206627048456</v>
      </c>
      <c r="T18" s="100">
        <f>R18</f>
        <v>1053.3399999999999</v>
      </c>
      <c r="U18" s="134"/>
      <c r="V18" s="68"/>
      <c r="W18" s="68"/>
      <c r="X18" s="68"/>
      <c r="Y18" s="68"/>
      <c r="Z18" s="96"/>
      <c r="AA18" s="144"/>
      <c r="AB18" s="145"/>
      <c r="AC18" s="559"/>
      <c r="AD18" s="70" t="s">
        <v>65</v>
      </c>
      <c r="AE18" s="107">
        <f t="shared" si="5"/>
        <v>239.23709477472096</v>
      </c>
      <c r="AF18" s="108">
        <v>498.41173171786818</v>
      </c>
      <c r="AG18" s="122">
        <f>AE18</f>
        <v>239.23709477472096</v>
      </c>
      <c r="AH18" s="109">
        <v>498.41173171786818</v>
      </c>
      <c r="AI18" s="110"/>
      <c r="AJ18" s="111"/>
      <c r="AK18" s="95"/>
      <c r="AL18" s="70"/>
      <c r="AM18" s="84"/>
      <c r="AN18" s="559"/>
      <c r="AO18" s="146" t="s">
        <v>65</v>
      </c>
      <c r="AP18" s="115">
        <v>84.68</v>
      </c>
      <c r="AQ18" s="147"/>
      <c r="AR18" s="117">
        <f>AG18-AP18</f>
        <v>154.55709477472095</v>
      </c>
      <c r="AS18" s="139">
        <f>AR18/AP18</f>
        <v>1.8251900658327933</v>
      </c>
      <c r="AT18" s="118">
        <f>SQRT(AS18)*10</f>
        <v>13.509959532999325</v>
      </c>
      <c r="AU18" s="118">
        <v>413.73173171786817</v>
      </c>
      <c r="AV18" s="119">
        <v>4.8858258351188963</v>
      </c>
      <c r="AW18" s="120"/>
      <c r="AX18" s="121"/>
      <c r="AY18" s="559"/>
      <c r="AZ18" s="70" t="s">
        <v>65</v>
      </c>
      <c r="BA18" s="111">
        <v>2113393271</v>
      </c>
      <c r="BB18" s="113">
        <f>(AP18*BA18)/1000000000</f>
        <v>178.96214218828004</v>
      </c>
      <c r="BC18" s="122"/>
      <c r="BD18" s="113">
        <f>BB18*1.3</f>
        <v>232.65078484476405</v>
      </c>
      <c r="BE18" s="141"/>
      <c r="BF18" s="70"/>
      <c r="BG18" s="148"/>
      <c r="BH18" s="70"/>
      <c r="BI18" s="70"/>
      <c r="BJ18" s="70"/>
      <c r="BK18" s="70"/>
      <c r="BL18" s="161"/>
      <c r="BM18" s="70"/>
      <c r="BN18" s="70"/>
      <c r="BO18" s="70"/>
      <c r="BP18" s="70"/>
      <c r="BQ18" s="70"/>
      <c r="BR18" s="95"/>
      <c r="BS18" s="95"/>
      <c r="BT18" s="95"/>
      <c r="BU18" s="95"/>
    </row>
    <row r="19" spans="1:73" ht="12.75">
      <c r="A19" s="93" t="s">
        <v>81</v>
      </c>
      <c r="B19" s="70"/>
      <c r="C19" s="97"/>
      <c r="D19" s="14"/>
      <c r="E19" s="70"/>
      <c r="F19" s="33"/>
      <c r="G19" s="33"/>
      <c r="H19" s="129">
        <f>SUM(C6*E6)+(C14*E14)</f>
        <v>294.69</v>
      </c>
      <c r="I19" s="33"/>
      <c r="J19" s="33"/>
      <c r="K19" s="37"/>
      <c r="L19" s="559"/>
      <c r="M19" s="88" t="s">
        <v>66</v>
      </c>
      <c r="N19" s="131">
        <f>'NUMBERS-DM'!F8</f>
        <v>0.59766709560996778</v>
      </c>
      <c r="O19" s="150">
        <v>0.59770000000000001</v>
      </c>
      <c r="P19" s="132">
        <f t="shared" si="4"/>
        <v>3.2904390032229003E-5</v>
      </c>
      <c r="Q19" s="132">
        <f>G$7*N19</f>
        <v>675.36381803926361</v>
      </c>
      <c r="R19" s="100">
        <v>675.36</v>
      </c>
      <c r="S19" s="133">
        <f>Q19+Q20</f>
        <v>987.29582779347675</v>
      </c>
      <c r="T19" s="100">
        <f>R19+R20</f>
        <v>987.29</v>
      </c>
      <c r="U19" s="134"/>
      <c r="V19" s="68"/>
      <c r="W19" s="68"/>
      <c r="X19" s="68"/>
      <c r="Y19" s="68"/>
      <c r="Z19" s="96"/>
      <c r="AA19" s="144"/>
      <c r="AB19" s="145"/>
      <c r="AC19" s="559"/>
      <c r="AD19" s="88" t="s">
        <v>66</v>
      </c>
      <c r="AE19" s="107">
        <f t="shared" si="5"/>
        <v>319.56372119974617</v>
      </c>
      <c r="AF19" s="108">
        <v>319.56191460779945</v>
      </c>
      <c r="AG19" s="122">
        <f>AE19+AE20</f>
        <v>467.16143244192097</v>
      </c>
      <c r="AH19" s="109">
        <v>467.15867488914705</v>
      </c>
      <c r="AI19" s="110"/>
      <c r="AJ19" s="111"/>
      <c r="AK19" s="95"/>
      <c r="AL19" s="70"/>
      <c r="AM19" s="84"/>
      <c r="AN19" s="559"/>
      <c r="AO19" s="115" t="s">
        <v>66</v>
      </c>
      <c r="AP19" s="115">
        <v>182.5</v>
      </c>
      <c r="AQ19" s="147"/>
      <c r="AR19" s="117">
        <f>AG19-AP19</f>
        <v>284.66143244192097</v>
      </c>
      <c r="AS19" s="139">
        <f>AR19/AP19</f>
        <v>1.5597886709146354</v>
      </c>
      <c r="AT19" s="118">
        <f>SQRT(AS19)*10</f>
        <v>12.489149974736613</v>
      </c>
      <c r="AU19" s="118">
        <v>284.65867488914705</v>
      </c>
      <c r="AV19" s="119">
        <v>1.5597735610364223</v>
      </c>
      <c r="AW19" s="120"/>
      <c r="AX19" s="121"/>
      <c r="AY19" s="559"/>
      <c r="AZ19" s="88" t="s">
        <v>66</v>
      </c>
      <c r="BA19" s="111">
        <v>2113393271</v>
      </c>
      <c r="BB19" s="113">
        <f>(AP19*BA19)/1000000000</f>
        <v>385.69427195750001</v>
      </c>
      <c r="BC19" s="122"/>
      <c r="BD19" s="113">
        <f>BB19*1.3</f>
        <v>501.40255354475005</v>
      </c>
      <c r="BE19" s="141"/>
      <c r="BF19" s="70"/>
      <c r="BG19" s="148"/>
      <c r="BH19" s="70"/>
      <c r="BI19" s="70"/>
      <c r="BJ19" s="70"/>
      <c r="BK19" s="70"/>
      <c r="BL19" s="161"/>
      <c r="BM19" s="70"/>
      <c r="BN19" s="70"/>
      <c r="BO19" s="70"/>
      <c r="BP19" s="70"/>
      <c r="BQ19" s="70"/>
      <c r="BR19" s="95"/>
      <c r="BS19" s="95"/>
      <c r="BT19" s="95"/>
      <c r="BU19" s="95"/>
    </row>
    <row r="20" spans="1:73" ht="12.75">
      <c r="A20" s="70"/>
      <c r="B20" s="70"/>
      <c r="C20" s="97"/>
      <c r="D20" s="70"/>
      <c r="E20" s="70"/>
      <c r="F20" s="33"/>
      <c r="G20" s="33"/>
      <c r="H20" s="33"/>
      <c r="I20" s="33"/>
      <c r="J20" s="33"/>
      <c r="K20" s="37"/>
      <c r="L20" s="559"/>
      <c r="M20" s="88" t="s">
        <v>67</v>
      </c>
      <c r="N20" s="131">
        <f>'NUMBERS-DM'!F10</f>
        <v>0.35326388420635696</v>
      </c>
      <c r="O20" s="150">
        <v>0.3533</v>
      </c>
      <c r="P20" s="132">
        <f t="shared" si="4"/>
        <v>3.6115793643043403E-5</v>
      </c>
      <c r="Q20" s="132">
        <f>G$8*N20</f>
        <v>311.9320097542132</v>
      </c>
      <c r="R20" s="100">
        <v>311.93</v>
      </c>
      <c r="S20" s="133"/>
      <c r="T20" s="100"/>
      <c r="U20" s="134"/>
      <c r="V20" s="68"/>
      <c r="W20" s="68"/>
      <c r="X20" s="68"/>
      <c r="Y20" s="68"/>
      <c r="Z20" s="96"/>
      <c r="AA20" s="144"/>
      <c r="AB20" s="145"/>
      <c r="AC20" s="559"/>
      <c r="AD20" s="88" t="s">
        <v>67</v>
      </c>
      <c r="AE20" s="107">
        <f t="shared" si="5"/>
        <v>147.59771124217477</v>
      </c>
      <c r="AF20" s="108">
        <v>147.59676028134757</v>
      </c>
      <c r="AG20" s="61"/>
      <c r="AH20" s="109"/>
      <c r="AI20" s="110"/>
      <c r="AJ20" s="111"/>
      <c r="AK20" s="95"/>
      <c r="AL20" s="70"/>
      <c r="AM20" s="84"/>
      <c r="AN20" s="559"/>
      <c r="AO20" s="115" t="s">
        <v>67</v>
      </c>
      <c r="AP20" s="115"/>
      <c r="AQ20" s="147"/>
      <c r="AR20" s="117"/>
      <c r="AS20" s="139"/>
      <c r="AT20" s="118"/>
      <c r="AU20" s="118">
        <v>0</v>
      </c>
      <c r="AV20" s="119"/>
      <c r="AW20" s="120"/>
      <c r="AX20" s="121"/>
      <c r="AY20" s="559"/>
      <c r="AZ20" s="88" t="s">
        <v>67</v>
      </c>
      <c r="BA20" s="111">
        <v>2113393271</v>
      </c>
      <c r="BB20" s="113"/>
      <c r="BC20" s="122"/>
      <c r="BD20" s="113"/>
      <c r="BE20" s="141"/>
      <c r="BF20" s="70"/>
      <c r="BG20" s="148"/>
      <c r="BH20" s="70"/>
      <c r="BI20" s="70"/>
      <c r="BJ20" s="70"/>
      <c r="BK20" s="70"/>
      <c r="BL20" s="161"/>
      <c r="BM20" s="70"/>
      <c r="BN20" s="70"/>
      <c r="BO20" s="70"/>
      <c r="BP20" s="70"/>
      <c r="BQ20" s="70"/>
      <c r="BR20" s="95"/>
      <c r="BS20" s="95"/>
      <c r="BT20" s="95"/>
      <c r="BU20" s="95"/>
    </row>
    <row r="21" spans="1:73" ht="12.75">
      <c r="A21" s="70"/>
      <c r="B21" s="70"/>
      <c r="C21" s="97"/>
      <c r="D21" s="70"/>
      <c r="E21" s="70"/>
      <c r="F21" s="33"/>
      <c r="G21" s="33"/>
      <c r="H21" s="33"/>
      <c r="I21" s="33"/>
      <c r="J21" s="33"/>
      <c r="K21" s="37"/>
      <c r="L21" s="559"/>
      <c r="M21" s="70" t="s">
        <v>68</v>
      </c>
      <c r="N21" s="131">
        <f>'NUMBERS-DM'!F12</f>
        <v>3.1018438930037952E-2</v>
      </c>
      <c r="O21" s="150">
        <v>3.1800000000000002E-2</v>
      </c>
      <c r="P21" s="132">
        <f t="shared" si="4"/>
        <v>7.815610699620501E-4</v>
      </c>
      <c r="Q21" s="132">
        <f>G$9*N21</f>
        <v>26.086507140161917</v>
      </c>
      <c r="R21" s="100">
        <v>26.74</v>
      </c>
      <c r="S21" s="133">
        <f>Q21</f>
        <v>26.086507140161917</v>
      </c>
      <c r="T21" s="100">
        <f>R21</f>
        <v>26.74</v>
      </c>
      <c r="U21" s="134"/>
      <c r="V21" s="68"/>
      <c r="W21" s="68"/>
      <c r="X21" s="68"/>
      <c r="Y21" s="68"/>
      <c r="Z21" s="96"/>
      <c r="AA21" s="144"/>
      <c r="AB21" s="145"/>
      <c r="AC21" s="559"/>
      <c r="AD21" s="70" t="s">
        <v>68</v>
      </c>
      <c r="AE21" s="107">
        <f t="shared" si="5"/>
        <v>12.343423014599878</v>
      </c>
      <c r="AF21" s="108">
        <v>12.652637995458063</v>
      </c>
      <c r="AG21" s="122">
        <f>AE21</f>
        <v>12.343423014599878</v>
      </c>
      <c r="AH21" s="109">
        <v>12.652637995458063</v>
      </c>
      <c r="AI21" s="110"/>
      <c r="AJ21" s="111"/>
      <c r="AK21" s="95"/>
      <c r="AL21" s="70"/>
      <c r="AM21" s="84"/>
      <c r="AN21" s="559"/>
      <c r="AO21" s="146" t="s">
        <v>68</v>
      </c>
      <c r="AP21" s="115">
        <v>91.25</v>
      </c>
      <c r="AQ21" s="147"/>
      <c r="AR21" s="117">
        <f>AG21-AP21</f>
        <v>-78.906576985400122</v>
      </c>
      <c r="AS21" s="139">
        <f>AR21/AP21</f>
        <v>-0.86472961079890542</v>
      </c>
      <c r="AT21" s="118">
        <f>SQRT(-AS21)*10</f>
        <v>9.2990838839043999</v>
      </c>
      <c r="AU21" s="118">
        <v>-78.597362004541935</v>
      </c>
      <c r="AV21" s="119">
        <v>-0.86134095347443218</v>
      </c>
      <c r="AW21" s="120"/>
      <c r="AX21" s="121"/>
      <c r="AY21" s="559"/>
      <c r="AZ21" s="70" t="s">
        <v>68</v>
      </c>
      <c r="BA21" s="111">
        <v>2113393271</v>
      </c>
      <c r="BB21" s="113">
        <f>(AP21*BA21)/1000000000</f>
        <v>192.84713597875</v>
      </c>
      <c r="BC21" s="122"/>
      <c r="BD21" s="113">
        <f>BB21*1.3</f>
        <v>250.70127677237502</v>
      </c>
      <c r="BE21" s="141"/>
      <c r="BF21" s="70"/>
      <c r="BG21" s="148"/>
      <c r="BH21" s="70"/>
      <c r="BI21" s="70"/>
      <c r="BJ21" s="70"/>
      <c r="BK21" s="70"/>
      <c r="BL21" s="161"/>
      <c r="BM21" s="70"/>
      <c r="BN21" s="70"/>
      <c r="BO21" s="70"/>
      <c r="BP21" s="70"/>
      <c r="BQ21" s="70"/>
      <c r="BR21" s="95"/>
      <c r="BS21" s="95"/>
      <c r="BT21" s="95"/>
      <c r="BU21" s="95"/>
    </row>
    <row r="22" spans="1:73" ht="12.75">
      <c r="A22" s="88"/>
      <c r="B22" s="88"/>
      <c r="C22" s="162"/>
      <c r="D22" s="88"/>
      <c r="E22" s="88"/>
      <c r="F22" s="33"/>
      <c r="G22" s="33"/>
      <c r="H22" s="33"/>
      <c r="I22" s="33"/>
      <c r="J22" s="33"/>
      <c r="K22" s="37"/>
      <c r="L22" s="559"/>
      <c r="M22" s="88" t="s">
        <v>70</v>
      </c>
      <c r="N22" s="131">
        <f>'NUMBERS-DM'!F14</f>
        <v>0.43748043620583388</v>
      </c>
      <c r="O22" s="150">
        <v>0.4375</v>
      </c>
      <c r="P22" s="132">
        <f t="shared" si="4"/>
        <v>1.9563794166121973E-5</v>
      </c>
      <c r="Q22" s="132">
        <f>G$10*N22</f>
        <v>92.745852475636781</v>
      </c>
      <c r="R22" s="100">
        <v>92.75</v>
      </c>
      <c r="S22" s="133">
        <f>Q22</f>
        <v>92.745852475636781</v>
      </c>
      <c r="T22" s="100">
        <f>R22</f>
        <v>92.75</v>
      </c>
      <c r="U22" s="134"/>
      <c r="V22" s="68"/>
      <c r="W22" s="68"/>
      <c r="X22" s="68"/>
      <c r="Y22" s="68"/>
      <c r="Z22" s="96"/>
      <c r="AA22" s="144"/>
      <c r="AB22" s="145"/>
      <c r="AC22" s="559"/>
      <c r="AD22" s="88" t="s">
        <v>70</v>
      </c>
      <c r="AE22" s="107">
        <f t="shared" si="5"/>
        <v>43.884805420882209</v>
      </c>
      <c r="AF22" s="108">
        <v>43.886767916183075</v>
      </c>
      <c r="AG22" s="122">
        <f>AE22</f>
        <v>43.884805420882209</v>
      </c>
      <c r="AH22" s="109">
        <v>43.886767916183075</v>
      </c>
      <c r="AI22" s="110"/>
      <c r="AJ22" s="111"/>
      <c r="AK22" s="96"/>
      <c r="AL22" s="88"/>
      <c r="AM22" s="154"/>
      <c r="AN22" s="559"/>
      <c r="AO22" s="115" t="s">
        <v>70</v>
      </c>
      <c r="AP22" s="115">
        <v>5.1100000000000003</v>
      </c>
      <c r="AQ22" s="147"/>
      <c r="AR22" s="117">
        <f>AG22-AP22</f>
        <v>38.77480542088221</v>
      </c>
      <c r="AS22" s="139">
        <f>AR22/AP22</f>
        <v>7.5880245442039547</v>
      </c>
      <c r="AT22" s="118">
        <f>SQRT(AS22)*10</f>
        <v>27.546369169463976</v>
      </c>
      <c r="AU22" s="118">
        <v>38.776767916183076</v>
      </c>
      <c r="AV22" s="119">
        <v>7.588408594164985</v>
      </c>
      <c r="AW22" s="120"/>
      <c r="AX22" s="121"/>
      <c r="AY22" s="559"/>
      <c r="AZ22" s="88" t="s">
        <v>70</v>
      </c>
      <c r="BA22" s="111">
        <v>2113393271</v>
      </c>
      <c r="BB22" s="113">
        <f>(AP22*BA22)/1000000000</f>
        <v>10.799439614810002</v>
      </c>
      <c r="BC22" s="122"/>
      <c r="BD22" s="113">
        <f>BB22*1.3</f>
        <v>14.039271499253003</v>
      </c>
      <c r="BE22" s="61"/>
      <c r="BF22" s="88"/>
      <c r="BG22" s="155"/>
      <c r="BH22" s="88"/>
      <c r="BI22" s="88"/>
      <c r="BJ22" s="88"/>
      <c r="BK22" s="88"/>
      <c r="BL22" s="100"/>
      <c r="BM22" s="88"/>
      <c r="BN22" s="88"/>
      <c r="BO22" s="88"/>
      <c r="BP22" s="88"/>
      <c r="BQ22" s="61"/>
      <c r="BR22" s="68" t="s">
        <v>82</v>
      </c>
      <c r="BS22" s="96"/>
      <c r="BT22" s="96"/>
      <c r="BU22" s="96"/>
    </row>
    <row r="23" spans="1:73" ht="15">
      <c r="A23" s="163"/>
      <c r="B23" s="164"/>
      <c r="C23" s="164"/>
      <c r="D23" s="88"/>
      <c r="E23" s="88"/>
      <c r="F23" s="33"/>
      <c r="G23" s="33"/>
      <c r="H23" s="33"/>
      <c r="I23" s="33"/>
      <c r="J23" s="33"/>
      <c r="K23" s="37"/>
      <c r="L23" s="559"/>
      <c r="M23" s="88" t="s">
        <v>71</v>
      </c>
      <c r="N23" s="131">
        <f>'NUMBERS-DM'!F16</f>
        <v>0.29148287940845347</v>
      </c>
      <c r="O23" s="150">
        <v>0.29149999999999998</v>
      </c>
      <c r="P23" s="132">
        <f t="shared" si="4"/>
        <v>1.7120591546515573E-5</v>
      </c>
      <c r="Q23" s="132">
        <f>G$11*N23</f>
        <v>39.058705840732763</v>
      </c>
      <c r="R23" s="100">
        <v>39.06</v>
      </c>
      <c r="S23" s="133">
        <f>Q23+Q25+Q24</f>
        <v>182.05431489092712</v>
      </c>
      <c r="T23" s="100">
        <f>R23+R24+R25</f>
        <v>182.06</v>
      </c>
      <c r="U23" s="134"/>
      <c r="V23" s="68"/>
      <c r="W23" s="68"/>
      <c r="X23" s="68"/>
      <c r="Y23" s="68"/>
      <c r="Z23" s="96"/>
      <c r="AA23" s="144"/>
      <c r="AB23" s="145"/>
      <c r="AC23" s="559"/>
      <c r="AD23" s="88" t="s">
        <v>71</v>
      </c>
      <c r="AE23" s="107">
        <f t="shared" si="5"/>
        <v>18.48151329745232</v>
      </c>
      <c r="AF23" s="108">
        <v>18.482125658286911</v>
      </c>
      <c r="AG23" s="122">
        <f>AE23+AE25+AE24</f>
        <v>86.143131706283896</v>
      </c>
      <c r="AH23" s="109">
        <v>86.145821744693166</v>
      </c>
      <c r="AI23" s="110"/>
      <c r="AJ23" s="111"/>
      <c r="AK23" s="95"/>
      <c r="AL23" s="70"/>
      <c r="AM23" s="84"/>
      <c r="AN23" s="559"/>
      <c r="AO23" s="115" t="s">
        <v>71</v>
      </c>
      <c r="AP23" s="115">
        <v>25.55</v>
      </c>
      <c r="AQ23" s="147"/>
      <c r="AR23" s="117">
        <f>AG23-AP23</f>
        <v>60.593131706283899</v>
      </c>
      <c r="AS23" s="139">
        <f>AR23/AP23</f>
        <v>2.3715511431030878</v>
      </c>
      <c r="AT23" s="118">
        <f>SQRT(AS23)*10</f>
        <v>15.399841372894358</v>
      </c>
      <c r="AU23" s="118">
        <v>60.595821744693168</v>
      </c>
      <c r="AV23" s="119">
        <v>2.3716564283637247</v>
      </c>
      <c r="AW23" s="120"/>
      <c r="AX23" s="121"/>
      <c r="AY23" s="559"/>
      <c r="AZ23" s="88" t="s">
        <v>71</v>
      </c>
      <c r="BA23" s="111">
        <v>2113393271</v>
      </c>
      <c r="BB23" s="113">
        <f>(AP23*BA23)/1000000000</f>
        <v>53.997198074050004</v>
      </c>
      <c r="BC23" s="122"/>
      <c r="BD23" s="113">
        <f>BB23*1.3</f>
        <v>70.196357496265009</v>
      </c>
      <c r="BE23" s="141"/>
      <c r="BF23" s="70"/>
      <c r="BG23" s="148"/>
      <c r="BH23" s="70"/>
      <c r="BI23" s="70"/>
      <c r="BJ23" s="70"/>
      <c r="BK23" s="70"/>
      <c r="BL23" s="161"/>
      <c r="BM23" s="70"/>
      <c r="BN23" s="70"/>
      <c r="BO23" s="70"/>
      <c r="BP23" s="70"/>
      <c r="BQ23" s="70"/>
      <c r="BR23" s="95" t="s">
        <v>83</v>
      </c>
      <c r="BS23" s="95" t="s">
        <v>84</v>
      </c>
      <c r="BT23" s="95" t="s">
        <v>85</v>
      </c>
      <c r="BU23" s="95" t="s">
        <v>86</v>
      </c>
    </row>
    <row r="24" spans="1:73" ht="12.75">
      <c r="A24" s="165"/>
      <c r="B24" s="165"/>
      <c r="C24" s="165"/>
      <c r="D24" s="165"/>
      <c r="E24" s="93"/>
      <c r="F24" s="72"/>
      <c r="G24" s="14"/>
      <c r="H24" s="34"/>
      <c r="I24" s="33"/>
      <c r="J24" s="33"/>
      <c r="K24" s="37"/>
      <c r="L24" s="559"/>
      <c r="M24" s="88" t="s">
        <v>72</v>
      </c>
      <c r="N24" s="131">
        <f>'NUMBERS-DM'!F18</f>
        <v>0.62658209596947734</v>
      </c>
      <c r="O24" s="150">
        <v>0.62660000000000005</v>
      </c>
      <c r="P24" s="132">
        <f t="shared" si="4"/>
        <v>1.7904030522708503E-5</v>
      </c>
      <c r="Q24" s="132">
        <f>G$12*N24</f>
        <v>97.120224875268988</v>
      </c>
      <c r="R24" s="100">
        <v>97.12</v>
      </c>
      <c r="S24" s="133"/>
      <c r="T24" s="100"/>
      <c r="U24" s="134"/>
      <c r="V24" s="68"/>
      <c r="W24" s="68"/>
      <c r="X24" s="68"/>
      <c r="Y24" s="68"/>
      <c r="Z24" s="96"/>
      <c r="AA24" s="144"/>
      <c r="AB24" s="145"/>
      <c r="AC24" s="559"/>
      <c r="AD24" s="88" t="s">
        <v>72</v>
      </c>
      <c r="AE24" s="107">
        <f t="shared" si="5"/>
        <v>45.954639019605821</v>
      </c>
      <c r="AF24" s="108">
        <v>45.954532614767658</v>
      </c>
      <c r="AG24" s="61"/>
      <c r="AH24" s="109"/>
      <c r="AI24" s="110"/>
      <c r="AJ24" s="111"/>
      <c r="AK24" s="95"/>
      <c r="AL24" s="70"/>
      <c r="AM24" s="84"/>
      <c r="AN24" s="559"/>
      <c r="AO24" s="115" t="s">
        <v>72</v>
      </c>
      <c r="AP24" s="115"/>
      <c r="AQ24" s="147"/>
      <c r="AR24" s="117"/>
      <c r="AS24" s="117"/>
      <c r="AT24" s="118"/>
      <c r="AU24" s="118">
        <v>0</v>
      </c>
      <c r="AV24" s="119"/>
      <c r="AW24" s="120"/>
      <c r="AX24" s="121"/>
      <c r="AY24" s="559"/>
      <c r="AZ24" s="88" t="s">
        <v>72</v>
      </c>
      <c r="BA24" s="111">
        <v>2113393271</v>
      </c>
      <c r="BB24" s="113"/>
      <c r="BC24" s="122"/>
      <c r="BD24" s="113"/>
      <c r="BE24" s="141"/>
      <c r="BF24" s="70"/>
      <c r="BG24" s="148"/>
      <c r="BH24" s="70"/>
      <c r="BI24" s="70"/>
      <c r="BJ24" s="70"/>
      <c r="BK24" s="70"/>
      <c r="BL24" s="161"/>
      <c r="BM24" s="70"/>
      <c r="BN24" s="70"/>
      <c r="BO24" s="70"/>
      <c r="BP24" s="70"/>
      <c r="BQ24" s="70"/>
      <c r="BR24" s="95" t="s">
        <v>87</v>
      </c>
      <c r="BS24" s="166">
        <v>50</v>
      </c>
      <c r="BT24" s="166">
        <v>18250</v>
      </c>
      <c r="BU24" s="167">
        <v>18.25</v>
      </c>
    </row>
    <row r="25" spans="1:73" ht="12.75">
      <c r="A25" s="91"/>
      <c r="B25" s="91"/>
      <c r="C25" s="14"/>
      <c r="D25" s="91"/>
      <c r="E25" s="91"/>
      <c r="F25" s="72"/>
      <c r="G25" s="33"/>
      <c r="H25" s="34"/>
      <c r="I25" s="33"/>
      <c r="J25" s="33"/>
      <c r="K25" s="37"/>
      <c r="L25" s="559"/>
      <c r="M25" s="88" t="s">
        <v>73</v>
      </c>
      <c r="N25" s="131">
        <f>'NUMBERS-DM'!F20</f>
        <v>0.55338219752624096</v>
      </c>
      <c r="O25" s="150">
        <v>0.5534</v>
      </c>
      <c r="P25" s="132">
        <f t="shared" si="4"/>
        <v>1.7802473759043203E-5</v>
      </c>
      <c r="Q25" s="132">
        <f>G$13*N25</f>
        <v>45.875384174925379</v>
      </c>
      <c r="R25" s="100">
        <v>45.88</v>
      </c>
      <c r="S25" s="133"/>
      <c r="T25" s="100"/>
      <c r="U25" s="134"/>
      <c r="V25" s="68"/>
      <c r="W25" s="68"/>
      <c r="X25" s="68"/>
      <c r="Y25" s="68"/>
      <c r="Z25" s="96"/>
      <c r="AA25" s="144"/>
      <c r="AB25" s="145"/>
      <c r="AC25" s="559"/>
      <c r="AD25" s="88" t="s">
        <v>73</v>
      </c>
      <c r="AE25" s="107">
        <f t="shared" si="5"/>
        <v>21.706979389225747</v>
      </c>
      <c r="AF25" s="108">
        <v>21.709163471638593</v>
      </c>
      <c r="AG25" s="61"/>
      <c r="AH25" s="109"/>
      <c r="AI25" s="110"/>
      <c r="AJ25" s="111"/>
      <c r="AK25" s="95"/>
      <c r="AL25" s="70"/>
      <c r="AM25" s="84"/>
      <c r="AN25" s="559"/>
      <c r="AO25" s="115" t="s">
        <v>73</v>
      </c>
      <c r="AP25" s="115"/>
      <c r="AQ25" s="147"/>
      <c r="AR25" s="117"/>
      <c r="AS25" s="117"/>
      <c r="AT25" s="118"/>
      <c r="AU25" s="118">
        <v>0</v>
      </c>
      <c r="AV25" s="119"/>
      <c r="AW25" s="120"/>
      <c r="AX25" s="121"/>
      <c r="AY25" s="559"/>
      <c r="AZ25" s="88" t="s">
        <v>73</v>
      </c>
      <c r="BA25" s="111">
        <v>2113393271</v>
      </c>
      <c r="BB25" s="113"/>
      <c r="BC25" s="122"/>
      <c r="BD25" s="113"/>
      <c r="BE25" s="141"/>
      <c r="BF25" s="70"/>
      <c r="BG25" s="148"/>
      <c r="BH25" s="70"/>
      <c r="BI25" s="70"/>
      <c r="BJ25" s="70"/>
      <c r="BK25" s="70"/>
      <c r="BL25" s="161"/>
      <c r="BM25" s="70"/>
      <c r="BN25" s="70"/>
      <c r="BO25" s="70"/>
      <c r="BP25" s="70"/>
      <c r="BQ25" s="70"/>
      <c r="BR25" s="95" t="s">
        <v>88</v>
      </c>
      <c r="BS25" s="166">
        <v>232</v>
      </c>
      <c r="BT25" s="166">
        <v>84680</v>
      </c>
      <c r="BU25" s="167">
        <v>84.68</v>
      </c>
    </row>
    <row r="26" spans="1:73" ht="12.75">
      <c r="A26" s="91"/>
      <c r="B26" s="91"/>
      <c r="C26" s="14"/>
      <c r="D26" s="91"/>
      <c r="E26" s="91"/>
      <c r="F26" s="79"/>
      <c r="G26" s="33"/>
      <c r="H26" s="34"/>
      <c r="I26" s="33"/>
      <c r="J26" s="33"/>
      <c r="K26" s="37"/>
      <c r="L26" s="559"/>
      <c r="M26" s="70" t="s">
        <v>75</v>
      </c>
      <c r="N26" s="131">
        <f>'NUMBERS-DM'!F22</f>
        <v>0.31926586536202933</v>
      </c>
      <c r="O26" s="150">
        <v>0.31929999999999997</v>
      </c>
      <c r="P26" s="132">
        <f t="shared" si="4"/>
        <v>3.4134637970639758E-5</v>
      </c>
      <c r="Q26" s="132">
        <f>G$14*N26</f>
        <v>131.34597700993888</v>
      </c>
      <c r="R26" s="100">
        <v>142.67999999999998</v>
      </c>
      <c r="S26" s="133">
        <f>Q26+Q27</f>
        <v>133.54902020445786</v>
      </c>
      <c r="T26" s="100">
        <f>R26</f>
        <v>142.67999999999998</v>
      </c>
      <c r="U26" s="134"/>
      <c r="V26" s="68"/>
      <c r="W26" s="68"/>
      <c r="X26" s="68"/>
      <c r="Y26" s="68"/>
      <c r="Z26" s="96"/>
      <c r="AA26" s="144"/>
      <c r="AB26" s="145"/>
      <c r="AC26" s="559"/>
      <c r="AD26" s="70" t="s">
        <v>75</v>
      </c>
      <c r="AE26" s="107">
        <f t="shared" si="5"/>
        <v>62.149330563444799</v>
      </c>
      <c r="AF26" s="108">
        <v>67.512280822436651</v>
      </c>
      <c r="AG26" s="122">
        <f>AE26+AE27</f>
        <v>63.191750459802549</v>
      </c>
      <c r="AH26" s="109">
        <v>67.512280822436651</v>
      </c>
      <c r="AI26" s="110"/>
      <c r="AJ26" s="111"/>
      <c r="AK26" s="95"/>
      <c r="AL26" s="70"/>
      <c r="AM26" s="84"/>
      <c r="AN26" s="559"/>
      <c r="AO26" s="70" t="s">
        <v>75</v>
      </c>
      <c r="AP26" s="115">
        <v>45.625</v>
      </c>
      <c r="AQ26" s="147"/>
      <c r="AR26" s="117">
        <f>AG26-AP26</f>
        <v>17.566750459802549</v>
      </c>
      <c r="AS26" s="139">
        <f>AR26/AP26</f>
        <v>0.38502466761211068</v>
      </c>
      <c r="AT26" s="118">
        <f>SQRT(AS26)*10</f>
        <v>6.2050355970945947</v>
      </c>
      <c r="AU26" s="118">
        <v>21.887280822436651</v>
      </c>
      <c r="AV26" s="119">
        <v>0.47972122350546081</v>
      </c>
      <c r="AW26" s="120"/>
      <c r="AX26" s="121"/>
      <c r="AY26" s="559"/>
      <c r="AZ26" s="70" t="s">
        <v>75</v>
      </c>
      <c r="BA26" s="111">
        <v>2113393271</v>
      </c>
      <c r="BB26" s="113">
        <f>(AP26*BA26)/1000000000</f>
        <v>96.423567989375002</v>
      </c>
      <c r="BC26" s="122"/>
      <c r="BD26" s="113">
        <f>BB26*1.3</f>
        <v>125.35063838618751</v>
      </c>
      <c r="BE26" s="141"/>
      <c r="BF26" s="70"/>
      <c r="BG26" s="148"/>
      <c r="BH26" s="70"/>
      <c r="BI26" s="70"/>
      <c r="BJ26" s="70"/>
      <c r="BK26" s="70"/>
      <c r="BL26" s="161"/>
      <c r="BM26" s="70"/>
      <c r="BN26" s="70"/>
      <c r="BO26" s="70"/>
      <c r="BP26" s="70"/>
      <c r="BQ26" s="70"/>
      <c r="BR26" s="95" t="s">
        <v>89</v>
      </c>
      <c r="BS26" s="166">
        <v>500</v>
      </c>
      <c r="BT26" s="166">
        <v>182500</v>
      </c>
      <c r="BU26" s="167">
        <v>182.5</v>
      </c>
    </row>
    <row r="27" spans="1:73" ht="12.75">
      <c r="A27" s="91"/>
      <c r="B27" s="91"/>
      <c r="C27" s="14"/>
      <c r="D27" s="91"/>
      <c r="E27" s="91"/>
      <c r="F27" s="79"/>
      <c r="G27" s="33"/>
      <c r="H27" s="34"/>
      <c r="I27" s="33"/>
      <c r="J27" s="33"/>
      <c r="K27" s="37"/>
      <c r="L27" s="33"/>
      <c r="M27" s="153" t="s">
        <v>77</v>
      </c>
      <c r="N27" s="131">
        <f>'NUMBERS-DM'!F24</f>
        <v>0.4156685272677344</v>
      </c>
      <c r="O27" s="150">
        <v>0.41570000000000001</v>
      </c>
      <c r="P27" s="132">
        <f t="shared" si="4"/>
        <v>3.1472732265613867E-5</v>
      </c>
      <c r="Q27" s="132">
        <f>G$15*N27</f>
        <v>2.2030431945189921</v>
      </c>
      <c r="R27" s="100"/>
      <c r="S27" s="101"/>
      <c r="T27" s="100"/>
      <c r="U27" s="134"/>
      <c r="V27" s="68"/>
      <c r="W27" s="68"/>
      <c r="X27" s="68"/>
      <c r="Y27" s="68"/>
      <c r="Z27" s="96"/>
      <c r="AA27" s="144"/>
      <c r="AB27" s="145"/>
      <c r="AC27" s="33"/>
      <c r="AD27" s="153" t="s">
        <v>77</v>
      </c>
      <c r="AE27" s="107">
        <f t="shared" si="5"/>
        <v>1.0424198963577527</v>
      </c>
      <c r="AF27" s="108"/>
      <c r="AG27" s="109"/>
      <c r="AH27" s="109"/>
      <c r="AI27" s="110"/>
      <c r="AJ27" s="111"/>
      <c r="AK27" s="112"/>
      <c r="AL27" s="113"/>
      <c r="AM27" s="114"/>
      <c r="AN27" s="38"/>
      <c r="AO27" s="153" t="s">
        <v>77</v>
      </c>
      <c r="AP27" s="115"/>
      <c r="AQ27" s="116"/>
      <c r="AR27" s="117"/>
      <c r="AS27" s="117"/>
      <c r="AT27" s="118"/>
      <c r="AU27" s="118"/>
      <c r="AV27" s="119"/>
      <c r="AW27" s="120"/>
      <c r="AX27" s="121"/>
      <c r="AY27" s="38"/>
      <c r="AZ27" s="88"/>
      <c r="BA27" s="111">
        <v>2113393271</v>
      </c>
      <c r="BB27" s="113"/>
      <c r="BC27" s="122"/>
      <c r="BD27" s="113"/>
      <c r="BE27" s="122"/>
      <c r="BF27" s="113"/>
      <c r="BG27" s="123"/>
      <c r="BH27" s="70"/>
      <c r="BI27" s="70"/>
      <c r="BJ27" s="70"/>
      <c r="BK27" s="70"/>
      <c r="BL27" s="161"/>
      <c r="BM27" s="70"/>
      <c r="BN27" s="70"/>
      <c r="BO27" s="70"/>
      <c r="BP27" s="70"/>
      <c r="BQ27" s="70"/>
      <c r="BR27" s="95"/>
      <c r="BS27" s="95"/>
      <c r="BT27" s="95"/>
      <c r="BU27" s="95"/>
    </row>
    <row r="28" spans="1:73" ht="12.75">
      <c r="A28" s="91"/>
      <c r="B28" s="91"/>
      <c r="C28" s="14"/>
      <c r="D28" s="91"/>
      <c r="E28" s="91"/>
      <c r="F28" s="79"/>
      <c r="G28" s="33"/>
      <c r="H28" s="34"/>
      <c r="I28" s="33"/>
      <c r="J28" s="33"/>
      <c r="K28" s="37"/>
      <c r="L28" s="33"/>
      <c r="M28" s="88"/>
      <c r="N28" s="100"/>
      <c r="O28" s="100"/>
      <c r="P28" s="100"/>
      <c r="Q28" s="100"/>
      <c r="R28" s="100"/>
      <c r="S28" s="133"/>
      <c r="T28" s="100"/>
      <c r="U28" s="134"/>
      <c r="V28" s="68"/>
      <c r="W28" s="68"/>
      <c r="X28" s="68"/>
      <c r="Y28" s="68"/>
      <c r="Z28" s="96"/>
      <c r="AA28" s="144"/>
      <c r="AB28" s="145"/>
      <c r="AC28" s="33"/>
      <c r="AD28" s="88"/>
      <c r="AE28" s="107"/>
      <c r="AF28" s="108"/>
      <c r="AG28" s="109"/>
      <c r="AH28" s="109"/>
      <c r="AI28" s="110"/>
      <c r="AJ28" s="111"/>
      <c r="AK28" s="112"/>
      <c r="AL28" s="113"/>
      <c r="AM28" s="114"/>
      <c r="AN28" s="38"/>
      <c r="AO28" s="115"/>
      <c r="AP28" s="115"/>
      <c r="AQ28" s="116"/>
      <c r="AR28" s="117"/>
      <c r="AS28" s="117"/>
      <c r="AT28" s="118"/>
      <c r="AU28" s="118"/>
      <c r="AV28" s="119"/>
      <c r="AW28" s="120"/>
      <c r="AX28" s="121"/>
      <c r="AY28" s="38"/>
      <c r="AZ28" s="88"/>
      <c r="BA28" s="111"/>
      <c r="BB28" s="113"/>
      <c r="BC28" s="122"/>
      <c r="BD28" s="113"/>
      <c r="BE28" s="122"/>
      <c r="BF28" s="113"/>
      <c r="BG28" s="123"/>
      <c r="BH28" s="70"/>
      <c r="BI28" s="70"/>
      <c r="BJ28" s="70"/>
      <c r="BK28" s="70"/>
      <c r="BL28" s="161"/>
      <c r="BM28" s="70"/>
      <c r="BN28" s="70"/>
      <c r="BO28" s="70"/>
      <c r="BP28" s="70"/>
      <c r="BQ28" s="70"/>
      <c r="BR28" s="95"/>
      <c r="BS28" s="95"/>
      <c r="BT28" s="95"/>
      <c r="BU28" s="95"/>
    </row>
    <row r="29" spans="1:73" ht="12.75">
      <c r="A29" s="91"/>
      <c r="B29" s="91"/>
      <c r="C29" s="14"/>
      <c r="D29" s="91"/>
      <c r="E29" s="91"/>
      <c r="F29" s="79"/>
      <c r="G29" s="33"/>
      <c r="H29" s="34"/>
      <c r="I29" s="33"/>
      <c r="J29" s="33"/>
      <c r="K29" s="37"/>
      <c r="L29" s="558" t="s">
        <v>90</v>
      </c>
      <c r="M29" s="88" t="s">
        <v>62</v>
      </c>
      <c r="N29" s="150">
        <f>'NUMBERS-DM'!G4</f>
        <v>0.24109918924260015</v>
      </c>
      <c r="O29" s="150">
        <v>0.13539999999999999</v>
      </c>
      <c r="P29" s="132">
        <f t="shared" ref="P29:P39" si="6">O29-N29</f>
        <v>-0.10569918924260016</v>
      </c>
      <c r="Q29" s="132">
        <f>G$5*N29</f>
        <v>201.24549326079836</v>
      </c>
      <c r="R29" s="100">
        <v>112.99</v>
      </c>
      <c r="S29" s="133">
        <f>Q29</f>
        <v>201.24549326079836</v>
      </c>
      <c r="T29" s="100">
        <f>R29</f>
        <v>112.99</v>
      </c>
      <c r="U29" s="134">
        <f>SUM(S29:S39)</f>
        <v>504.26084161100374</v>
      </c>
      <c r="V29" s="104"/>
      <c r="W29" s="104"/>
      <c r="X29" s="104">
        <f>U29/U$4</f>
        <v>8.4473443428887005E-2</v>
      </c>
      <c r="Y29" s="68">
        <v>524.33000000000004</v>
      </c>
      <c r="Z29" s="136">
        <f>BA29/BA$4</f>
        <v>0.10033304789569761</v>
      </c>
      <c r="AA29" s="144"/>
      <c r="AB29" s="145"/>
      <c r="AC29" s="558" t="s">
        <v>90</v>
      </c>
      <c r="AD29" s="88" t="s">
        <v>62</v>
      </c>
      <c r="AE29" s="107">
        <f t="shared" ref="AE29:AE39" si="7">SUM(Q29*1000000)/BA29*1000</f>
        <v>312.59836896575541</v>
      </c>
      <c r="AF29" s="108">
        <v>175.50946924147075</v>
      </c>
      <c r="AG29" s="122">
        <f>AE29</f>
        <v>312.59836896575541</v>
      </c>
      <c r="AH29" s="109">
        <v>175.50946924147075</v>
      </c>
      <c r="AI29" s="110">
        <f>SUM(AG29:AG39)</f>
        <v>783.27774732635305</v>
      </c>
      <c r="AJ29" s="111">
        <v>814.45154444977754</v>
      </c>
      <c r="AK29" s="137">
        <f>AI29/20</f>
        <v>39.163887366317653</v>
      </c>
      <c r="AL29" s="113"/>
      <c r="AM29" s="114"/>
      <c r="AN29" s="560" t="s">
        <v>90</v>
      </c>
      <c r="AO29" s="115" t="s">
        <v>62</v>
      </c>
      <c r="AP29" s="115">
        <v>18.25</v>
      </c>
      <c r="AQ29" s="116">
        <v>452.96500000000003</v>
      </c>
      <c r="AR29" s="117">
        <f>AG29-AP29</f>
        <v>294.34836896575541</v>
      </c>
      <c r="AS29" s="139">
        <f>AR29/AP29</f>
        <v>16.128677751548242</v>
      </c>
      <c r="AT29" s="118">
        <f>SQRT(AS29)*10</f>
        <v>40.160525085646277</v>
      </c>
      <c r="AU29" s="118">
        <v>157.25946924147075</v>
      </c>
      <c r="AV29" s="119">
        <v>8.6169572187107271</v>
      </c>
      <c r="AW29" s="120"/>
      <c r="AX29" s="121"/>
      <c r="AY29" s="560" t="s">
        <v>90</v>
      </c>
      <c r="AZ29" s="88" t="s">
        <v>62</v>
      </c>
      <c r="BA29" s="111">
        <v>643782928</v>
      </c>
      <c r="BB29" s="113">
        <f>(AP29*BA29)/1000000000</f>
        <v>11.749038435999999</v>
      </c>
      <c r="BC29" s="122">
        <f>SUM(BB29:BB38)</f>
        <v>291.61113398152003</v>
      </c>
      <c r="BD29" s="113">
        <f>BB29*1.3</f>
        <v>15.273749966799999</v>
      </c>
      <c r="BE29" s="122">
        <f>SUM(BD29:BD39)</f>
        <v>379.09447417597602</v>
      </c>
      <c r="BF29" s="113"/>
      <c r="BG29" s="123"/>
      <c r="BH29" s="70"/>
      <c r="BI29" s="70"/>
      <c r="BJ29" s="70"/>
      <c r="BK29" s="70"/>
      <c r="BL29" s="161"/>
      <c r="BM29" s="70"/>
      <c r="BN29" s="70"/>
      <c r="BO29" s="70"/>
      <c r="BP29" s="70"/>
      <c r="BQ29" s="70"/>
      <c r="BR29" s="95"/>
      <c r="BS29" s="95"/>
      <c r="BT29" s="95"/>
      <c r="BU29" s="95"/>
    </row>
    <row r="30" spans="1:73" ht="12.75">
      <c r="A30" s="91"/>
      <c r="B30" s="91"/>
      <c r="C30" s="14"/>
      <c r="D30" s="91"/>
      <c r="E30" s="91"/>
      <c r="F30" s="79"/>
      <c r="G30" s="33"/>
      <c r="H30" s="34"/>
      <c r="I30" s="33"/>
      <c r="J30" s="33"/>
      <c r="K30" s="37"/>
      <c r="L30" s="559"/>
      <c r="M30" s="70" t="s">
        <v>65</v>
      </c>
      <c r="N30" s="150">
        <f>'NUMBERS-DM'!G6</f>
        <v>7.4628524236824728E-2</v>
      </c>
      <c r="O30" s="150">
        <v>7.46E-2</v>
      </c>
      <c r="P30" s="132">
        <f t="shared" si="6"/>
        <v>-2.8524236824728488E-5</v>
      </c>
      <c r="Q30" s="132">
        <f>G$6*N30</f>
        <v>95.536451587013531</v>
      </c>
      <c r="R30" s="100">
        <v>199.03</v>
      </c>
      <c r="S30" s="133">
        <f>Q30</f>
        <v>95.536451587013531</v>
      </c>
      <c r="T30" s="100">
        <f>R30</f>
        <v>199.03</v>
      </c>
      <c r="U30" s="134"/>
      <c r="V30" s="68"/>
      <c r="W30" s="68"/>
      <c r="X30" s="68"/>
      <c r="Y30" s="68"/>
      <c r="Z30" s="96"/>
      <c r="AA30" s="144"/>
      <c r="AB30" s="145"/>
      <c r="AC30" s="559"/>
      <c r="AD30" s="70" t="s">
        <v>65</v>
      </c>
      <c r="AE30" s="107">
        <f t="shared" si="7"/>
        <v>148.39854775865311</v>
      </c>
      <c r="AF30" s="108">
        <v>309.15700206327932</v>
      </c>
      <c r="AG30" s="122">
        <f>AE30</f>
        <v>148.39854775865311</v>
      </c>
      <c r="AH30" s="109">
        <v>309.15700206327932</v>
      </c>
      <c r="AI30" s="110"/>
      <c r="AJ30" s="111"/>
      <c r="AK30" s="95"/>
      <c r="AL30" s="70"/>
      <c r="AM30" s="84"/>
      <c r="AN30" s="559"/>
      <c r="AO30" s="146" t="s">
        <v>65</v>
      </c>
      <c r="AP30" s="115">
        <v>84.68</v>
      </c>
      <c r="AQ30" s="147"/>
      <c r="AR30" s="117">
        <f>AG30-AP30</f>
        <v>63.718547758653102</v>
      </c>
      <c r="AS30" s="139">
        <f>AR30/AP30</f>
        <v>0.7524627746652468</v>
      </c>
      <c r="AT30" s="118">
        <f>SQRT(AS30)*10</f>
        <v>8.6744612205326437</v>
      </c>
      <c r="AU30" s="118">
        <v>224.47700206327931</v>
      </c>
      <c r="AV30" s="119">
        <v>2.650885711658943</v>
      </c>
      <c r="AW30" s="120"/>
      <c r="AX30" s="121"/>
      <c r="AY30" s="559"/>
      <c r="AZ30" s="70" t="s">
        <v>65</v>
      </c>
      <c r="BA30" s="111">
        <v>643782928</v>
      </c>
      <c r="BB30" s="113">
        <f>(AP30*BA30)/1000000000</f>
        <v>54.515538343039999</v>
      </c>
      <c r="BC30" s="122"/>
      <c r="BD30" s="113">
        <f>BB30*1.3</f>
        <v>70.870199845952001</v>
      </c>
      <c r="BE30" s="141"/>
      <c r="BF30" s="70"/>
      <c r="BG30" s="148"/>
      <c r="BH30" s="70"/>
      <c r="BI30" s="70"/>
      <c r="BJ30" s="70"/>
      <c r="BK30" s="70"/>
      <c r="BL30" s="161"/>
      <c r="BM30" s="70"/>
      <c r="BN30" s="70"/>
      <c r="BO30" s="70"/>
      <c r="BP30" s="70"/>
      <c r="BQ30" s="70"/>
      <c r="BR30" s="95" t="s">
        <v>91</v>
      </c>
      <c r="BS30" s="166">
        <v>250</v>
      </c>
      <c r="BT30" s="166">
        <v>91250</v>
      </c>
      <c r="BU30" s="167">
        <v>91.25</v>
      </c>
    </row>
    <row r="31" spans="1:73" ht="12.75">
      <c r="A31" s="91"/>
      <c r="B31" s="91"/>
      <c r="C31" s="14"/>
      <c r="D31" s="91"/>
      <c r="E31" s="91"/>
      <c r="F31" s="79"/>
      <c r="G31" s="33"/>
      <c r="H31" s="34"/>
      <c r="I31" s="33"/>
      <c r="J31" s="33"/>
      <c r="K31" s="37"/>
      <c r="L31" s="559"/>
      <c r="M31" s="88" t="s">
        <v>66</v>
      </c>
      <c r="N31" s="150">
        <f>'NUMBERS-DM'!G8</f>
        <v>3.0786872474324933E-2</v>
      </c>
      <c r="O31" s="150">
        <v>3.0800000000000001E-2</v>
      </c>
      <c r="P31" s="132">
        <f t="shared" si="6"/>
        <v>1.3127525675067642E-5</v>
      </c>
      <c r="Q31" s="132">
        <f>G$7*N31</f>
        <v>34.789165895987175</v>
      </c>
      <c r="R31" s="100">
        <v>34.79</v>
      </c>
      <c r="S31" s="133">
        <f>Q31+Q32</f>
        <v>98.507472851835956</v>
      </c>
      <c r="T31" s="100">
        <f>R31+R32</f>
        <v>98.509999999999991</v>
      </c>
      <c r="U31" s="134"/>
      <c r="V31" s="68"/>
      <c r="W31" s="68"/>
      <c r="X31" s="68"/>
      <c r="Y31" s="68"/>
      <c r="Z31" s="96"/>
      <c r="AA31" s="144"/>
      <c r="AB31" s="145"/>
      <c r="AC31" s="559"/>
      <c r="AD31" s="88" t="s">
        <v>66</v>
      </c>
      <c r="AE31" s="107">
        <f t="shared" si="7"/>
        <v>54.038658657918269</v>
      </c>
      <c r="AF31" s="108">
        <v>54.039954287200352</v>
      </c>
      <c r="AG31" s="122">
        <f>AE31+AE32</f>
        <v>153.01349036679639</v>
      </c>
      <c r="AH31" s="109">
        <v>153.01741583305855</v>
      </c>
      <c r="AI31" s="110"/>
      <c r="AJ31" s="111"/>
      <c r="AK31" s="95"/>
      <c r="AL31" s="70"/>
      <c r="AM31" s="84"/>
      <c r="AN31" s="559"/>
      <c r="AO31" s="115" t="s">
        <v>66</v>
      </c>
      <c r="AP31" s="115">
        <v>182.5</v>
      </c>
      <c r="AQ31" s="147"/>
      <c r="AR31" s="117">
        <f>AG31-AP31</f>
        <v>-29.48650963320361</v>
      </c>
      <c r="AS31" s="139">
        <f>AR31/AP31</f>
        <v>-0.16156991579837596</v>
      </c>
      <c r="AT31" s="118">
        <f>SQRT(-AS31)*10</f>
        <v>4.0195760447885043</v>
      </c>
      <c r="AU31" s="118">
        <v>-29.48258416694145</v>
      </c>
      <c r="AV31" s="119">
        <v>-0.16154840639419973</v>
      </c>
      <c r="AW31" s="120"/>
      <c r="AX31" s="121"/>
      <c r="AY31" s="559"/>
      <c r="AZ31" s="88" t="s">
        <v>66</v>
      </c>
      <c r="BA31" s="111">
        <v>643782928</v>
      </c>
      <c r="BB31" s="113">
        <f>(AP31*BA31)/1000000000</f>
        <v>117.49038435999999</v>
      </c>
      <c r="BC31" s="122"/>
      <c r="BD31" s="113">
        <f>BB31*1.3</f>
        <v>152.737499668</v>
      </c>
      <c r="BE31" s="141"/>
      <c r="BF31" s="70"/>
      <c r="BG31" s="148"/>
      <c r="BH31" s="70"/>
      <c r="BI31" s="70"/>
      <c r="BJ31" s="70"/>
      <c r="BK31" s="70"/>
      <c r="BL31" s="161"/>
      <c r="BM31" s="70"/>
      <c r="BN31" s="70"/>
      <c r="BO31" s="70"/>
      <c r="BP31" s="70"/>
      <c r="BQ31" s="70"/>
      <c r="BR31" s="95" t="s">
        <v>92</v>
      </c>
      <c r="BS31" s="166">
        <v>14</v>
      </c>
      <c r="BT31" s="166">
        <v>5110</v>
      </c>
      <c r="BU31" s="167">
        <v>5.1100000000000003</v>
      </c>
    </row>
    <row r="32" spans="1:73" ht="12.75">
      <c r="A32" s="91"/>
      <c r="B32" s="91"/>
      <c r="C32" s="14"/>
      <c r="D32" s="91"/>
      <c r="E32" s="91"/>
      <c r="F32" s="79"/>
      <c r="G32" s="33"/>
      <c r="H32" s="33"/>
      <c r="I32" s="33"/>
      <c r="J32" s="33"/>
      <c r="K32" s="37"/>
      <c r="L32" s="559"/>
      <c r="M32" s="88" t="s">
        <v>67</v>
      </c>
      <c r="N32" s="150">
        <f>'NUMBERS-DM'!G10</f>
        <v>7.2161163030406331E-2</v>
      </c>
      <c r="O32" s="150">
        <v>7.22E-2</v>
      </c>
      <c r="P32" s="132">
        <f t="shared" si="6"/>
        <v>3.8836969593669668E-5</v>
      </c>
      <c r="Q32" s="132">
        <f>G$8*N32</f>
        <v>63.718306955848789</v>
      </c>
      <c r="R32" s="100">
        <v>63.72</v>
      </c>
      <c r="S32" s="133"/>
      <c r="T32" s="100"/>
      <c r="U32" s="134"/>
      <c r="V32" s="68"/>
      <c r="W32" s="68"/>
      <c r="X32" s="68"/>
      <c r="Y32" s="68"/>
      <c r="Z32" s="96"/>
      <c r="AA32" s="144"/>
      <c r="AB32" s="145"/>
      <c r="AC32" s="559"/>
      <c r="AD32" s="88" t="s">
        <v>67</v>
      </c>
      <c r="AE32" s="107">
        <f t="shared" si="7"/>
        <v>98.974831708878114</v>
      </c>
      <c r="AF32" s="108">
        <v>98.977461545858191</v>
      </c>
      <c r="AG32" s="61"/>
      <c r="AH32" s="109"/>
      <c r="AI32" s="110"/>
      <c r="AJ32" s="111"/>
      <c r="AK32" s="95"/>
      <c r="AL32" s="70"/>
      <c r="AM32" s="84"/>
      <c r="AN32" s="559"/>
      <c r="AO32" s="115" t="s">
        <v>67</v>
      </c>
      <c r="AP32" s="115"/>
      <c r="AQ32" s="147"/>
      <c r="AR32" s="117"/>
      <c r="AS32" s="139"/>
      <c r="AT32" s="118"/>
      <c r="AU32" s="118">
        <v>0</v>
      </c>
      <c r="AV32" s="119"/>
      <c r="AW32" s="120"/>
      <c r="AX32" s="121"/>
      <c r="AY32" s="559"/>
      <c r="AZ32" s="88" t="s">
        <v>67</v>
      </c>
      <c r="BA32" s="111">
        <v>643782928</v>
      </c>
      <c r="BB32" s="113"/>
      <c r="BC32" s="122"/>
      <c r="BD32" s="113"/>
      <c r="BE32" s="141"/>
      <c r="BF32" s="70"/>
      <c r="BG32" s="148"/>
      <c r="BH32" s="70"/>
      <c r="BI32" s="70"/>
      <c r="BJ32" s="70"/>
      <c r="BK32" s="70"/>
      <c r="BL32" s="161"/>
      <c r="BM32" s="70"/>
      <c r="BN32" s="70"/>
      <c r="BO32" s="70"/>
      <c r="BP32" s="70"/>
      <c r="BQ32" s="70"/>
      <c r="BR32" s="95" t="s">
        <v>93</v>
      </c>
      <c r="BS32" s="166">
        <v>70</v>
      </c>
      <c r="BT32" s="166">
        <v>25550</v>
      </c>
      <c r="BU32" s="167">
        <v>25.55</v>
      </c>
    </row>
    <row r="33" spans="1:73" ht="12.75">
      <c r="A33" s="91"/>
      <c r="B33" s="91"/>
      <c r="C33" s="14"/>
      <c r="D33" s="91"/>
      <c r="E33" s="91"/>
      <c r="F33" s="79"/>
      <c r="G33" s="33"/>
      <c r="H33" s="33"/>
      <c r="I33" s="33"/>
      <c r="J33" s="33"/>
      <c r="K33" s="37"/>
      <c r="L33" s="559"/>
      <c r="M33" s="70" t="s">
        <v>68</v>
      </c>
      <c r="N33" s="150">
        <f>'NUMBERS-DM'!G12</f>
        <v>3.8785339306124253E-2</v>
      </c>
      <c r="O33" s="150">
        <v>3.9800000000000002E-2</v>
      </c>
      <c r="P33" s="132">
        <f t="shared" si="6"/>
        <v>1.0146606938757491E-3</v>
      </c>
      <c r="Q33" s="132">
        <f>G$9*N33</f>
        <v>32.618470356450494</v>
      </c>
      <c r="R33" s="100">
        <v>33.43</v>
      </c>
      <c r="S33" s="133">
        <f>Q33</f>
        <v>32.618470356450494</v>
      </c>
      <c r="T33" s="100">
        <f>R33</f>
        <v>33.43</v>
      </c>
      <c r="U33" s="134"/>
      <c r="V33" s="68"/>
      <c r="W33" s="68"/>
      <c r="X33" s="68"/>
      <c r="Y33" s="68"/>
      <c r="Z33" s="96"/>
      <c r="AA33" s="144"/>
      <c r="AB33" s="145"/>
      <c r="AC33" s="559"/>
      <c r="AD33" s="70" t="s">
        <v>68</v>
      </c>
      <c r="AE33" s="107">
        <f t="shared" si="7"/>
        <v>50.666876889364318</v>
      </c>
      <c r="AF33" s="108">
        <v>51.927440983647827</v>
      </c>
      <c r="AG33" s="122">
        <f>AE33</f>
        <v>50.666876889364318</v>
      </c>
      <c r="AH33" s="109">
        <v>51.927440983647827</v>
      </c>
      <c r="AI33" s="110"/>
      <c r="AJ33" s="111"/>
      <c r="AK33" s="95"/>
      <c r="AL33" s="70"/>
      <c r="AM33" s="84"/>
      <c r="AN33" s="559"/>
      <c r="AO33" s="146" t="s">
        <v>68</v>
      </c>
      <c r="AP33" s="115">
        <v>91.25</v>
      </c>
      <c r="AQ33" s="147"/>
      <c r="AR33" s="117">
        <f>AG33-AP33</f>
        <v>-40.583123110635682</v>
      </c>
      <c r="AS33" s="139">
        <f>AR33/AP33</f>
        <v>-0.44474655463710339</v>
      </c>
      <c r="AT33" s="118">
        <f>SQRT(-AS33)*10</f>
        <v>6.6689321081947099</v>
      </c>
      <c r="AU33" s="118">
        <v>-39.322559016352173</v>
      </c>
      <c r="AV33" s="119">
        <v>-0.43093215360385945</v>
      </c>
      <c r="AW33" s="120"/>
      <c r="AX33" s="121"/>
      <c r="AY33" s="559"/>
      <c r="AZ33" s="70" t="s">
        <v>68</v>
      </c>
      <c r="BA33" s="111">
        <v>643782928</v>
      </c>
      <c r="BB33" s="113">
        <f>(AP33*BA33)/1000000000</f>
        <v>58.745192179999997</v>
      </c>
      <c r="BC33" s="122"/>
      <c r="BD33" s="113">
        <f>BB33*1.3</f>
        <v>76.368749833999999</v>
      </c>
      <c r="BE33" s="141"/>
      <c r="BF33" s="70"/>
      <c r="BG33" s="148"/>
      <c r="BH33" s="70"/>
      <c r="BI33" s="70"/>
      <c r="BJ33" s="70"/>
      <c r="BK33" s="70"/>
      <c r="BL33" s="161"/>
      <c r="BM33" s="70"/>
      <c r="BN33" s="70"/>
      <c r="BO33" s="70"/>
      <c r="BP33" s="70"/>
      <c r="BQ33" s="70"/>
      <c r="BR33" s="95"/>
      <c r="BS33" s="95"/>
      <c r="BT33" s="95"/>
      <c r="BU33" s="95"/>
    </row>
    <row r="34" spans="1:73" ht="12.75">
      <c r="A34" s="91"/>
      <c r="B34" s="91"/>
      <c r="C34" s="14"/>
      <c r="D34" s="91"/>
      <c r="E34" s="91"/>
      <c r="F34" s="79"/>
      <c r="G34" s="33"/>
      <c r="H34" s="33"/>
      <c r="I34" s="33"/>
      <c r="J34" s="33"/>
      <c r="K34" s="37"/>
      <c r="L34" s="559"/>
      <c r="M34" s="88" t="s">
        <v>70</v>
      </c>
      <c r="N34" s="150">
        <f>'NUMBERS-DM'!G14</f>
        <v>2.8633821788983285E-2</v>
      </c>
      <c r="O34" s="150">
        <v>2.86E-2</v>
      </c>
      <c r="P34" s="132">
        <f t="shared" si="6"/>
        <v>-3.3821788983284806E-5</v>
      </c>
      <c r="Q34" s="132">
        <f>G$10*N34</f>
        <v>6.0703702192644569</v>
      </c>
      <c r="R34" s="100">
        <v>6.07</v>
      </c>
      <c r="S34" s="133">
        <f>Q34</f>
        <v>6.0703702192644569</v>
      </c>
      <c r="T34" s="100">
        <f>R34</f>
        <v>6.07</v>
      </c>
      <c r="U34" s="134"/>
      <c r="V34" s="68"/>
      <c r="W34" s="68"/>
      <c r="X34" s="68"/>
      <c r="Y34" s="68"/>
      <c r="Z34" s="96"/>
      <c r="AA34" s="144"/>
      <c r="AB34" s="145"/>
      <c r="AC34" s="559"/>
      <c r="AD34" s="88" t="s">
        <v>70</v>
      </c>
      <c r="AE34" s="107">
        <f t="shared" si="7"/>
        <v>9.4292190041803305</v>
      </c>
      <c r="AF34" s="108">
        <v>9.4286439357087151</v>
      </c>
      <c r="AG34" s="122">
        <f>AE34</f>
        <v>9.4292190041803305</v>
      </c>
      <c r="AH34" s="109">
        <v>9.4286439357087151</v>
      </c>
      <c r="AI34" s="110"/>
      <c r="AJ34" s="111"/>
      <c r="AK34" s="96"/>
      <c r="AL34" s="88"/>
      <c r="AM34" s="154"/>
      <c r="AN34" s="559"/>
      <c r="AO34" s="115" t="s">
        <v>70</v>
      </c>
      <c r="AP34" s="115">
        <v>5.1100000000000003</v>
      </c>
      <c r="AQ34" s="147"/>
      <c r="AR34" s="117">
        <f>AG34-AP34</f>
        <v>4.3192190041803302</v>
      </c>
      <c r="AS34" s="139">
        <f>AR34/AP34</f>
        <v>0.84524833741298044</v>
      </c>
      <c r="AT34" s="118">
        <f>SQRT(AS34)*10</f>
        <v>9.1937388336464103</v>
      </c>
      <c r="AU34" s="118">
        <v>4.3186439357087147</v>
      </c>
      <c r="AV34" s="119">
        <v>0.84513579955160756</v>
      </c>
      <c r="AW34" s="120"/>
      <c r="AX34" s="121"/>
      <c r="AY34" s="559"/>
      <c r="AZ34" s="88" t="s">
        <v>70</v>
      </c>
      <c r="BA34" s="111">
        <v>643782928</v>
      </c>
      <c r="BB34" s="113">
        <f>(AP34*BA34)/1000000000</f>
        <v>3.2897307620800005</v>
      </c>
      <c r="BC34" s="122"/>
      <c r="BD34" s="113">
        <f>BB34*1.3</f>
        <v>4.2766499907040005</v>
      </c>
      <c r="BE34" s="61"/>
      <c r="BF34" s="88"/>
      <c r="BG34" s="155"/>
      <c r="BH34" s="88"/>
      <c r="BI34" s="88"/>
      <c r="BJ34" s="88"/>
      <c r="BK34" s="88"/>
      <c r="BL34" s="100"/>
      <c r="BM34" s="88"/>
      <c r="BN34" s="88"/>
      <c r="BO34" s="88"/>
      <c r="BP34" s="88"/>
      <c r="BQ34" s="88"/>
      <c r="BR34" s="96"/>
      <c r="BS34" s="96"/>
      <c r="BT34" s="96"/>
      <c r="BU34" s="96"/>
    </row>
    <row r="35" spans="1:73" ht="12.75">
      <c r="A35" s="91"/>
      <c r="B35" s="91"/>
      <c r="C35" s="14"/>
      <c r="D35" s="91"/>
      <c r="E35" s="91"/>
      <c r="F35" s="79"/>
      <c r="G35" s="33"/>
      <c r="H35" s="33"/>
      <c r="I35" s="33"/>
      <c r="J35" s="33"/>
      <c r="K35" s="37"/>
      <c r="L35" s="559"/>
      <c r="M35" s="88" t="s">
        <v>71</v>
      </c>
      <c r="N35" s="150">
        <f>'NUMBERS-DM'!G16</f>
        <v>3.2035257912963987E-2</v>
      </c>
      <c r="O35" s="150">
        <v>3.2000000000000001E-2</v>
      </c>
      <c r="P35" s="132">
        <f t="shared" si="6"/>
        <v>-3.5257912963986004E-5</v>
      </c>
      <c r="Q35" s="132">
        <f>G$11*N35</f>
        <v>4.2927245603371746</v>
      </c>
      <c r="R35" s="100">
        <v>4.29</v>
      </c>
      <c r="S35" s="133">
        <f>Q35+Q37+Q36</f>
        <v>12.356674670436348</v>
      </c>
      <c r="T35" s="100">
        <f>R35+R36+R37</f>
        <v>12.36</v>
      </c>
      <c r="U35" s="134"/>
      <c r="V35" s="68"/>
      <c r="W35" s="68"/>
      <c r="X35" s="68"/>
      <c r="Y35" s="68"/>
      <c r="Z35" s="96"/>
      <c r="AA35" s="144"/>
      <c r="AB35" s="145"/>
      <c r="AC35" s="559"/>
      <c r="AD35" s="88" t="s">
        <v>71</v>
      </c>
      <c r="AE35" s="107">
        <f t="shared" si="7"/>
        <v>6.6679689280874728</v>
      </c>
      <c r="AF35" s="108">
        <v>6.6637368178237866</v>
      </c>
      <c r="AG35" s="122">
        <f>AE35+AE37+AE36</f>
        <v>19.193852668358346</v>
      </c>
      <c r="AH35" s="109">
        <v>19.199017964639161</v>
      </c>
      <c r="AI35" s="110"/>
      <c r="AJ35" s="111"/>
      <c r="AK35" s="95"/>
      <c r="AL35" s="70"/>
      <c r="AM35" s="84"/>
      <c r="AN35" s="559"/>
      <c r="AO35" s="115" t="s">
        <v>71</v>
      </c>
      <c r="AP35" s="115">
        <v>25.55</v>
      </c>
      <c r="AQ35" s="147"/>
      <c r="AR35" s="117">
        <f>AG35-AP35</f>
        <v>-6.3561473316416546</v>
      </c>
      <c r="AS35" s="139">
        <f>AR35/AP35</f>
        <v>-0.24877288969243266</v>
      </c>
      <c r="AT35" s="118">
        <f>SQRT(-AS35)*10</f>
        <v>4.987713801857848</v>
      </c>
      <c r="AU35" s="118">
        <v>-6.3509820353608397</v>
      </c>
      <c r="AV35" s="119">
        <v>-0.24857072545443598</v>
      </c>
      <c r="AW35" s="120"/>
      <c r="AX35" s="121"/>
      <c r="AY35" s="559"/>
      <c r="AZ35" s="88" t="s">
        <v>71</v>
      </c>
      <c r="BA35" s="111">
        <v>643782928</v>
      </c>
      <c r="BB35" s="113">
        <f>(AP35*BA35)/1000000000</f>
        <v>16.4486538104</v>
      </c>
      <c r="BC35" s="122"/>
      <c r="BD35" s="113">
        <f>BB35*1.3</f>
        <v>21.38324995352</v>
      </c>
      <c r="BE35" s="141"/>
      <c r="BF35" s="70"/>
      <c r="BG35" s="148"/>
      <c r="BH35" s="70"/>
      <c r="BI35" s="70"/>
      <c r="BJ35" s="70"/>
      <c r="BK35" s="70"/>
      <c r="BL35" s="161"/>
      <c r="BM35" s="70"/>
      <c r="BN35" s="70"/>
      <c r="BO35" s="70"/>
      <c r="BP35" s="70"/>
      <c r="BQ35" s="70"/>
      <c r="BR35" s="95" t="s">
        <v>94</v>
      </c>
      <c r="BS35" s="166">
        <v>125</v>
      </c>
      <c r="BT35" s="166">
        <v>45625</v>
      </c>
      <c r="BU35" s="167">
        <v>45.625</v>
      </c>
    </row>
    <row r="36" spans="1:73" ht="12.75">
      <c r="A36" s="91"/>
      <c r="B36" s="91"/>
      <c r="C36" s="14"/>
      <c r="D36" s="91"/>
      <c r="E36" s="91"/>
      <c r="F36" s="79"/>
      <c r="G36" s="33"/>
      <c r="H36" s="33"/>
      <c r="I36" s="33"/>
      <c r="J36" s="33"/>
      <c r="K36" s="37"/>
      <c r="L36" s="559"/>
      <c r="M36" s="88" t="s">
        <v>72</v>
      </c>
      <c r="N36" s="150">
        <f>'NUMBERS-DM'!G18</f>
        <v>4.3336749542266975E-2</v>
      </c>
      <c r="O36" s="150">
        <v>4.3299999999999998E-2</v>
      </c>
      <c r="P36" s="132">
        <f t="shared" si="6"/>
        <v>-3.6749542266976964E-5</v>
      </c>
      <c r="Q36" s="132">
        <f>G$12*N36</f>
        <v>6.7171961790513812</v>
      </c>
      <c r="R36" s="100">
        <v>6.72</v>
      </c>
      <c r="S36" s="133"/>
      <c r="T36" s="100"/>
      <c r="U36" s="134"/>
      <c r="V36" s="68"/>
      <c r="W36" s="68"/>
      <c r="X36" s="68"/>
      <c r="Y36" s="68"/>
      <c r="Z36" s="96"/>
      <c r="AA36" s="144"/>
      <c r="AB36" s="145"/>
      <c r="AC36" s="559"/>
      <c r="AD36" s="88" t="s">
        <v>72</v>
      </c>
      <c r="AE36" s="107">
        <f t="shared" si="7"/>
        <v>10.43394580207225</v>
      </c>
      <c r="AF36" s="108">
        <v>10.438301029318378</v>
      </c>
      <c r="AG36" s="61"/>
      <c r="AH36" s="109"/>
      <c r="AI36" s="110"/>
      <c r="AJ36" s="111"/>
      <c r="AK36" s="95"/>
      <c r="AL36" s="70"/>
      <c r="AM36" s="84"/>
      <c r="AN36" s="559"/>
      <c r="AO36" s="115" t="s">
        <v>72</v>
      </c>
      <c r="AP36" s="115"/>
      <c r="AQ36" s="147"/>
      <c r="AR36" s="117"/>
      <c r="AS36" s="117"/>
      <c r="AT36" s="118"/>
      <c r="AU36" s="118">
        <v>0</v>
      </c>
      <c r="AV36" s="119"/>
      <c r="AW36" s="120"/>
      <c r="AX36" s="121"/>
      <c r="AY36" s="559"/>
      <c r="AZ36" s="88" t="s">
        <v>72</v>
      </c>
      <c r="BA36" s="111">
        <v>643782928</v>
      </c>
      <c r="BB36" s="113"/>
      <c r="BC36" s="122"/>
      <c r="BD36" s="113"/>
      <c r="BE36" s="141"/>
      <c r="BF36" s="70"/>
      <c r="BG36" s="148"/>
      <c r="BH36" s="70"/>
      <c r="BI36" s="70"/>
      <c r="BJ36" s="70"/>
      <c r="BK36" s="70"/>
      <c r="BL36" s="161"/>
      <c r="BM36" s="70"/>
      <c r="BN36" s="70"/>
      <c r="BO36" s="70"/>
      <c r="BP36" s="70"/>
      <c r="BQ36" s="70"/>
      <c r="BR36" s="95"/>
      <c r="BS36" s="95"/>
      <c r="BT36" s="95"/>
      <c r="BU36" s="168">
        <v>452.96500000000003</v>
      </c>
    </row>
    <row r="37" spans="1:73" ht="12.75">
      <c r="A37" s="91"/>
      <c r="B37" s="91"/>
      <c r="C37" s="14"/>
      <c r="D37" s="91"/>
      <c r="E37" s="91"/>
      <c r="F37" s="79"/>
      <c r="G37" s="33"/>
      <c r="H37" s="33"/>
      <c r="I37" s="33"/>
      <c r="J37" s="33"/>
      <c r="K37" s="37"/>
      <c r="L37" s="559"/>
      <c r="M37" s="88" t="s">
        <v>73</v>
      </c>
      <c r="N37" s="150">
        <f>'NUMBERS-DM'!G20</f>
        <v>1.6245523896837054E-2</v>
      </c>
      <c r="O37" s="150">
        <v>1.6199999999999999E-2</v>
      </c>
      <c r="P37" s="132">
        <f t="shared" si="6"/>
        <v>-4.5523896837054711E-5</v>
      </c>
      <c r="Q37" s="132">
        <f>G$13*N37</f>
        <v>1.3467539310477918</v>
      </c>
      <c r="R37" s="100">
        <v>1.35</v>
      </c>
      <c r="S37" s="133"/>
      <c r="T37" s="100"/>
      <c r="U37" s="134"/>
      <c r="V37" s="68"/>
      <c r="W37" s="68"/>
      <c r="X37" s="68"/>
      <c r="Y37" s="68"/>
      <c r="Z37" s="96"/>
      <c r="AA37" s="144"/>
      <c r="AB37" s="145"/>
      <c r="AC37" s="559"/>
      <c r="AD37" s="88" t="s">
        <v>73</v>
      </c>
      <c r="AE37" s="107">
        <f t="shared" si="7"/>
        <v>2.0919379381986221</v>
      </c>
      <c r="AF37" s="108">
        <v>2.096980117496996</v>
      </c>
      <c r="AG37" s="61"/>
      <c r="AH37" s="109"/>
      <c r="AI37" s="110"/>
      <c r="AJ37" s="111"/>
      <c r="AK37" s="95"/>
      <c r="AL37" s="70"/>
      <c r="AM37" s="84"/>
      <c r="AN37" s="559"/>
      <c r="AO37" s="115" t="s">
        <v>73</v>
      </c>
      <c r="AP37" s="115"/>
      <c r="AQ37" s="147"/>
      <c r="AR37" s="117"/>
      <c r="AS37" s="117"/>
      <c r="AT37" s="118"/>
      <c r="AU37" s="118">
        <v>0</v>
      </c>
      <c r="AV37" s="119"/>
      <c r="AW37" s="120"/>
      <c r="AX37" s="121"/>
      <c r="AY37" s="559"/>
      <c r="AZ37" s="88" t="s">
        <v>73</v>
      </c>
      <c r="BA37" s="111">
        <v>643782928</v>
      </c>
      <c r="BB37" s="113"/>
      <c r="BC37" s="122"/>
      <c r="BD37" s="113"/>
      <c r="BE37" s="141"/>
      <c r="BF37" s="70"/>
      <c r="BG37" s="148"/>
      <c r="BH37" s="70"/>
      <c r="BI37" s="70"/>
      <c r="BJ37" s="70"/>
      <c r="BK37" s="70"/>
      <c r="BL37" s="161"/>
      <c r="BM37" s="70"/>
      <c r="BN37" s="70"/>
      <c r="BO37" s="70"/>
      <c r="BP37" s="70"/>
      <c r="BQ37" s="70"/>
      <c r="BR37" s="95"/>
      <c r="BS37" s="95"/>
      <c r="BT37" s="95"/>
      <c r="BU37" s="95"/>
    </row>
    <row r="38" spans="1:73" ht="12.75">
      <c r="A38" s="91"/>
      <c r="B38" s="91"/>
      <c r="C38" s="14"/>
      <c r="D38" s="91"/>
      <c r="E38" s="91"/>
      <c r="F38" s="79"/>
      <c r="G38" s="33"/>
      <c r="H38" s="33"/>
      <c r="I38" s="33"/>
      <c r="J38" s="33"/>
      <c r="K38" s="37"/>
      <c r="L38" s="559"/>
      <c r="M38" s="70" t="s">
        <v>75</v>
      </c>
      <c r="N38" s="150">
        <f>'NUMBERS-DM'!G22</f>
        <v>0.14040590857540525</v>
      </c>
      <c r="O38" s="150">
        <v>0.1404</v>
      </c>
      <c r="P38" s="132">
        <f t="shared" si="6"/>
        <v>-5.9085754052501382E-6</v>
      </c>
      <c r="Q38" s="132">
        <f>G$14*N38</f>
        <v>57.762990787921723</v>
      </c>
      <c r="R38" s="100">
        <v>61.94</v>
      </c>
      <c r="S38" s="133">
        <f>Q38+Q39</f>
        <v>57.925908665204574</v>
      </c>
      <c r="T38" s="100">
        <f>R38</f>
        <v>61.94</v>
      </c>
      <c r="U38" s="134"/>
      <c r="V38" s="68"/>
      <c r="W38" s="68"/>
      <c r="X38" s="68"/>
      <c r="Y38" s="68"/>
      <c r="Z38" s="96"/>
      <c r="AA38" s="144"/>
      <c r="AB38" s="145"/>
      <c r="AC38" s="559"/>
      <c r="AD38" s="70" t="s">
        <v>75</v>
      </c>
      <c r="AE38" s="107">
        <f t="shared" si="7"/>
        <v>89.724328303284437</v>
      </c>
      <c r="AF38" s="108">
        <v>96.212554427973274</v>
      </c>
      <c r="AG38" s="122">
        <f>AE38+AE39</f>
        <v>89.977391673245151</v>
      </c>
      <c r="AH38" s="109">
        <v>96.212554427973274</v>
      </c>
      <c r="AI38" s="110"/>
      <c r="AJ38" s="111"/>
      <c r="AK38" s="95"/>
      <c r="AL38" s="70"/>
      <c r="AM38" s="84"/>
      <c r="AN38" s="559"/>
      <c r="AO38" s="70" t="s">
        <v>75</v>
      </c>
      <c r="AP38" s="115">
        <v>45.625</v>
      </c>
      <c r="AQ38" s="147"/>
      <c r="AR38" s="117">
        <f>AG38-AP38</f>
        <v>44.352391673245151</v>
      </c>
      <c r="AS38" s="139">
        <f>AR38/AP38</f>
        <v>0.9721072147560581</v>
      </c>
      <c r="AT38" s="118">
        <f>SQRT(AS38)*10</f>
        <v>9.8595497602885409</v>
      </c>
      <c r="AU38" s="118">
        <v>50.587554427973274</v>
      </c>
      <c r="AV38" s="119">
        <v>1.1087683162295512</v>
      </c>
      <c r="AW38" s="120"/>
      <c r="AX38" s="121"/>
      <c r="AY38" s="559"/>
      <c r="AZ38" s="70" t="s">
        <v>75</v>
      </c>
      <c r="BA38" s="111">
        <v>643782928</v>
      </c>
      <c r="BB38" s="113">
        <f>(AP38*BA38)/1000000000</f>
        <v>29.372596089999998</v>
      </c>
      <c r="BC38" s="122"/>
      <c r="BD38" s="113">
        <f>BB38*1.3</f>
        <v>38.184374917</v>
      </c>
      <c r="BE38" s="141"/>
      <c r="BF38" s="70"/>
      <c r="BG38" s="148"/>
      <c r="BH38" s="70"/>
      <c r="BI38" s="70"/>
      <c r="BJ38" s="70"/>
      <c r="BK38" s="70"/>
      <c r="BL38" s="161"/>
      <c r="BM38" s="70"/>
      <c r="BN38" s="70"/>
      <c r="BO38" s="70"/>
      <c r="BP38" s="70"/>
      <c r="BQ38" s="70"/>
      <c r="BR38" s="95"/>
      <c r="BS38" s="95"/>
      <c r="BT38" s="95"/>
      <c r="BU38" s="95"/>
    </row>
    <row r="39" spans="1:73" ht="12.75">
      <c r="A39" s="91"/>
      <c r="B39" s="91"/>
      <c r="C39" s="14"/>
      <c r="D39" s="91"/>
      <c r="E39" s="91"/>
      <c r="F39" s="79"/>
      <c r="G39" s="33"/>
      <c r="H39" s="33"/>
      <c r="I39" s="33"/>
      <c r="J39" s="33"/>
      <c r="K39" s="37"/>
      <c r="L39" s="33"/>
      <c r="M39" s="153" t="s">
        <v>77</v>
      </c>
      <c r="N39" s="150">
        <f>'NUMBERS-DM'!G24</f>
        <v>3.0739222128840355E-2</v>
      </c>
      <c r="O39" s="150">
        <v>3.0700000000000002E-2</v>
      </c>
      <c r="P39" s="132">
        <f t="shared" si="6"/>
        <v>-3.9222128840353532E-5</v>
      </c>
      <c r="Q39" s="132">
        <f>G$15*N39</f>
        <v>0.16291787728285387</v>
      </c>
      <c r="R39" s="100"/>
      <c r="S39" s="101"/>
      <c r="T39" s="100"/>
      <c r="U39" s="134"/>
      <c r="V39" s="68"/>
      <c r="W39" s="68"/>
      <c r="X39" s="68"/>
      <c r="Y39" s="68"/>
      <c r="Z39" s="96"/>
      <c r="AA39" s="144"/>
      <c r="AB39" s="145"/>
      <c r="AC39" s="33"/>
      <c r="AD39" s="153" t="s">
        <v>77</v>
      </c>
      <c r="AE39" s="107">
        <f t="shared" si="7"/>
        <v>0.25306336996071116</v>
      </c>
      <c r="AF39" s="108"/>
      <c r="AG39" s="109"/>
      <c r="AH39" s="109"/>
      <c r="AI39" s="110"/>
      <c r="AJ39" s="111"/>
      <c r="AK39" s="112"/>
      <c r="AL39" s="113"/>
      <c r="AM39" s="114"/>
      <c r="AN39" s="38"/>
      <c r="AO39" s="153" t="s">
        <v>77</v>
      </c>
      <c r="AP39" s="115"/>
      <c r="AQ39" s="116"/>
      <c r="AR39" s="117"/>
      <c r="AS39" s="117"/>
      <c r="AT39" s="118"/>
      <c r="AU39" s="118"/>
      <c r="AV39" s="119"/>
      <c r="AW39" s="120"/>
      <c r="AX39" s="121"/>
      <c r="AY39" s="38"/>
      <c r="AZ39" s="88"/>
      <c r="BA39" s="111">
        <v>643782928</v>
      </c>
      <c r="BB39" s="113"/>
      <c r="BC39" s="122"/>
      <c r="BD39" s="113"/>
      <c r="BE39" s="122"/>
      <c r="BF39" s="113"/>
      <c r="BG39" s="123"/>
      <c r="BH39" s="70"/>
      <c r="BI39" s="70"/>
      <c r="BJ39" s="70"/>
      <c r="BK39" s="70"/>
      <c r="BL39" s="161"/>
      <c r="BM39" s="70"/>
      <c r="BN39" s="70"/>
      <c r="BO39" s="70"/>
      <c r="BP39" s="70"/>
      <c r="BQ39" s="70"/>
      <c r="BR39" s="95"/>
      <c r="BS39" s="95"/>
      <c r="BT39" s="95"/>
      <c r="BU39" s="95"/>
    </row>
    <row r="40" spans="1:73" ht="12.75">
      <c r="A40" s="91"/>
      <c r="B40" s="91"/>
      <c r="C40" s="14"/>
      <c r="D40" s="91"/>
      <c r="E40" s="91"/>
      <c r="F40" s="79"/>
      <c r="G40" s="33"/>
      <c r="H40" s="33"/>
      <c r="I40" s="33"/>
      <c r="J40" s="33"/>
      <c r="K40" s="37"/>
      <c r="L40" s="33"/>
      <c r="M40" s="88"/>
      <c r="N40" s="100"/>
      <c r="O40" s="100"/>
      <c r="P40" s="100"/>
      <c r="Q40" s="100"/>
      <c r="R40" s="100"/>
      <c r="S40" s="133"/>
      <c r="T40" s="100"/>
      <c r="U40" s="134"/>
      <c r="V40" s="68"/>
      <c r="W40" s="68"/>
      <c r="X40" s="68"/>
      <c r="Y40" s="68"/>
      <c r="Z40" s="96"/>
      <c r="AA40" s="144"/>
      <c r="AB40" s="145"/>
      <c r="AC40" s="33"/>
      <c r="AD40" s="88"/>
      <c r="AE40" s="107"/>
      <c r="AF40" s="108"/>
      <c r="AG40" s="109"/>
      <c r="AH40" s="109"/>
      <c r="AI40" s="110"/>
      <c r="AJ40" s="111"/>
      <c r="AK40" s="112"/>
      <c r="AL40" s="113"/>
      <c r="AM40" s="114"/>
      <c r="AN40" s="38"/>
      <c r="AO40" s="115"/>
      <c r="AP40" s="115"/>
      <c r="AQ40" s="116"/>
      <c r="AR40" s="117"/>
      <c r="AS40" s="117"/>
      <c r="AT40" s="118"/>
      <c r="AU40" s="118"/>
      <c r="AV40" s="119"/>
      <c r="AW40" s="120"/>
      <c r="AX40" s="121"/>
      <c r="AY40" s="38"/>
      <c r="AZ40" s="88"/>
      <c r="BA40" s="111"/>
      <c r="BB40" s="113"/>
      <c r="BC40" s="122"/>
      <c r="BD40" s="113"/>
      <c r="BE40" s="122"/>
      <c r="BF40" s="113"/>
      <c r="BG40" s="123"/>
      <c r="BH40" s="70"/>
      <c r="BI40" s="70"/>
      <c r="BJ40" s="70"/>
      <c r="BK40" s="70"/>
      <c r="BL40" s="161"/>
      <c r="BM40" s="70"/>
      <c r="BN40" s="70"/>
      <c r="BO40" s="70"/>
      <c r="BP40" s="70"/>
      <c r="BQ40" s="70"/>
      <c r="BR40" s="95"/>
      <c r="BS40" s="95"/>
      <c r="BT40" s="95"/>
      <c r="BU40" s="95"/>
    </row>
    <row r="41" spans="1:73" ht="12.75">
      <c r="A41" s="91"/>
      <c r="B41" s="91"/>
      <c r="C41" s="14"/>
      <c r="D41" s="91"/>
      <c r="E41" s="91"/>
      <c r="F41" s="79"/>
      <c r="G41" s="33"/>
      <c r="H41" s="33"/>
      <c r="I41" s="33"/>
      <c r="J41" s="33"/>
      <c r="K41" s="37"/>
      <c r="L41" s="558" t="s">
        <v>95</v>
      </c>
      <c r="M41" s="88" t="s">
        <v>62</v>
      </c>
      <c r="N41" s="150">
        <f>'NUMBERS-DM'!H4</f>
        <v>3.477069961085575E-2</v>
      </c>
      <c r="O41" s="150">
        <v>1.95E-2</v>
      </c>
      <c r="P41" s="132">
        <f t="shared" ref="P41:P51" si="8">O41-N41</f>
        <v>-1.527069961085575E-2</v>
      </c>
      <c r="Q41" s="132">
        <f>G$5*N41</f>
        <v>29.023102965181295</v>
      </c>
      <c r="R41" s="100">
        <v>16.29</v>
      </c>
      <c r="S41" s="133">
        <f>Q41</f>
        <v>29.023102965181295</v>
      </c>
      <c r="T41" s="100">
        <f>R41</f>
        <v>16.29</v>
      </c>
      <c r="U41" s="134">
        <f>SUM(S41:S51)</f>
        <v>320.36261819566573</v>
      </c>
      <c r="V41" s="104"/>
      <c r="W41" s="104"/>
      <c r="X41" s="104">
        <f>U41/U$4</f>
        <v>5.3666934395349961E-2</v>
      </c>
      <c r="Y41" s="68">
        <v>406.28000000000009</v>
      </c>
      <c r="Z41" s="136">
        <f>BA41/BA$4</f>
        <v>6.0696380496397924E-2</v>
      </c>
      <c r="AA41" s="144"/>
      <c r="AB41" s="145"/>
      <c r="AC41" s="558" t="s">
        <v>95</v>
      </c>
      <c r="AD41" s="88" t="s">
        <v>62</v>
      </c>
      <c r="AE41" s="107">
        <f t="shared" ref="AE41:AE51" si="9">SUM(Q41*1000000)/BA41*1000</f>
        <v>74.522188190104799</v>
      </c>
      <c r="AF41" s="108">
        <v>41.827589802275433</v>
      </c>
      <c r="AG41" s="122">
        <f>AE41</f>
        <v>74.522188190104799</v>
      </c>
      <c r="AH41" s="109">
        <v>41.827589802275433</v>
      </c>
      <c r="AI41" s="110">
        <f>SUM(AG41:AG51)</f>
        <v>822.59031196263265</v>
      </c>
      <c r="AJ41" s="111">
        <v>1043.1990905382727</v>
      </c>
      <c r="AK41" s="137">
        <f>AI41/20</f>
        <v>41.129515598131633</v>
      </c>
      <c r="AL41" s="113"/>
      <c r="AM41" s="114"/>
      <c r="AN41" s="560" t="s">
        <v>95</v>
      </c>
      <c r="AO41" s="115" t="s">
        <v>62</v>
      </c>
      <c r="AP41" s="115">
        <v>18.25</v>
      </c>
      <c r="AQ41" s="116">
        <v>452.96500000000003</v>
      </c>
      <c r="AR41" s="117">
        <f>AG41-AP41</f>
        <v>56.272188190104799</v>
      </c>
      <c r="AS41" s="139">
        <f>AR41/AP41</f>
        <v>3.0834075720605369</v>
      </c>
      <c r="AT41" s="118">
        <f>SQRT(AS41)*10</f>
        <v>17.559634312993357</v>
      </c>
      <c r="AU41" s="118">
        <v>23.577589802275433</v>
      </c>
      <c r="AV41" s="119">
        <v>1.2919227288918045</v>
      </c>
      <c r="AW41" s="120"/>
      <c r="AX41" s="121"/>
      <c r="AY41" s="560" t="s">
        <v>95</v>
      </c>
      <c r="AZ41" s="88" t="s">
        <v>62</v>
      </c>
      <c r="BA41" s="111">
        <v>389455861</v>
      </c>
      <c r="BB41" s="113">
        <f>(AP41*BA41)/1000000000</f>
        <v>7.1075694632499999</v>
      </c>
      <c r="BC41" s="122">
        <f>SUM(BB41:BB50)</f>
        <v>176.409874077865</v>
      </c>
      <c r="BD41" s="113">
        <f>BB41*1.3</f>
        <v>9.2398403022249997</v>
      </c>
      <c r="BE41" s="122">
        <f>SUM(BD41:BD51)</f>
        <v>229.33283630122452</v>
      </c>
      <c r="BF41" s="113"/>
      <c r="BG41" s="123"/>
      <c r="BH41" s="70"/>
      <c r="BI41" s="70"/>
      <c r="BJ41" s="70"/>
      <c r="BK41" s="70"/>
      <c r="BL41" s="161"/>
      <c r="BM41" s="70"/>
      <c r="BN41" s="70"/>
      <c r="BO41" s="70"/>
      <c r="BP41" s="70"/>
      <c r="BQ41" s="70"/>
      <c r="BR41" s="95"/>
      <c r="BS41" s="95"/>
      <c r="BT41" s="95"/>
      <c r="BU41" s="95"/>
    </row>
    <row r="42" spans="1:73" ht="12.75">
      <c r="A42" s="91"/>
      <c r="B42" s="91"/>
      <c r="C42" s="14"/>
      <c r="D42" s="91"/>
      <c r="E42" s="91"/>
      <c r="F42" s="79"/>
      <c r="G42" s="33"/>
      <c r="H42" s="33"/>
      <c r="I42" s="33"/>
      <c r="J42" s="33"/>
      <c r="K42" s="37"/>
      <c r="L42" s="559"/>
      <c r="M42" s="70" t="s">
        <v>65</v>
      </c>
      <c r="N42" s="150">
        <f>'NUMBERS-DM'!H6</f>
        <v>6.9514038464151356E-2</v>
      </c>
      <c r="O42" s="150">
        <v>6.9500000000000006E-2</v>
      </c>
      <c r="P42" s="132">
        <f t="shared" si="8"/>
        <v>-1.4038464151350238E-5</v>
      </c>
      <c r="Q42" s="132">
        <f>G$6*N42</f>
        <v>88.989091480267987</v>
      </c>
      <c r="R42" s="100">
        <v>185.39</v>
      </c>
      <c r="S42" s="133">
        <f>Q42</f>
        <v>88.989091480267987</v>
      </c>
      <c r="T42" s="100">
        <f>R42</f>
        <v>185.39</v>
      </c>
      <c r="U42" s="134"/>
      <c r="V42" s="68"/>
      <c r="W42" s="68"/>
      <c r="X42" s="68"/>
      <c r="Y42" s="68"/>
      <c r="Z42" s="96"/>
      <c r="AA42" s="144"/>
      <c r="AB42" s="145"/>
      <c r="AC42" s="559"/>
      <c r="AD42" s="70" t="s">
        <v>65</v>
      </c>
      <c r="AE42" s="107">
        <f t="shared" si="9"/>
        <v>228.49596165216778</v>
      </c>
      <c r="AF42" s="108">
        <v>476.02313526358762</v>
      </c>
      <c r="AG42" s="122">
        <f>AE42</f>
        <v>228.49596165216778</v>
      </c>
      <c r="AH42" s="109">
        <v>476.02313526358762</v>
      </c>
      <c r="AI42" s="110"/>
      <c r="AJ42" s="111"/>
      <c r="AK42" s="95"/>
      <c r="AL42" s="70"/>
      <c r="AM42" s="84"/>
      <c r="AN42" s="559"/>
      <c r="AO42" s="146" t="s">
        <v>65</v>
      </c>
      <c r="AP42" s="115">
        <v>84.68</v>
      </c>
      <c r="AQ42" s="147"/>
      <c r="AR42" s="117">
        <f>AG42-AP42</f>
        <v>143.81596165216777</v>
      </c>
      <c r="AS42" s="139">
        <f>AR42/AP42</f>
        <v>1.6983462641965961</v>
      </c>
      <c r="AT42" s="118">
        <f>SQRT(AS42)*10</f>
        <v>13.032061480044499</v>
      </c>
      <c r="AU42" s="118">
        <v>391.34313526358761</v>
      </c>
      <c r="AV42" s="119">
        <v>4.6214352298486965</v>
      </c>
      <c r="AW42" s="120"/>
      <c r="AX42" s="121"/>
      <c r="AY42" s="559"/>
      <c r="AZ42" s="70" t="s">
        <v>65</v>
      </c>
      <c r="BA42" s="111">
        <v>389455861</v>
      </c>
      <c r="BB42" s="113">
        <f>(AP42*BA42)/1000000000</f>
        <v>32.979122309480005</v>
      </c>
      <c r="BC42" s="122"/>
      <c r="BD42" s="113">
        <f>BB42*1.3</f>
        <v>42.872859002324006</v>
      </c>
      <c r="BE42" s="141"/>
      <c r="BF42" s="70"/>
      <c r="BG42" s="148"/>
      <c r="BH42" s="70"/>
      <c r="BI42" s="70"/>
      <c r="BJ42" s="70"/>
      <c r="BK42" s="70"/>
      <c r="BL42" s="161"/>
      <c r="BM42" s="70"/>
      <c r="BN42" s="70"/>
      <c r="BO42" s="70"/>
      <c r="BP42" s="70"/>
      <c r="BQ42" s="61"/>
      <c r="BR42" s="68" t="s">
        <v>42</v>
      </c>
      <c r="BS42" s="95"/>
      <c r="BT42" s="95"/>
      <c r="BU42" s="95"/>
    </row>
    <row r="43" spans="1:73" ht="12.75">
      <c r="A43" s="91"/>
      <c r="B43" s="91"/>
      <c r="C43" s="14"/>
      <c r="D43" s="91"/>
      <c r="E43" s="91"/>
      <c r="F43" s="79"/>
      <c r="G43" s="33"/>
      <c r="H43" s="33"/>
      <c r="I43" s="33"/>
      <c r="J43" s="33"/>
      <c r="K43" s="37"/>
      <c r="L43" s="559"/>
      <c r="M43" s="88" t="s">
        <v>66</v>
      </c>
      <c r="N43" s="150">
        <f>'NUMBERS-DM'!H8</f>
        <v>5.0714962717448742E-2</v>
      </c>
      <c r="O43" s="150">
        <v>5.0700000000000002E-2</v>
      </c>
      <c r="P43" s="132">
        <f t="shared" si="8"/>
        <v>-1.4962717448739615E-5</v>
      </c>
      <c r="Q43" s="132">
        <f>G$7*N43</f>
        <v>57.307907870717081</v>
      </c>
      <c r="R43" s="100">
        <v>57.31</v>
      </c>
      <c r="S43" s="133">
        <f>Q43+Q44</f>
        <v>120.41367562599753</v>
      </c>
      <c r="T43" s="100">
        <f>R43+R44</f>
        <v>120.42</v>
      </c>
      <c r="U43" s="134"/>
      <c r="V43" s="68"/>
      <c r="W43" s="68"/>
      <c r="X43" s="68"/>
      <c r="Y43" s="68"/>
      <c r="Z43" s="96"/>
      <c r="AA43" s="144"/>
      <c r="AB43" s="145"/>
      <c r="AC43" s="559"/>
      <c r="AD43" s="88" t="s">
        <v>66</v>
      </c>
      <c r="AE43" s="107">
        <f t="shared" si="9"/>
        <v>147.14865947470508</v>
      </c>
      <c r="AF43" s="108">
        <v>147.15403140383088</v>
      </c>
      <c r="AG43" s="122">
        <f>AE43+AE44</f>
        <v>309.18439721721768</v>
      </c>
      <c r="AH43" s="109">
        <v>309.20063621792559</v>
      </c>
      <c r="AI43" s="110"/>
      <c r="AJ43" s="111"/>
      <c r="AK43" s="95"/>
      <c r="AL43" s="70"/>
      <c r="AM43" s="84"/>
      <c r="AN43" s="559"/>
      <c r="AO43" s="115" t="s">
        <v>66</v>
      </c>
      <c r="AP43" s="115">
        <v>182.5</v>
      </c>
      <c r="AQ43" s="147"/>
      <c r="AR43" s="117">
        <f>AG43-AP43</f>
        <v>126.68439721721768</v>
      </c>
      <c r="AS43" s="139">
        <f>AR43/AP43</f>
        <v>0.69416108064228865</v>
      </c>
      <c r="AT43" s="118">
        <f>SQRT(AS43)*10</f>
        <v>8.3316329770477076</v>
      </c>
      <c r="AU43" s="118">
        <v>126.70063621792559</v>
      </c>
      <c r="AV43" s="119">
        <v>0.69425006146808543</v>
      </c>
      <c r="AW43" s="120"/>
      <c r="AX43" s="121"/>
      <c r="AY43" s="559"/>
      <c r="AZ43" s="88" t="s">
        <v>66</v>
      </c>
      <c r="BA43" s="111">
        <v>389455861</v>
      </c>
      <c r="BB43" s="113">
        <f>(AP43*BA43)/1000000000</f>
        <v>71.075694632500003</v>
      </c>
      <c r="BC43" s="122"/>
      <c r="BD43" s="113">
        <f>BB43*1.3</f>
        <v>92.398403022250008</v>
      </c>
      <c r="BE43" s="141"/>
      <c r="BF43" s="70"/>
      <c r="BG43" s="148"/>
      <c r="BH43" s="70"/>
      <c r="BI43" s="70"/>
      <c r="BJ43" s="70"/>
      <c r="BK43" s="70"/>
      <c r="BL43" s="161"/>
      <c r="BM43" s="70"/>
      <c r="BN43" s="70"/>
      <c r="BO43" s="70"/>
      <c r="BP43" s="70"/>
      <c r="BQ43" s="61"/>
      <c r="BR43" s="68" t="s">
        <v>96</v>
      </c>
      <c r="BS43" s="169">
        <v>643782928</v>
      </c>
      <c r="BT43" s="95"/>
      <c r="BU43" s="95"/>
    </row>
    <row r="44" spans="1:73" ht="12.75">
      <c r="A44" s="91"/>
      <c r="B44" s="91"/>
      <c r="C44" s="14"/>
      <c r="D44" s="91"/>
      <c r="E44" s="91"/>
      <c r="F44" s="79"/>
      <c r="G44" s="33"/>
      <c r="H44" s="33"/>
      <c r="I44" s="33"/>
      <c r="J44" s="33"/>
      <c r="K44" s="37"/>
      <c r="L44" s="559"/>
      <c r="M44" s="88" t="s">
        <v>67</v>
      </c>
      <c r="N44" s="150">
        <f>'NUMBERS-DM'!H10</f>
        <v>7.1467460651506734E-2</v>
      </c>
      <c r="O44" s="150">
        <v>7.1499999999999994E-2</v>
      </c>
      <c r="P44" s="132">
        <f t="shared" si="8"/>
        <v>3.2539348493260123E-5</v>
      </c>
      <c r="Q44" s="132">
        <f>G$8*N44</f>
        <v>63.105767755280446</v>
      </c>
      <c r="R44" s="100">
        <v>63.11</v>
      </c>
      <c r="S44" s="133"/>
      <c r="T44" s="100"/>
      <c r="U44" s="134"/>
      <c r="V44" s="68"/>
      <c r="W44" s="68"/>
      <c r="X44" s="68"/>
      <c r="Y44" s="68"/>
      <c r="Z44" s="96"/>
      <c r="AA44" s="144"/>
      <c r="AB44" s="145"/>
      <c r="AC44" s="559"/>
      <c r="AD44" s="88" t="s">
        <v>67</v>
      </c>
      <c r="AE44" s="107">
        <f t="shared" si="9"/>
        <v>162.03573774251262</v>
      </c>
      <c r="AF44" s="108">
        <v>162.04660481409471</v>
      </c>
      <c r="AG44" s="61"/>
      <c r="AH44" s="109"/>
      <c r="AI44" s="110"/>
      <c r="AJ44" s="111"/>
      <c r="AK44" s="95"/>
      <c r="AL44" s="70"/>
      <c r="AM44" s="84"/>
      <c r="AN44" s="559"/>
      <c r="AO44" s="115" t="s">
        <v>67</v>
      </c>
      <c r="AP44" s="115"/>
      <c r="AQ44" s="147"/>
      <c r="AR44" s="117"/>
      <c r="AS44" s="139"/>
      <c r="AT44" s="118"/>
      <c r="AU44" s="118">
        <v>0</v>
      </c>
      <c r="AV44" s="119"/>
      <c r="AW44" s="120"/>
      <c r="AX44" s="121"/>
      <c r="AY44" s="559"/>
      <c r="AZ44" s="88" t="s">
        <v>67</v>
      </c>
      <c r="BA44" s="111">
        <v>389455861</v>
      </c>
      <c r="BB44" s="113"/>
      <c r="BC44" s="122"/>
      <c r="BD44" s="113"/>
      <c r="BE44" s="141"/>
      <c r="BF44" s="70"/>
      <c r="BG44" s="148"/>
      <c r="BH44" s="70"/>
      <c r="BI44" s="70"/>
      <c r="BJ44" s="70"/>
      <c r="BK44" s="70"/>
      <c r="BL44" s="161"/>
      <c r="BM44" s="70"/>
      <c r="BN44" s="70"/>
      <c r="BO44" s="70"/>
      <c r="BP44" s="70"/>
      <c r="BQ44" s="61"/>
      <c r="BR44" s="68" t="s">
        <v>97</v>
      </c>
      <c r="BS44" s="169">
        <v>389455861</v>
      </c>
      <c r="BT44" s="95"/>
      <c r="BU44" s="95"/>
    </row>
    <row r="45" spans="1:73" ht="12.75">
      <c r="A45" s="91"/>
      <c r="B45" s="91"/>
      <c r="C45" s="14"/>
      <c r="D45" s="91"/>
      <c r="E45" s="91"/>
      <c r="F45" s="79"/>
      <c r="G45" s="33"/>
      <c r="H45" s="33"/>
      <c r="I45" s="33"/>
      <c r="J45" s="33"/>
      <c r="K45" s="37"/>
      <c r="L45" s="559"/>
      <c r="M45" s="70" t="s">
        <v>68</v>
      </c>
      <c r="N45" s="150">
        <f>'NUMBERS-DM'!H12</f>
        <v>5.1924489054770782E-2</v>
      </c>
      <c r="O45" s="150">
        <v>5.3199999999999997E-2</v>
      </c>
      <c r="P45" s="132">
        <f t="shared" si="8"/>
        <v>1.2755109452292149E-3</v>
      </c>
      <c r="Q45" s="132">
        <f>G$9*N45</f>
        <v>43.668495295062229</v>
      </c>
      <c r="R45" s="100">
        <v>44.76</v>
      </c>
      <c r="S45" s="133">
        <f>Q45</f>
        <v>43.668495295062229</v>
      </c>
      <c r="T45" s="100">
        <f>R45</f>
        <v>44.76</v>
      </c>
      <c r="U45" s="134"/>
      <c r="V45" s="68"/>
      <c r="W45" s="68"/>
      <c r="X45" s="68"/>
      <c r="Y45" s="68"/>
      <c r="Z45" s="96"/>
      <c r="AA45" s="144"/>
      <c r="AB45" s="145"/>
      <c r="AC45" s="559"/>
      <c r="AD45" s="70" t="s">
        <v>68</v>
      </c>
      <c r="AE45" s="107">
        <f t="shared" si="9"/>
        <v>112.12694343059901</v>
      </c>
      <c r="AF45" s="108">
        <v>114.92958376610487</v>
      </c>
      <c r="AG45" s="122">
        <f>AE45</f>
        <v>112.12694343059901</v>
      </c>
      <c r="AH45" s="109">
        <v>114.92958376610487</v>
      </c>
      <c r="AI45" s="110"/>
      <c r="AJ45" s="111"/>
      <c r="AK45" s="95"/>
      <c r="AL45" s="70"/>
      <c r="AM45" s="84"/>
      <c r="AN45" s="559"/>
      <c r="AO45" s="146" t="s">
        <v>68</v>
      </c>
      <c r="AP45" s="115">
        <v>91.25</v>
      </c>
      <c r="AQ45" s="147"/>
      <c r="AR45" s="117">
        <f>AG45-AP45</f>
        <v>20.876943430599013</v>
      </c>
      <c r="AS45" s="139">
        <f>AR45/AP45</f>
        <v>0.22878842115724946</v>
      </c>
      <c r="AT45" s="118">
        <f>SQRT(AS45)*10</f>
        <v>4.7831832617750436</v>
      </c>
      <c r="AU45" s="118">
        <v>23.679583766104869</v>
      </c>
      <c r="AV45" s="119">
        <v>0.25950228784772461</v>
      </c>
      <c r="AW45" s="120"/>
      <c r="AX45" s="121"/>
      <c r="AY45" s="559"/>
      <c r="AZ45" s="70" t="s">
        <v>68</v>
      </c>
      <c r="BA45" s="111">
        <v>389455861</v>
      </c>
      <c r="BB45" s="113">
        <f>(AP45*BA45)/1000000000</f>
        <v>35.537847316250001</v>
      </c>
      <c r="BC45" s="122"/>
      <c r="BD45" s="113">
        <f>BB45*1.3</f>
        <v>46.199201511125004</v>
      </c>
      <c r="BE45" s="141"/>
      <c r="BF45" s="70"/>
      <c r="BG45" s="148"/>
      <c r="BH45" s="70"/>
      <c r="BI45" s="70"/>
      <c r="BJ45" s="70"/>
      <c r="BK45" s="70"/>
      <c r="BL45" s="161"/>
      <c r="BM45" s="70"/>
      <c r="BN45" s="70"/>
      <c r="BO45" s="70"/>
      <c r="BP45" s="70"/>
      <c r="BQ45" s="61"/>
      <c r="BR45" s="68" t="s">
        <v>98</v>
      </c>
      <c r="BS45" s="169">
        <v>1310898890</v>
      </c>
      <c r="BT45" s="95"/>
      <c r="BU45" s="95"/>
    </row>
    <row r="46" spans="1:73" ht="12.75">
      <c r="A46" s="91"/>
      <c r="B46" s="91"/>
      <c r="C46" s="14"/>
      <c r="D46" s="91"/>
      <c r="E46" s="91"/>
      <c r="F46" s="72"/>
      <c r="G46" s="33"/>
      <c r="H46" s="33"/>
      <c r="I46" s="33"/>
      <c r="J46" s="33"/>
      <c r="K46" s="37"/>
      <c r="L46" s="559"/>
      <c r="M46" s="88" t="s">
        <v>70</v>
      </c>
      <c r="N46" s="150">
        <f>'NUMBERS-DM'!H14</f>
        <v>2.2032952941405795E-2</v>
      </c>
      <c r="O46" s="150">
        <v>2.1999999999999999E-2</v>
      </c>
      <c r="P46" s="132">
        <f t="shared" si="8"/>
        <v>-3.2952941405796354E-5</v>
      </c>
      <c r="Q46" s="132">
        <f>G$10*N46</f>
        <v>4.6709860235780285</v>
      </c>
      <c r="R46" s="100">
        <v>4.67</v>
      </c>
      <c r="S46" s="133">
        <f>Q46</f>
        <v>4.6709860235780285</v>
      </c>
      <c r="T46" s="100">
        <f>R46</f>
        <v>4.67</v>
      </c>
      <c r="U46" s="134"/>
      <c r="V46" s="68"/>
      <c r="W46" s="68"/>
      <c r="X46" s="68"/>
      <c r="Y46" s="68"/>
      <c r="Z46" s="96"/>
      <c r="AA46" s="144"/>
      <c r="AB46" s="145"/>
      <c r="AC46" s="559"/>
      <c r="AD46" s="88" t="s">
        <v>70</v>
      </c>
      <c r="AE46" s="107">
        <f t="shared" si="9"/>
        <v>11.993621078353803</v>
      </c>
      <c r="AF46" s="108">
        <v>11.991089280333105</v>
      </c>
      <c r="AG46" s="122">
        <f>AE46</f>
        <v>11.993621078353803</v>
      </c>
      <c r="AH46" s="109">
        <v>11.991089280333105</v>
      </c>
      <c r="AI46" s="110"/>
      <c r="AJ46" s="111"/>
      <c r="AK46" s="96"/>
      <c r="AL46" s="88"/>
      <c r="AM46" s="154"/>
      <c r="AN46" s="559"/>
      <c r="AO46" s="115" t="s">
        <v>70</v>
      </c>
      <c r="AP46" s="115">
        <v>5.1100000000000003</v>
      </c>
      <c r="AQ46" s="147"/>
      <c r="AR46" s="117">
        <f>AG46-AP46</f>
        <v>6.8836210783538023</v>
      </c>
      <c r="AS46" s="139">
        <f>AR46/AP46</f>
        <v>1.3470882736504504</v>
      </c>
      <c r="AT46" s="118">
        <f>SQRT(AS46)*10</f>
        <v>11.606413199823839</v>
      </c>
      <c r="AU46" s="118">
        <v>6.8810892803331045</v>
      </c>
      <c r="AV46" s="119">
        <v>1.3465928141552064</v>
      </c>
      <c r="AW46" s="120"/>
      <c r="AX46" s="121"/>
      <c r="AY46" s="559"/>
      <c r="AZ46" s="88" t="s">
        <v>70</v>
      </c>
      <c r="BA46" s="111">
        <v>389455861</v>
      </c>
      <c r="BB46" s="113">
        <f>(AP46*BA46)/1000000000</f>
        <v>1.9901194497100001</v>
      </c>
      <c r="BC46" s="122"/>
      <c r="BD46" s="113">
        <f>BB46*1.3</f>
        <v>2.5871552846230004</v>
      </c>
      <c r="BE46" s="61"/>
      <c r="BF46" s="88"/>
      <c r="BG46" s="155"/>
      <c r="BH46" s="88"/>
      <c r="BI46" s="88"/>
      <c r="BJ46" s="88"/>
      <c r="BK46" s="88"/>
      <c r="BL46" s="100"/>
      <c r="BM46" s="88"/>
      <c r="BN46" s="88"/>
      <c r="BO46" s="88"/>
      <c r="BP46" s="88"/>
      <c r="BQ46" s="61"/>
      <c r="BR46" s="68" t="s">
        <v>99</v>
      </c>
      <c r="BS46" s="169">
        <v>1046254720</v>
      </c>
      <c r="BT46" s="96"/>
      <c r="BU46" s="96"/>
    </row>
    <row r="47" spans="1:73" ht="12.75">
      <c r="A47" s="91"/>
      <c r="B47" s="91"/>
      <c r="C47" s="14"/>
      <c r="D47" s="91"/>
      <c r="E47" s="91"/>
      <c r="F47" s="72"/>
      <c r="G47" s="33"/>
      <c r="H47" s="33"/>
      <c r="I47" s="33"/>
      <c r="J47" s="33"/>
      <c r="K47" s="37"/>
      <c r="L47" s="559"/>
      <c r="M47" s="88" t="s">
        <v>71</v>
      </c>
      <c r="N47" s="150">
        <f>'NUMBERS-DM'!H16</f>
        <v>6.4615869431677353E-2</v>
      </c>
      <c r="O47" s="150">
        <v>6.4600000000000005E-2</v>
      </c>
      <c r="P47" s="132">
        <f t="shared" si="8"/>
        <v>-1.5869431677348333E-5</v>
      </c>
      <c r="Q47" s="132">
        <f>G$11*N47</f>
        <v>8.6585265038447652</v>
      </c>
      <c r="R47" s="100">
        <v>8.66</v>
      </c>
      <c r="S47" s="133">
        <f>Q47+Q49+Q48</f>
        <v>16.50994890926443</v>
      </c>
      <c r="T47" s="100">
        <f>R47+R48+R49</f>
        <v>16.509999999999998</v>
      </c>
      <c r="U47" s="134"/>
      <c r="V47" s="68"/>
      <c r="W47" s="68"/>
      <c r="X47" s="68"/>
      <c r="Y47" s="68"/>
      <c r="Z47" s="96"/>
      <c r="AA47" s="144"/>
      <c r="AB47" s="145"/>
      <c r="AC47" s="559"/>
      <c r="AD47" s="88" t="s">
        <v>71</v>
      </c>
      <c r="AE47" s="107">
        <f t="shared" si="9"/>
        <v>22.232369238486736</v>
      </c>
      <c r="AF47" s="108">
        <v>22.236152712566316</v>
      </c>
      <c r="AG47" s="122">
        <f>AE47+AE49+AE48</f>
        <v>42.392349332918201</v>
      </c>
      <c r="AH47" s="109">
        <v>42.392480517837164</v>
      </c>
      <c r="AI47" s="110"/>
      <c r="AJ47" s="111"/>
      <c r="AK47" s="95"/>
      <c r="AL47" s="70"/>
      <c r="AM47" s="84"/>
      <c r="AN47" s="559"/>
      <c r="AO47" s="115" t="s">
        <v>71</v>
      </c>
      <c r="AP47" s="115">
        <v>25.55</v>
      </c>
      <c r="AQ47" s="147"/>
      <c r="AR47" s="117">
        <f>AG47-AP47</f>
        <v>16.8423493329182</v>
      </c>
      <c r="AS47" s="139">
        <f>AR47/AP47</f>
        <v>0.65919175471304103</v>
      </c>
      <c r="AT47" s="118">
        <f>SQRT(AS47)*10</f>
        <v>8.1190624748984472</v>
      </c>
      <c r="AU47" s="118">
        <v>16.842480517837163</v>
      </c>
      <c r="AV47" s="119">
        <v>0.65919688915213948</v>
      </c>
      <c r="AW47" s="120"/>
      <c r="AX47" s="121"/>
      <c r="AY47" s="559"/>
      <c r="AZ47" s="88" t="s">
        <v>71</v>
      </c>
      <c r="BA47" s="111">
        <v>389455861</v>
      </c>
      <c r="BB47" s="113">
        <f>(AP47*BA47)/1000000000</f>
        <v>9.9505972485500003</v>
      </c>
      <c r="BC47" s="122"/>
      <c r="BD47" s="113">
        <f>BB47*1.3</f>
        <v>12.935776423115001</v>
      </c>
      <c r="BE47" s="141"/>
      <c r="BF47" s="70"/>
      <c r="BG47" s="148"/>
      <c r="BH47" s="70"/>
      <c r="BI47" s="70"/>
      <c r="BJ47" s="70"/>
      <c r="BK47" s="70"/>
      <c r="BL47" s="161"/>
      <c r="BM47" s="70"/>
      <c r="BN47" s="70"/>
      <c r="BO47" s="70"/>
      <c r="BP47" s="70"/>
      <c r="BQ47" s="61"/>
      <c r="BR47" s="68" t="s">
        <v>100</v>
      </c>
      <c r="BS47" s="169">
        <v>331543147</v>
      </c>
      <c r="BT47" s="95"/>
      <c r="BU47" s="95"/>
    </row>
    <row r="48" spans="1:73" ht="12.75">
      <c r="A48" s="91"/>
      <c r="B48" s="91"/>
      <c r="C48" s="14"/>
      <c r="D48" s="91"/>
      <c r="E48" s="91"/>
      <c r="F48" s="72"/>
      <c r="G48" s="33"/>
      <c r="H48" s="33"/>
      <c r="I48" s="33"/>
      <c r="J48" s="33"/>
      <c r="K48" s="37"/>
      <c r="L48" s="559"/>
      <c r="M48" s="88" t="s">
        <v>72</v>
      </c>
      <c r="N48" s="150">
        <f>'NUMBERS-DM'!H18</f>
        <v>3.4273762115495564E-2</v>
      </c>
      <c r="O48" s="150">
        <v>3.4299999999999997E-2</v>
      </c>
      <c r="P48" s="132">
        <f t="shared" si="8"/>
        <v>2.6237884504433373E-5</v>
      </c>
      <c r="Q48" s="132">
        <f>G$12*N48</f>
        <v>5.3124331279018122</v>
      </c>
      <c r="R48" s="100">
        <v>5.31</v>
      </c>
      <c r="S48" s="133"/>
      <c r="T48" s="100"/>
      <c r="U48" s="134"/>
      <c r="V48" s="68"/>
      <c r="W48" s="68"/>
      <c r="X48" s="68"/>
      <c r="Y48" s="68"/>
      <c r="Z48" s="96"/>
      <c r="AA48" s="144"/>
      <c r="AB48" s="145"/>
      <c r="AC48" s="559"/>
      <c r="AD48" s="88" t="s">
        <v>72</v>
      </c>
      <c r="AE48" s="107">
        <f t="shared" si="9"/>
        <v>13.640655231792268</v>
      </c>
      <c r="AF48" s="108">
        <v>13.634407725603594</v>
      </c>
      <c r="AG48" s="61"/>
      <c r="AH48" s="109"/>
      <c r="AI48" s="110"/>
      <c r="AJ48" s="111"/>
      <c r="AK48" s="95"/>
      <c r="AL48" s="70"/>
      <c r="AM48" s="84"/>
      <c r="AN48" s="559"/>
      <c r="AO48" s="115" t="s">
        <v>72</v>
      </c>
      <c r="AP48" s="115"/>
      <c r="AQ48" s="147"/>
      <c r="AR48" s="117"/>
      <c r="AS48" s="117"/>
      <c r="AT48" s="118"/>
      <c r="AU48" s="118">
        <v>0</v>
      </c>
      <c r="AV48" s="119"/>
      <c r="AW48" s="120"/>
      <c r="AX48" s="121"/>
      <c r="AY48" s="559"/>
      <c r="AZ48" s="88" t="s">
        <v>72</v>
      </c>
      <c r="BA48" s="111">
        <v>389455861</v>
      </c>
      <c r="BB48" s="113"/>
      <c r="BC48" s="122"/>
      <c r="BD48" s="113"/>
      <c r="BE48" s="141"/>
      <c r="BF48" s="70"/>
      <c r="BG48" s="148"/>
      <c r="BH48" s="70"/>
      <c r="BI48" s="70"/>
      <c r="BJ48" s="70"/>
      <c r="BK48" s="70"/>
      <c r="BL48" s="161"/>
      <c r="BM48" s="70"/>
      <c r="BN48" s="70"/>
      <c r="BO48" s="70"/>
      <c r="BP48" s="70"/>
      <c r="BQ48" s="61"/>
      <c r="BR48" s="68" t="s">
        <v>101</v>
      </c>
      <c r="BS48" s="169">
        <v>2113393271</v>
      </c>
      <c r="BT48" s="95"/>
      <c r="BU48" s="95"/>
    </row>
    <row r="49" spans="1:73" ht="12.75">
      <c r="A49" s="91"/>
      <c r="B49" s="91"/>
      <c r="C49" s="14"/>
      <c r="D49" s="91"/>
      <c r="E49" s="91"/>
      <c r="F49" s="72"/>
      <c r="G49" s="33"/>
      <c r="H49" s="33"/>
      <c r="I49" s="33"/>
      <c r="J49" s="33"/>
      <c r="K49" s="37"/>
      <c r="L49" s="559"/>
      <c r="M49" s="88" t="s">
        <v>73</v>
      </c>
      <c r="N49" s="150">
        <f>'NUMBERS-DM'!H20</f>
        <v>3.0627132418791975E-2</v>
      </c>
      <c r="O49" s="150">
        <v>3.0599999999999999E-2</v>
      </c>
      <c r="P49" s="132">
        <f t="shared" si="8"/>
        <v>-2.7132418791975949E-5</v>
      </c>
      <c r="Q49" s="132">
        <f>G$13*N49</f>
        <v>2.5389892775178549</v>
      </c>
      <c r="R49" s="100">
        <v>2.54</v>
      </c>
      <c r="S49" s="133"/>
      <c r="T49" s="100"/>
      <c r="U49" s="134"/>
      <c r="V49" s="68"/>
      <c r="W49" s="68"/>
      <c r="X49" s="68"/>
      <c r="Y49" s="68"/>
      <c r="Z49" s="96"/>
      <c r="AA49" s="144"/>
      <c r="AB49" s="145"/>
      <c r="AC49" s="559"/>
      <c r="AD49" s="88" t="s">
        <v>73</v>
      </c>
      <c r="AE49" s="107">
        <f t="shared" si="9"/>
        <v>6.5193248626391958</v>
      </c>
      <c r="AF49" s="108">
        <v>6.5219200796672565</v>
      </c>
      <c r="AG49" s="61"/>
      <c r="AH49" s="109"/>
      <c r="AI49" s="110"/>
      <c r="AJ49" s="111"/>
      <c r="AK49" s="95"/>
      <c r="AL49" s="70"/>
      <c r="AM49" s="84"/>
      <c r="AN49" s="559"/>
      <c r="AO49" s="115" t="s">
        <v>73</v>
      </c>
      <c r="AP49" s="115"/>
      <c r="AQ49" s="147"/>
      <c r="AR49" s="117"/>
      <c r="AS49" s="117"/>
      <c r="AT49" s="118"/>
      <c r="AU49" s="118">
        <v>0</v>
      </c>
      <c r="AV49" s="119"/>
      <c r="AW49" s="120"/>
      <c r="AX49" s="121"/>
      <c r="AY49" s="559"/>
      <c r="AZ49" s="88" t="s">
        <v>73</v>
      </c>
      <c r="BA49" s="111">
        <v>389455861</v>
      </c>
      <c r="BB49" s="113"/>
      <c r="BC49" s="122"/>
      <c r="BD49" s="113"/>
      <c r="BE49" s="141"/>
      <c r="BF49" s="70"/>
      <c r="BG49" s="148"/>
      <c r="BH49" s="70"/>
      <c r="BI49" s="70"/>
      <c r="BJ49" s="70"/>
      <c r="BK49" s="70"/>
      <c r="BL49" s="161"/>
      <c r="BM49" s="70"/>
      <c r="BN49" s="70"/>
      <c r="BO49" s="70"/>
      <c r="BP49" s="70"/>
      <c r="BQ49" s="61"/>
      <c r="BR49" s="68" t="s">
        <v>102</v>
      </c>
      <c r="BS49" s="169">
        <v>581130580</v>
      </c>
      <c r="BT49" s="95"/>
      <c r="BU49" s="95"/>
    </row>
    <row r="50" spans="1:73" ht="12.75">
      <c r="A50" s="91"/>
      <c r="B50" s="91"/>
      <c r="C50" s="14"/>
      <c r="D50" s="91"/>
      <c r="E50" s="91"/>
      <c r="F50" s="72"/>
      <c r="G50" s="33"/>
      <c r="H50" s="33"/>
      <c r="I50" s="33"/>
      <c r="J50" s="33"/>
      <c r="K50" s="37"/>
      <c r="L50" s="559"/>
      <c r="M50" s="70" t="s">
        <v>75</v>
      </c>
      <c r="N50" s="150">
        <f>'NUMBERS-DM'!H22</f>
        <v>4.0438604088149074E-2</v>
      </c>
      <c r="O50" s="150">
        <v>4.0399999999999998E-2</v>
      </c>
      <c r="P50" s="132">
        <f t="shared" si="8"/>
        <v>-3.8604088149075955E-5</v>
      </c>
      <c r="Q50" s="132">
        <f>G$14*N50</f>
        <v>16.636441721864532</v>
      </c>
      <c r="R50" s="100">
        <v>18.239999999999998</v>
      </c>
      <c r="S50" s="133">
        <f>Q50+Q51</f>
        <v>17.087317896314204</v>
      </c>
      <c r="T50" s="100">
        <f>R50</f>
        <v>18.239999999999998</v>
      </c>
      <c r="U50" s="134"/>
      <c r="V50" s="68"/>
      <c r="W50" s="68"/>
      <c r="X50" s="68"/>
      <c r="Y50" s="68"/>
      <c r="Z50" s="96"/>
      <c r="AA50" s="144"/>
      <c r="AB50" s="145"/>
      <c r="AC50" s="559"/>
      <c r="AD50" s="70" t="s">
        <v>75</v>
      </c>
      <c r="AE50" s="107">
        <f t="shared" si="9"/>
        <v>42.717143039386769</v>
      </c>
      <c r="AF50" s="108">
        <v>46.834575690208958</v>
      </c>
      <c r="AG50" s="122">
        <f>AE50+AE51</f>
        <v>43.874851061271364</v>
      </c>
      <c r="AH50" s="109">
        <v>46.834575690208958</v>
      </c>
      <c r="AI50" s="110"/>
      <c r="AJ50" s="111"/>
      <c r="AK50" s="95"/>
      <c r="AL50" s="70"/>
      <c r="AM50" s="84"/>
      <c r="AN50" s="559"/>
      <c r="AO50" s="70" t="s">
        <v>75</v>
      </c>
      <c r="AP50" s="115">
        <v>45.625</v>
      </c>
      <c r="AQ50" s="147"/>
      <c r="AR50" s="117">
        <f>AG50-AP50</f>
        <v>-1.7501489387286355</v>
      </c>
      <c r="AS50" s="139">
        <f>AR50/AP50</f>
        <v>-3.8359428794052283E-2</v>
      </c>
      <c r="AT50" s="118">
        <f>SQRT(-AS50)*10</f>
        <v>1.9585563253083196</v>
      </c>
      <c r="AU50" s="118">
        <v>1.2095756902089576</v>
      </c>
      <c r="AV50" s="119">
        <v>2.6511248004579893E-2</v>
      </c>
      <c r="AW50" s="120"/>
      <c r="AX50" s="121"/>
      <c r="AY50" s="559"/>
      <c r="AZ50" s="70" t="s">
        <v>75</v>
      </c>
      <c r="BA50" s="111">
        <v>389455861</v>
      </c>
      <c r="BB50" s="113">
        <f>(AP50*BA50)/1000000000</f>
        <v>17.768923658125001</v>
      </c>
      <c r="BC50" s="122"/>
      <c r="BD50" s="113">
        <f>BB50*1.3</f>
        <v>23.099600755562502</v>
      </c>
      <c r="BE50" s="141"/>
      <c r="BF50" s="70"/>
      <c r="BG50" s="148"/>
      <c r="BH50" s="70"/>
      <c r="BI50" s="70"/>
      <c r="BJ50" s="70"/>
      <c r="BK50" s="70"/>
      <c r="BL50" s="161"/>
      <c r="BM50" s="70"/>
      <c r="BN50" s="70"/>
      <c r="BO50" s="70"/>
      <c r="BP50" s="70"/>
      <c r="BQ50" s="70"/>
      <c r="BR50" s="95"/>
      <c r="BS50" s="95"/>
      <c r="BT50" s="95"/>
      <c r="BU50" s="95"/>
    </row>
    <row r="51" spans="1:73" ht="12.75">
      <c r="A51" s="91"/>
      <c r="B51" s="91"/>
      <c r="C51" s="14"/>
      <c r="D51" s="91"/>
      <c r="E51" s="91"/>
      <c r="F51" s="72"/>
      <c r="G51" s="33"/>
      <c r="H51" s="33"/>
      <c r="I51" s="33"/>
      <c r="J51" s="33"/>
      <c r="K51" s="37"/>
      <c r="L51" s="33"/>
      <c r="M51" s="153" t="s">
        <v>77</v>
      </c>
      <c r="N51" s="150">
        <f>'NUMBERS-DM'!H24</f>
        <v>8.5070976311258983E-2</v>
      </c>
      <c r="O51" s="150">
        <v>8.5099999999999995E-2</v>
      </c>
      <c r="P51" s="132">
        <f t="shared" si="8"/>
        <v>2.9023688741011688E-5</v>
      </c>
      <c r="Q51" s="132">
        <f>G$15*N51</f>
        <v>0.4508761744496726</v>
      </c>
      <c r="R51" s="100"/>
      <c r="S51" s="101"/>
      <c r="T51" s="100"/>
      <c r="U51" s="134"/>
      <c r="V51" s="68"/>
      <c r="W51" s="68"/>
      <c r="X51" s="68"/>
      <c r="Y51" s="68"/>
      <c r="Z51" s="96"/>
      <c r="AA51" s="144"/>
      <c r="AB51" s="145"/>
      <c r="AC51" s="33"/>
      <c r="AD51" s="153" t="s">
        <v>77</v>
      </c>
      <c r="AE51" s="107">
        <f t="shared" si="9"/>
        <v>1.157708021884597</v>
      </c>
      <c r="AF51" s="108"/>
      <c r="AG51" s="109"/>
      <c r="AH51" s="109"/>
      <c r="AI51" s="110"/>
      <c r="AJ51" s="111"/>
      <c r="AK51" s="112"/>
      <c r="AL51" s="113"/>
      <c r="AM51" s="114"/>
      <c r="AN51" s="38"/>
      <c r="AO51" s="153" t="s">
        <v>77</v>
      </c>
      <c r="AP51" s="115"/>
      <c r="AQ51" s="116"/>
      <c r="AR51" s="117"/>
      <c r="AS51" s="117"/>
      <c r="AT51" s="118"/>
      <c r="AU51" s="118"/>
      <c r="AV51" s="119"/>
      <c r="AW51" s="120"/>
      <c r="AX51" s="121"/>
      <c r="AY51" s="38"/>
      <c r="AZ51" s="88"/>
      <c r="BA51" s="111">
        <v>389455861</v>
      </c>
      <c r="BB51" s="113"/>
      <c r="BC51" s="122"/>
      <c r="BD51" s="113"/>
      <c r="BE51" s="122"/>
      <c r="BF51" s="113"/>
      <c r="BG51" s="123"/>
      <c r="BH51" s="70"/>
      <c r="BI51" s="70"/>
      <c r="BJ51" s="70"/>
      <c r="BK51" s="70"/>
      <c r="BL51" s="161"/>
      <c r="BM51" s="70"/>
      <c r="BN51" s="70"/>
      <c r="BO51" s="70"/>
      <c r="BP51" s="70"/>
      <c r="BQ51" s="70"/>
      <c r="BR51" s="95"/>
      <c r="BS51" s="95"/>
      <c r="BT51" s="95"/>
      <c r="BU51" s="95"/>
    </row>
    <row r="52" spans="1:73" ht="12.75">
      <c r="A52" s="91"/>
      <c r="B52" s="91"/>
      <c r="C52" s="14"/>
      <c r="D52" s="91"/>
      <c r="E52" s="91"/>
      <c r="F52" s="72"/>
      <c r="G52" s="33"/>
      <c r="H52" s="33"/>
      <c r="I52" s="33"/>
      <c r="J52" s="33"/>
      <c r="K52" s="37"/>
      <c r="L52" s="33"/>
      <c r="M52" s="88"/>
      <c r="N52" s="100"/>
      <c r="O52" s="100"/>
      <c r="P52" s="100"/>
      <c r="Q52" s="100"/>
      <c r="R52" s="100"/>
      <c r="S52" s="133"/>
      <c r="T52" s="100"/>
      <c r="U52" s="134"/>
      <c r="V52" s="68"/>
      <c r="W52" s="68"/>
      <c r="X52" s="68"/>
      <c r="Y52" s="68"/>
      <c r="Z52" s="96"/>
      <c r="AA52" s="144"/>
      <c r="AB52" s="145"/>
      <c r="AC52" s="33"/>
      <c r="AD52" s="88"/>
      <c r="AE52" s="107"/>
      <c r="AF52" s="108"/>
      <c r="AG52" s="109"/>
      <c r="AH52" s="109"/>
      <c r="AI52" s="110"/>
      <c r="AJ52" s="111"/>
      <c r="AK52" s="112"/>
      <c r="AL52" s="113"/>
      <c r="AM52" s="114"/>
      <c r="AN52" s="38"/>
      <c r="AO52" s="115"/>
      <c r="AP52" s="115"/>
      <c r="AQ52" s="116"/>
      <c r="AR52" s="117"/>
      <c r="AS52" s="117"/>
      <c r="AT52" s="118"/>
      <c r="AU52" s="118"/>
      <c r="AV52" s="119"/>
      <c r="AW52" s="120"/>
      <c r="AX52" s="121"/>
      <c r="AY52" s="38"/>
      <c r="AZ52" s="88"/>
      <c r="BA52" s="111"/>
      <c r="BB52" s="113"/>
      <c r="BC52" s="122"/>
      <c r="BD52" s="113"/>
      <c r="BE52" s="122"/>
      <c r="BF52" s="113"/>
      <c r="BG52" s="123"/>
      <c r="BH52" s="70"/>
      <c r="BI52" s="70"/>
      <c r="BJ52" s="70"/>
      <c r="BK52" s="70"/>
      <c r="BL52" s="161"/>
      <c r="BM52" s="70"/>
      <c r="BN52" s="70"/>
      <c r="BO52" s="70"/>
      <c r="BP52" s="70"/>
      <c r="BQ52" s="70"/>
      <c r="BR52" s="95"/>
      <c r="BS52" s="95"/>
      <c r="BT52" s="95"/>
      <c r="BU52" s="95"/>
    </row>
    <row r="53" spans="1:73" ht="12.75">
      <c r="A53" s="91"/>
      <c r="B53" s="91"/>
      <c r="C53" s="14"/>
      <c r="D53" s="91"/>
      <c r="E53" s="91"/>
      <c r="F53" s="79"/>
      <c r="G53" s="33"/>
      <c r="H53" s="33"/>
      <c r="I53" s="33"/>
      <c r="J53" s="33"/>
      <c r="K53" s="37"/>
      <c r="L53" s="558" t="s">
        <v>103</v>
      </c>
      <c r="M53" s="88" t="s">
        <v>62</v>
      </c>
      <c r="N53" s="150">
        <f>'NUMBERS-DM'!I4</f>
        <v>0.18216334109086932</v>
      </c>
      <c r="O53" s="150">
        <v>0.1023</v>
      </c>
      <c r="P53" s="132">
        <f t="shared" ref="P53:P63" si="10">O53-N53</f>
        <v>-7.9863341090869316E-2</v>
      </c>
      <c r="Q53" s="132">
        <f>G$5*N53</f>
        <v>152.05174080854863</v>
      </c>
      <c r="R53" s="100">
        <v>85.37</v>
      </c>
      <c r="S53" s="133">
        <f>Q53</f>
        <v>152.05174080854863</v>
      </c>
      <c r="T53" s="100">
        <f>R53</f>
        <v>85.37</v>
      </c>
      <c r="U53" s="134">
        <f>SUM(S53:S63)</f>
        <v>1169.389354109549</v>
      </c>
      <c r="V53" s="104"/>
      <c r="W53" s="104"/>
      <c r="X53" s="104">
        <f>U53/U$4</f>
        <v>0.1958953329295362</v>
      </c>
      <c r="Y53" s="68">
        <v>1312.6899999999998</v>
      </c>
      <c r="Z53" s="136">
        <f>BA53/BA$4</f>
        <v>0.16305795069616957</v>
      </c>
      <c r="AA53" s="144"/>
      <c r="AB53" s="145"/>
      <c r="AC53" s="558" t="s">
        <v>103</v>
      </c>
      <c r="AD53" s="88" t="s">
        <v>62</v>
      </c>
      <c r="AE53" s="107">
        <f t="shared" ref="AE53:AE63" si="11">SUM(Q53*1000000)/BA53*1000</f>
        <v>145.32956258352519</v>
      </c>
      <c r="AF53" s="108">
        <v>81.595808714726758</v>
      </c>
      <c r="AG53" s="122">
        <f>AE53</f>
        <v>145.32956258352519</v>
      </c>
      <c r="AH53" s="109">
        <v>81.595808714726758</v>
      </c>
      <c r="AI53" s="110">
        <f>SUM(AG53:AG63)</f>
        <v>1117.6908756115806</v>
      </c>
      <c r="AJ53" s="111">
        <v>1254.6562275006986</v>
      </c>
      <c r="AK53" s="137">
        <f>AI53/20</f>
        <v>55.88454378057903</v>
      </c>
      <c r="AL53" s="113"/>
      <c r="AM53" s="114"/>
      <c r="AN53" s="560" t="s">
        <v>103</v>
      </c>
      <c r="AO53" s="115" t="s">
        <v>62</v>
      </c>
      <c r="AP53" s="115">
        <v>18.25</v>
      </c>
      <c r="AQ53" s="116">
        <v>452.96500000000003</v>
      </c>
      <c r="AR53" s="117">
        <f>AG53-AP53</f>
        <v>127.07956258352519</v>
      </c>
      <c r="AS53" s="139">
        <f>AR53/AP53</f>
        <v>6.9632637032068594</v>
      </c>
      <c r="AT53" s="118">
        <f>SQRT(AS53)*10</f>
        <v>26.387996709122991</v>
      </c>
      <c r="AU53" s="118">
        <v>63.345808714726758</v>
      </c>
      <c r="AV53" s="119">
        <v>3.4710032172453018</v>
      </c>
      <c r="AW53" s="120"/>
      <c r="AX53" s="121"/>
      <c r="AY53" s="560" t="s">
        <v>103</v>
      </c>
      <c r="AZ53" s="88" t="s">
        <v>62</v>
      </c>
      <c r="BA53" s="111">
        <v>1046254720</v>
      </c>
      <c r="BB53" s="113">
        <f>(AP53*BA53)/1000000000</f>
        <v>19.09414864</v>
      </c>
      <c r="BC53" s="122">
        <f>SUM(BB53:BB62)</f>
        <v>473.91676924480009</v>
      </c>
      <c r="BD53" s="113">
        <f>BB53*1.3</f>
        <v>24.822393232</v>
      </c>
      <c r="BE53" s="122">
        <f>SUM(BD53:BD63)</f>
        <v>616.09180001824018</v>
      </c>
      <c r="BF53" s="113"/>
      <c r="BG53" s="123"/>
      <c r="BH53" s="70"/>
      <c r="BI53" s="70"/>
      <c r="BJ53" s="70"/>
      <c r="BK53" s="70"/>
      <c r="BL53" s="161"/>
      <c r="BM53" s="70"/>
      <c r="BN53" s="70"/>
      <c r="BO53" s="70"/>
      <c r="BP53" s="70"/>
      <c r="BQ53" s="70"/>
      <c r="BR53" s="95"/>
      <c r="BS53" s="95"/>
      <c r="BT53" s="95"/>
      <c r="BU53" s="95"/>
    </row>
    <row r="54" spans="1:73" ht="12.75">
      <c r="A54" s="91"/>
      <c r="B54" s="91"/>
      <c r="C54" s="14"/>
      <c r="D54" s="91"/>
      <c r="E54" s="91"/>
      <c r="F54" s="79"/>
      <c r="G54" s="33"/>
      <c r="H54" s="33"/>
      <c r="I54" s="33"/>
      <c r="J54" s="33"/>
      <c r="K54" s="37"/>
      <c r="L54" s="559"/>
      <c r="M54" s="70" t="s">
        <v>65</v>
      </c>
      <c r="N54" s="150">
        <f>'NUMBERS-DM'!I6</f>
        <v>0.1411950902262028</v>
      </c>
      <c r="O54" s="150">
        <v>0.14119999999999999</v>
      </c>
      <c r="P54" s="132">
        <f t="shared" si="10"/>
        <v>4.9097737971903754E-6</v>
      </c>
      <c r="Q54" s="132">
        <f>G$6*N54</f>
        <v>180.75230670397576</v>
      </c>
      <c r="R54" s="100">
        <v>376.57</v>
      </c>
      <c r="S54" s="133">
        <f>Q54</f>
        <v>180.75230670397576</v>
      </c>
      <c r="T54" s="100">
        <f>R54</f>
        <v>376.57</v>
      </c>
      <c r="U54" s="134"/>
      <c r="V54" s="68"/>
      <c r="W54" s="68"/>
      <c r="X54" s="68"/>
      <c r="Y54" s="68"/>
      <c r="Z54" s="96"/>
      <c r="AA54" s="144"/>
      <c r="AB54" s="145"/>
      <c r="AC54" s="559"/>
      <c r="AD54" s="70" t="s">
        <v>65</v>
      </c>
      <c r="AE54" s="107">
        <f t="shared" si="11"/>
        <v>172.7612819791874</v>
      </c>
      <c r="AF54" s="108">
        <v>359.92191270592303</v>
      </c>
      <c r="AG54" s="122">
        <f>AE54</f>
        <v>172.7612819791874</v>
      </c>
      <c r="AH54" s="109">
        <v>359.92191270592303</v>
      </c>
      <c r="AI54" s="110"/>
      <c r="AJ54" s="111"/>
      <c r="AK54" s="95"/>
      <c r="AL54" s="70"/>
      <c r="AM54" s="84"/>
      <c r="AN54" s="559"/>
      <c r="AO54" s="146" t="s">
        <v>65</v>
      </c>
      <c r="AP54" s="115">
        <v>84.68</v>
      </c>
      <c r="AQ54" s="147"/>
      <c r="AR54" s="117">
        <f>AG54-AP54</f>
        <v>88.081281979187395</v>
      </c>
      <c r="AS54" s="139">
        <f>AR54/AP54</f>
        <v>1.0401662964004179</v>
      </c>
      <c r="AT54" s="118">
        <f>SQRT(AS54)*10</f>
        <v>10.198854329778506</v>
      </c>
      <c r="AU54" s="118">
        <v>275.24191270592303</v>
      </c>
      <c r="AV54" s="119">
        <v>3.2503768623750946</v>
      </c>
      <c r="AW54" s="120"/>
      <c r="AX54" s="121"/>
      <c r="AY54" s="559"/>
      <c r="AZ54" s="70" t="s">
        <v>65</v>
      </c>
      <c r="BA54" s="111">
        <v>1046254720</v>
      </c>
      <c r="BB54" s="113">
        <f>(AP54*BA54)/1000000000</f>
        <v>88.596849689600006</v>
      </c>
      <c r="BC54" s="122"/>
      <c r="BD54" s="113">
        <f>BB54*1.3</f>
        <v>115.17590459648001</v>
      </c>
      <c r="BE54" s="141"/>
      <c r="BF54" s="70"/>
      <c r="BG54" s="148"/>
      <c r="BH54" s="70"/>
      <c r="BI54" s="70"/>
      <c r="BJ54" s="70"/>
      <c r="BK54" s="70"/>
      <c r="BL54" s="161"/>
      <c r="BM54" s="70"/>
      <c r="BN54" s="70"/>
      <c r="BO54" s="70"/>
      <c r="BP54" s="70"/>
      <c r="BQ54" s="70"/>
      <c r="BR54" s="95"/>
      <c r="BS54" s="95"/>
      <c r="BT54" s="95"/>
      <c r="BU54" s="95"/>
    </row>
    <row r="55" spans="1:73" ht="12.75">
      <c r="A55" s="91"/>
      <c r="B55" s="91"/>
      <c r="C55" s="14"/>
      <c r="D55" s="91"/>
      <c r="E55" s="91"/>
      <c r="F55" s="79"/>
      <c r="G55" s="33"/>
      <c r="H55" s="33"/>
      <c r="I55" s="33"/>
      <c r="J55" s="33"/>
      <c r="K55" s="37"/>
      <c r="L55" s="559"/>
      <c r="M55" s="88" t="s">
        <v>66</v>
      </c>
      <c r="N55" s="150">
        <f>'NUMBERS-DM'!I8</f>
        <v>0.14436662857348737</v>
      </c>
      <c r="O55" s="150">
        <v>0.1444</v>
      </c>
      <c r="P55" s="132">
        <f t="shared" si="10"/>
        <v>3.3371426512635027E-5</v>
      </c>
      <c r="Q55" s="132">
        <f>G$7*N55</f>
        <v>163.13429028804072</v>
      </c>
      <c r="R55" s="100">
        <v>163.13</v>
      </c>
      <c r="S55" s="133">
        <f>Q55+Q56</f>
        <v>339.81882148403474</v>
      </c>
      <c r="T55" s="100">
        <f>R55+R56</f>
        <v>339.81</v>
      </c>
      <c r="U55" s="134"/>
      <c r="V55" s="68"/>
      <c r="W55" s="68"/>
      <c r="X55" s="68"/>
      <c r="Y55" s="68"/>
      <c r="Z55" s="96"/>
      <c r="AA55" s="144"/>
      <c r="AB55" s="145"/>
      <c r="AC55" s="559"/>
      <c r="AD55" s="88" t="s">
        <v>66</v>
      </c>
      <c r="AE55" s="107">
        <f t="shared" si="11"/>
        <v>155.92215468145341</v>
      </c>
      <c r="AF55" s="108">
        <v>155.91805406622203</v>
      </c>
      <c r="AG55" s="122">
        <f>AE55+AE56</f>
        <v>324.79549672572534</v>
      </c>
      <c r="AH55" s="109">
        <v>324.78706523780363</v>
      </c>
      <c r="AI55" s="110"/>
      <c r="AJ55" s="111"/>
      <c r="AK55" s="95"/>
      <c r="AL55" s="70"/>
      <c r="AM55" s="84"/>
      <c r="AN55" s="559"/>
      <c r="AO55" s="115" t="s">
        <v>66</v>
      </c>
      <c r="AP55" s="115">
        <v>182.5</v>
      </c>
      <c r="AQ55" s="147"/>
      <c r="AR55" s="117">
        <f>AG55-AP55</f>
        <v>142.29549672572534</v>
      </c>
      <c r="AS55" s="139">
        <f>AR55/AP55</f>
        <v>0.77970135192178269</v>
      </c>
      <c r="AT55" s="118">
        <f>SQRT(AS55)*10</f>
        <v>8.8300699426549443</v>
      </c>
      <c r="AU55" s="118">
        <v>142.28706523780363</v>
      </c>
      <c r="AV55" s="119">
        <v>0.77965515198796509</v>
      </c>
      <c r="AW55" s="120"/>
      <c r="AX55" s="121"/>
      <c r="AY55" s="559"/>
      <c r="AZ55" s="88" t="s">
        <v>66</v>
      </c>
      <c r="BA55" s="111">
        <v>1046254720</v>
      </c>
      <c r="BB55" s="113">
        <f>(AP55*BA55)/1000000000</f>
        <v>190.9414864</v>
      </c>
      <c r="BC55" s="122"/>
      <c r="BD55" s="113">
        <f>BB55*1.3</f>
        <v>248.22393232000002</v>
      </c>
      <c r="BE55" s="141"/>
      <c r="BF55" s="70"/>
      <c r="BG55" s="148"/>
      <c r="BH55" s="70"/>
      <c r="BI55" s="70"/>
      <c r="BJ55" s="70"/>
      <c r="BK55" s="70"/>
      <c r="BL55" s="161"/>
      <c r="BM55" s="70"/>
      <c r="BN55" s="70"/>
      <c r="BO55" s="70"/>
      <c r="BP55" s="70"/>
      <c r="BQ55" s="70"/>
      <c r="BR55" s="95"/>
      <c r="BS55" s="95"/>
      <c r="BT55" s="95"/>
      <c r="BU55" s="95"/>
    </row>
    <row r="56" spans="1:73" ht="12.75">
      <c r="A56" s="91"/>
      <c r="B56" s="91"/>
      <c r="C56" s="14"/>
      <c r="D56" s="91"/>
      <c r="E56" s="91"/>
      <c r="F56" s="79"/>
      <c r="G56" s="33"/>
      <c r="H56" s="33"/>
      <c r="I56" s="33"/>
      <c r="J56" s="33"/>
      <c r="K56" s="37"/>
      <c r="L56" s="559"/>
      <c r="M56" s="88" t="s">
        <v>67</v>
      </c>
      <c r="N56" s="150">
        <f>'NUMBERS-DM'!I10</f>
        <v>0.20009573181879275</v>
      </c>
      <c r="O56" s="150">
        <v>0.2001</v>
      </c>
      <c r="P56" s="132">
        <f t="shared" si="10"/>
        <v>4.2681812072453695E-6</v>
      </c>
      <c r="Q56" s="132">
        <f>G$8*N56</f>
        <v>176.684531195994</v>
      </c>
      <c r="R56" s="100">
        <v>176.68</v>
      </c>
      <c r="S56" s="133"/>
      <c r="T56" s="100"/>
      <c r="U56" s="134"/>
      <c r="V56" s="68"/>
      <c r="W56" s="68"/>
      <c r="X56" s="68"/>
      <c r="Y56" s="68"/>
      <c r="Z56" s="96"/>
      <c r="AA56" s="144"/>
      <c r="AB56" s="145"/>
      <c r="AC56" s="559"/>
      <c r="AD56" s="88" t="s">
        <v>67</v>
      </c>
      <c r="AE56" s="107">
        <f t="shared" si="11"/>
        <v>168.87334204427196</v>
      </c>
      <c r="AF56" s="108">
        <v>168.8690111715816</v>
      </c>
      <c r="AG56" s="61"/>
      <c r="AH56" s="109"/>
      <c r="AI56" s="110"/>
      <c r="AJ56" s="111"/>
      <c r="AK56" s="95"/>
      <c r="AL56" s="70"/>
      <c r="AM56" s="84"/>
      <c r="AN56" s="559"/>
      <c r="AO56" s="115" t="s">
        <v>67</v>
      </c>
      <c r="AP56" s="115"/>
      <c r="AQ56" s="147"/>
      <c r="AR56" s="117"/>
      <c r="AS56" s="139"/>
      <c r="AT56" s="118"/>
      <c r="AU56" s="118">
        <v>0</v>
      </c>
      <c r="AV56" s="119"/>
      <c r="AW56" s="120"/>
      <c r="AX56" s="121"/>
      <c r="AY56" s="559"/>
      <c r="AZ56" s="88" t="s">
        <v>67</v>
      </c>
      <c r="BA56" s="111">
        <v>1046254720</v>
      </c>
      <c r="BB56" s="113"/>
      <c r="BC56" s="122"/>
      <c r="BD56" s="113"/>
      <c r="BE56" s="141"/>
      <c r="BF56" s="70"/>
      <c r="BG56" s="148"/>
      <c r="BH56" s="70"/>
      <c r="BI56" s="70"/>
      <c r="BJ56" s="70"/>
      <c r="BK56" s="70"/>
      <c r="BL56" s="161"/>
      <c r="BM56" s="70"/>
      <c r="BN56" s="70"/>
      <c r="BO56" s="70"/>
      <c r="BP56" s="70"/>
      <c r="BQ56" s="70"/>
      <c r="BR56" s="95"/>
      <c r="BS56" s="95"/>
      <c r="BT56" s="95"/>
      <c r="BU56" s="95"/>
    </row>
    <row r="57" spans="1:73" ht="12.75">
      <c r="A57" s="91"/>
      <c r="B57" s="91"/>
      <c r="C57" s="14"/>
      <c r="D57" s="91"/>
      <c r="E57" s="91"/>
      <c r="F57" s="79"/>
      <c r="G57" s="33"/>
      <c r="H57" s="33"/>
      <c r="I57" s="33"/>
      <c r="J57" s="33"/>
      <c r="K57" s="37"/>
      <c r="L57" s="559"/>
      <c r="M57" s="70" t="s">
        <v>68</v>
      </c>
      <c r="N57" s="150">
        <f>'NUMBERS-DM'!I12</f>
        <v>0.41366893744998845</v>
      </c>
      <c r="O57" s="150">
        <v>0.4279</v>
      </c>
      <c r="P57" s="132">
        <f t="shared" si="10"/>
        <v>1.4231062550011553E-2</v>
      </c>
      <c r="Q57" s="132">
        <f>G$9*N57</f>
        <v>347.89557639544029</v>
      </c>
      <c r="R57" s="100">
        <v>359.87</v>
      </c>
      <c r="S57" s="133">
        <f>Q57</f>
        <v>347.89557639544029</v>
      </c>
      <c r="T57" s="100">
        <f>R57</f>
        <v>359.87</v>
      </c>
      <c r="U57" s="134"/>
      <c r="V57" s="68"/>
      <c r="W57" s="68"/>
      <c r="X57" s="68"/>
      <c r="Y57" s="68"/>
      <c r="Z57" s="96"/>
      <c r="AA57" s="144"/>
      <c r="AB57" s="145"/>
      <c r="AC57" s="559"/>
      <c r="AD57" s="70" t="s">
        <v>68</v>
      </c>
      <c r="AE57" s="107">
        <f t="shared" si="11"/>
        <v>332.51517985547565</v>
      </c>
      <c r="AF57" s="108">
        <v>343.96021649488949</v>
      </c>
      <c r="AG57" s="122">
        <f>AE57</f>
        <v>332.51517985547565</v>
      </c>
      <c r="AH57" s="109">
        <v>343.96021649488949</v>
      </c>
      <c r="AI57" s="110"/>
      <c r="AJ57" s="111"/>
      <c r="AK57" s="95"/>
      <c r="AL57" s="70"/>
      <c r="AM57" s="84"/>
      <c r="AN57" s="559"/>
      <c r="AO57" s="146" t="s">
        <v>68</v>
      </c>
      <c r="AP57" s="115">
        <v>91.25</v>
      </c>
      <c r="AQ57" s="147"/>
      <c r="AR57" s="117">
        <f>AG57-AP57</f>
        <v>241.26517985547565</v>
      </c>
      <c r="AS57" s="139">
        <f>AR57/AP57</f>
        <v>2.6440019710189113</v>
      </c>
      <c r="AT57" s="118">
        <f>SQRT(AS57)*10</f>
        <v>16.260387360142779</v>
      </c>
      <c r="AU57" s="118">
        <v>252.71021649488949</v>
      </c>
      <c r="AV57" s="119">
        <v>2.7694270300809807</v>
      </c>
      <c r="AW57" s="120"/>
      <c r="AX57" s="121"/>
      <c r="AY57" s="559"/>
      <c r="AZ57" s="70" t="s">
        <v>68</v>
      </c>
      <c r="BA57" s="111">
        <v>1046254720</v>
      </c>
      <c r="BB57" s="113">
        <f>(AP57*BA57)/1000000000</f>
        <v>95.470743200000001</v>
      </c>
      <c r="BC57" s="122"/>
      <c r="BD57" s="113">
        <f>BB57*1.3</f>
        <v>124.11196616000001</v>
      </c>
      <c r="BE57" s="141"/>
      <c r="BF57" s="70"/>
      <c r="BG57" s="148"/>
      <c r="BH57" s="70"/>
      <c r="BI57" s="70"/>
      <c r="BJ57" s="70"/>
      <c r="BK57" s="70"/>
      <c r="BL57" s="161"/>
      <c r="BM57" s="70"/>
      <c r="BN57" s="70"/>
      <c r="BO57" s="70"/>
      <c r="BP57" s="70"/>
      <c r="BQ57" s="70"/>
      <c r="BR57" s="95"/>
      <c r="BS57" s="95"/>
      <c r="BT57" s="95"/>
      <c r="BU57" s="95"/>
    </row>
    <row r="58" spans="1:73" ht="12.75">
      <c r="A58" s="91"/>
      <c r="B58" s="91"/>
      <c r="C58" s="14"/>
      <c r="D58" s="91"/>
      <c r="E58" s="91"/>
      <c r="F58" s="79"/>
      <c r="G58" s="33"/>
      <c r="H58" s="33"/>
      <c r="I58" s="33"/>
      <c r="J58" s="33"/>
      <c r="K58" s="37"/>
      <c r="L58" s="559"/>
      <c r="M58" s="88" t="s">
        <v>70</v>
      </c>
      <c r="N58" s="150">
        <f>'NUMBERS-DM'!I14</f>
        <v>0.2554070854329708</v>
      </c>
      <c r="O58" s="150">
        <v>0.25540000000000002</v>
      </c>
      <c r="P58" s="132">
        <f t="shared" si="10"/>
        <v>-7.0854329707881192E-6</v>
      </c>
      <c r="Q58" s="132">
        <f>G$10*N58</f>
        <v>54.146302111789808</v>
      </c>
      <c r="R58" s="100">
        <v>54.15</v>
      </c>
      <c r="S58" s="133">
        <f>Q58</f>
        <v>54.146302111789808</v>
      </c>
      <c r="T58" s="100">
        <f>R58</f>
        <v>54.15</v>
      </c>
      <c r="U58" s="134"/>
      <c r="V58" s="68"/>
      <c r="W58" s="68"/>
      <c r="X58" s="68"/>
      <c r="Y58" s="68"/>
      <c r="Z58" s="96"/>
      <c r="AA58" s="144"/>
      <c r="AB58" s="145"/>
      <c r="AC58" s="559"/>
      <c r="AD58" s="88" t="s">
        <v>70</v>
      </c>
      <c r="AE58" s="107">
        <f t="shared" si="11"/>
        <v>51.752504506541015</v>
      </c>
      <c r="AF58" s="108">
        <v>51.756038911824447</v>
      </c>
      <c r="AG58" s="122">
        <f>AE58</f>
        <v>51.752504506541015</v>
      </c>
      <c r="AH58" s="109">
        <v>51.756038911824447</v>
      </c>
      <c r="AI58" s="110"/>
      <c r="AJ58" s="111"/>
      <c r="AK58" s="96"/>
      <c r="AL58" s="88"/>
      <c r="AM58" s="154"/>
      <c r="AN58" s="559"/>
      <c r="AO58" s="115" t="s">
        <v>70</v>
      </c>
      <c r="AP58" s="115">
        <v>5.1100000000000003</v>
      </c>
      <c r="AQ58" s="147"/>
      <c r="AR58" s="117">
        <f>AG58-AP58</f>
        <v>46.642504506541016</v>
      </c>
      <c r="AS58" s="139">
        <f>AR58/AP58</f>
        <v>9.1276916842546019</v>
      </c>
      <c r="AT58" s="118">
        <f>SQRT(AS58)*10</f>
        <v>30.212069912957968</v>
      </c>
      <c r="AU58" s="118">
        <v>46.646038911824448</v>
      </c>
      <c r="AV58" s="119">
        <v>9.1283833486936299</v>
      </c>
      <c r="AW58" s="120"/>
      <c r="AX58" s="121"/>
      <c r="AY58" s="559"/>
      <c r="AZ58" s="88" t="s">
        <v>70</v>
      </c>
      <c r="BA58" s="111">
        <v>1046254720</v>
      </c>
      <c r="BB58" s="113">
        <f>(AP58*BA58)/1000000000</f>
        <v>5.3463616192000005</v>
      </c>
      <c r="BC58" s="122"/>
      <c r="BD58" s="113">
        <f>BB58*1.3</f>
        <v>6.9502701049600013</v>
      </c>
      <c r="BE58" s="61"/>
      <c r="BF58" s="88"/>
      <c r="BG58" s="155"/>
      <c r="BH58" s="88"/>
      <c r="BI58" s="88"/>
      <c r="BJ58" s="88"/>
      <c r="BK58" s="88"/>
      <c r="BL58" s="100"/>
      <c r="BM58" s="88"/>
      <c r="BN58" s="88"/>
      <c r="BO58" s="88"/>
      <c r="BP58" s="88"/>
      <c r="BQ58" s="88"/>
      <c r="BR58" s="96"/>
      <c r="BS58" s="96"/>
      <c r="BT58" s="96"/>
      <c r="BU58" s="96"/>
    </row>
    <row r="59" spans="1:73" ht="12.75">
      <c r="A59" s="91"/>
      <c r="B59" s="91"/>
      <c r="C59" s="14"/>
      <c r="D59" s="91"/>
      <c r="E59" s="91"/>
      <c r="F59" s="79"/>
      <c r="G59" s="33"/>
      <c r="H59" s="33"/>
      <c r="I59" s="33"/>
      <c r="J59" s="33"/>
      <c r="K59" s="37"/>
      <c r="L59" s="559"/>
      <c r="M59" s="88" t="s">
        <v>71</v>
      </c>
      <c r="N59" s="150">
        <f>'NUMBERS-DM'!I16</f>
        <v>0.20850928142890707</v>
      </c>
      <c r="O59" s="150">
        <v>0.20849999999999999</v>
      </c>
      <c r="P59" s="132">
        <f t="shared" si="10"/>
        <v>-9.2814289070763945E-6</v>
      </c>
      <c r="Q59" s="132">
        <f>G$11*N59</f>
        <v>27.940243711473546</v>
      </c>
      <c r="R59" s="100">
        <v>27.94</v>
      </c>
      <c r="S59" s="133">
        <f>Q59+Q61+Q60</f>
        <v>62.076993746261579</v>
      </c>
      <c r="T59" s="100">
        <f>R59+R60+R61</f>
        <v>62.080000000000005</v>
      </c>
      <c r="U59" s="134"/>
      <c r="V59" s="68"/>
      <c r="W59" s="68"/>
      <c r="X59" s="68"/>
      <c r="Y59" s="68"/>
      <c r="Z59" s="96"/>
      <c r="AA59" s="144"/>
      <c r="AB59" s="145"/>
      <c r="AC59" s="559"/>
      <c r="AD59" s="88" t="s">
        <v>71</v>
      </c>
      <c r="AE59" s="107">
        <f t="shared" si="11"/>
        <v>26.705010909268392</v>
      </c>
      <c r="AF59" s="108">
        <v>26.704777972232229</v>
      </c>
      <c r="AG59" s="122">
        <f>AE59+AE61+AE60</f>
        <v>59.332581788746026</v>
      </c>
      <c r="AH59" s="109">
        <v>59.335455136584713</v>
      </c>
      <c r="AI59" s="110"/>
      <c r="AJ59" s="111"/>
      <c r="AK59" s="95"/>
      <c r="AL59" s="70"/>
      <c r="AM59" s="84"/>
      <c r="AN59" s="559"/>
      <c r="AO59" s="115" t="s">
        <v>71</v>
      </c>
      <c r="AP59" s="115">
        <v>25.55</v>
      </c>
      <c r="AQ59" s="147"/>
      <c r="AR59" s="117">
        <f>AG59-AP59</f>
        <v>33.782581788746029</v>
      </c>
      <c r="AS59" s="139">
        <f>AR59/AP59</f>
        <v>1.3222145514186312</v>
      </c>
      <c r="AT59" s="118">
        <f>SQRT(AS59)*10</f>
        <v>11.498758852235449</v>
      </c>
      <c r="AU59" s="118">
        <v>33.785455136584716</v>
      </c>
      <c r="AV59" s="119">
        <v>1.322327011216623</v>
      </c>
      <c r="AW59" s="120"/>
      <c r="AX59" s="121"/>
      <c r="AY59" s="559"/>
      <c r="AZ59" s="88" t="s">
        <v>71</v>
      </c>
      <c r="BA59" s="111">
        <v>1046254720</v>
      </c>
      <c r="BB59" s="113">
        <f>(AP59*BA59)/1000000000</f>
        <v>26.731808096000002</v>
      </c>
      <c r="BC59" s="122"/>
      <c r="BD59" s="113">
        <f>BB59*1.3</f>
        <v>34.751350524800003</v>
      </c>
      <c r="BE59" s="141"/>
      <c r="BF59" s="70"/>
      <c r="BG59" s="148"/>
      <c r="BH59" s="70"/>
      <c r="BI59" s="70"/>
      <c r="BJ59" s="70"/>
      <c r="BK59" s="70"/>
      <c r="BL59" s="161"/>
      <c r="BM59" s="70"/>
      <c r="BN59" s="70"/>
      <c r="BO59" s="70"/>
      <c r="BP59" s="70"/>
      <c r="BQ59" s="70"/>
      <c r="BR59" s="95"/>
      <c r="BS59" s="95"/>
      <c r="BT59" s="95"/>
      <c r="BU59" s="95"/>
    </row>
    <row r="60" spans="1:73" ht="12.75">
      <c r="A60" s="91"/>
      <c r="B60" s="91"/>
      <c r="C60" s="14"/>
      <c r="D60" s="91"/>
      <c r="E60" s="91"/>
      <c r="F60" s="79"/>
      <c r="G60" s="33"/>
      <c r="H60" s="33"/>
      <c r="I60" s="33"/>
      <c r="J60" s="33"/>
      <c r="K60" s="37"/>
      <c r="L60" s="559"/>
      <c r="M60" s="88" t="s">
        <v>72</v>
      </c>
      <c r="N60" s="150">
        <f>'NUMBERS-DM'!I18</f>
        <v>0.12788100525737855</v>
      </c>
      <c r="O60" s="150">
        <v>0.12790000000000001</v>
      </c>
      <c r="P60" s="132">
        <f t="shared" si="10"/>
        <v>1.8994742621458727E-5</v>
      </c>
      <c r="Q60" s="132">
        <f>G$12*N60</f>
        <v>19.821555814893674</v>
      </c>
      <c r="R60" s="100">
        <v>19.82</v>
      </c>
      <c r="S60" s="133"/>
      <c r="T60" s="100"/>
      <c r="U60" s="134"/>
      <c r="V60" s="68"/>
      <c r="W60" s="68"/>
      <c r="X60" s="68"/>
      <c r="Y60" s="68"/>
      <c r="Z60" s="96"/>
      <c r="AA60" s="144"/>
      <c r="AB60" s="145"/>
      <c r="AC60" s="559"/>
      <c r="AD60" s="88" t="s">
        <v>72</v>
      </c>
      <c r="AE60" s="107">
        <f t="shared" si="11"/>
        <v>18.94524864355563</v>
      </c>
      <c r="AF60" s="108">
        <v>18.943761610939255</v>
      </c>
      <c r="AG60" s="61"/>
      <c r="AH60" s="109"/>
      <c r="AI60" s="110"/>
      <c r="AJ60" s="111"/>
      <c r="AK60" s="95"/>
      <c r="AL60" s="70"/>
      <c r="AM60" s="84"/>
      <c r="AN60" s="559"/>
      <c r="AO60" s="115" t="s">
        <v>72</v>
      </c>
      <c r="AP60" s="115"/>
      <c r="AQ60" s="147"/>
      <c r="AR60" s="117"/>
      <c r="AS60" s="117"/>
      <c r="AT60" s="118"/>
      <c r="AU60" s="118">
        <v>0</v>
      </c>
      <c r="AV60" s="119"/>
      <c r="AW60" s="120"/>
      <c r="AX60" s="121"/>
      <c r="AY60" s="559"/>
      <c r="AZ60" s="88" t="s">
        <v>72</v>
      </c>
      <c r="BA60" s="111">
        <v>1046254720</v>
      </c>
      <c r="BB60" s="113"/>
      <c r="BC60" s="122"/>
      <c r="BD60" s="113"/>
      <c r="BE60" s="141"/>
      <c r="BF60" s="70"/>
      <c r="BG60" s="148"/>
      <c r="BH60" s="70"/>
      <c r="BI60" s="70"/>
      <c r="BJ60" s="70"/>
      <c r="BK60" s="70"/>
      <c r="BL60" s="161"/>
      <c r="BM60" s="70"/>
      <c r="BN60" s="70"/>
      <c r="BO60" s="70"/>
      <c r="BP60" s="70"/>
      <c r="BQ60" s="70"/>
      <c r="BR60" s="95"/>
      <c r="BS60" s="95"/>
      <c r="BT60" s="95"/>
      <c r="BU60" s="95"/>
    </row>
    <row r="61" spans="1:73" ht="12.75">
      <c r="A61" s="91"/>
      <c r="B61" s="91"/>
      <c r="C61" s="14"/>
      <c r="D61" s="91"/>
      <c r="E61" s="91"/>
      <c r="F61" s="79"/>
      <c r="G61" s="33"/>
      <c r="H61" s="33"/>
      <c r="I61" s="33"/>
      <c r="J61" s="33"/>
      <c r="K61" s="37"/>
      <c r="L61" s="559"/>
      <c r="M61" s="88" t="s">
        <v>73</v>
      </c>
      <c r="N61" s="150">
        <f>'NUMBERS-DM'!I20</f>
        <v>0.17268026803250125</v>
      </c>
      <c r="O61" s="150">
        <v>0.17269999999999999</v>
      </c>
      <c r="P61" s="132">
        <f t="shared" si="10"/>
        <v>1.9731967498742842E-5</v>
      </c>
      <c r="Q61" s="132">
        <f>G$13*N61</f>
        <v>14.315194219894355</v>
      </c>
      <c r="R61" s="100">
        <v>14.32</v>
      </c>
      <c r="S61" s="133"/>
      <c r="T61" s="100"/>
      <c r="U61" s="134"/>
      <c r="V61" s="68"/>
      <c r="W61" s="68"/>
      <c r="X61" s="68"/>
      <c r="Y61" s="68"/>
      <c r="Z61" s="96"/>
      <c r="AA61" s="144"/>
      <c r="AB61" s="145"/>
      <c r="AC61" s="559"/>
      <c r="AD61" s="88" t="s">
        <v>73</v>
      </c>
      <c r="AE61" s="107">
        <f t="shared" si="11"/>
        <v>13.682322235922008</v>
      </c>
      <c r="AF61" s="108">
        <v>13.686915553413225</v>
      </c>
      <c r="AG61" s="61"/>
      <c r="AH61" s="109"/>
      <c r="AI61" s="110"/>
      <c r="AJ61" s="111"/>
      <c r="AK61" s="95"/>
      <c r="AL61" s="70"/>
      <c r="AM61" s="84"/>
      <c r="AN61" s="559"/>
      <c r="AO61" s="115" t="s">
        <v>73</v>
      </c>
      <c r="AP61" s="115"/>
      <c r="AQ61" s="147"/>
      <c r="AR61" s="117"/>
      <c r="AS61" s="117"/>
      <c r="AT61" s="118"/>
      <c r="AU61" s="118">
        <v>0</v>
      </c>
      <c r="AV61" s="119"/>
      <c r="AW61" s="120"/>
      <c r="AX61" s="121"/>
      <c r="AY61" s="559"/>
      <c r="AZ61" s="88" t="s">
        <v>73</v>
      </c>
      <c r="BA61" s="111">
        <v>1046254720</v>
      </c>
      <c r="BB61" s="113"/>
      <c r="BC61" s="122"/>
      <c r="BD61" s="113"/>
      <c r="BE61" s="141"/>
      <c r="BF61" s="70"/>
      <c r="BG61" s="148"/>
      <c r="BH61" s="70"/>
      <c r="BI61" s="70"/>
      <c r="BJ61" s="70"/>
      <c r="BK61" s="70"/>
      <c r="BL61" s="161"/>
      <c r="BM61" s="70"/>
      <c r="BN61" s="70"/>
      <c r="BO61" s="70"/>
      <c r="BP61" s="70"/>
      <c r="BQ61" s="70"/>
      <c r="BR61" s="95"/>
      <c r="BS61" s="95"/>
      <c r="BT61" s="95"/>
      <c r="BU61" s="95"/>
    </row>
    <row r="62" spans="1:73" ht="12.75">
      <c r="A62" s="91"/>
      <c r="B62" s="91"/>
      <c r="C62" s="14"/>
      <c r="D62" s="91"/>
      <c r="E62" s="91"/>
      <c r="F62" s="79"/>
      <c r="G62" s="33"/>
      <c r="H62" s="33"/>
      <c r="I62" s="33"/>
      <c r="J62" s="33"/>
      <c r="K62" s="37"/>
      <c r="L62" s="559"/>
      <c r="M62" s="70" t="s">
        <v>75</v>
      </c>
      <c r="N62" s="150">
        <f>'NUMBERS-DM'!I22</f>
        <v>7.6626108407271173E-2</v>
      </c>
      <c r="O62" s="150">
        <v>7.6600000000000001E-2</v>
      </c>
      <c r="P62" s="132">
        <f t="shared" si="10"/>
        <v>-2.6108407271172029E-5</v>
      </c>
      <c r="Q62" s="132">
        <f>G$14*N62</f>
        <v>31.523980998751362</v>
      </c>
      <c r="R62" s="100">
        <v>34.839999999999996</v>
      </c>
      <c r="S62" s="133">
        <f>Q62+Q63</f>
        <v>32.647612859498139</v>
      </c>
      <c r="T62" s="100">
        <f>R62</f>
        <v>34.839999999999996</v>
      </c>
      <c r="U62" s="134"/>
      <c r="V62" s="68"/>
      <c r="W62" s="68"/>
      <c r="X62" s="68"/>
      <c r="Y62" s="68"/>
      <c r="Z62" s="96"/>
      <c r="AA62" s="144"/>
      <c r="AB62" s="145"/>
      <c r="AC62" s="559"/>
      <c r="AD62" s="70" t="s">
        <v>75</v>
      </c>
      <c r="AE62" s="107">
        <f t="shared" si="11"/>
        <v>30.130311860147557</v>
      </c>
      <c r="AF62" s="108">
        <v>33.299730298946699</v>
      </c>
      <c r="AG62" s="122">
        <f>AE62+AE63</f>
        <v>31.204268172379795</v>
      </c>
      <c r="AH62" s="109">
        <v>33.299730298946699</v>
      </c>
      <c r="AI62" s="110"/>
      <c r="AJ62" s="111"/>
      <c r="AK62" s="95"/>
      <c r="AL62" s="70"/>
      <c r="AM62" s="84"/>
      <c r="AN62" s="559"/>
      <c r="AO62" s="70" t="s">
        <v>75</v>
      </c>
      <c r="AP62" s="115">
        <v>45.625</v>
      </c>
      <c r="AQ62" s="147"/>
      <c r="AR62" s="117">
        <f>AG62-AP62</f>
        <v>-14.420731827620205</v>
      </c>
      <c r="AS62" s="139">
        <f>AR62/AP62</f>
        <v>-0.31607083457797708</v>
      </c>
      <c r="AT62" s="118">
        <f>SQRT(-AS62)*10</f>
        <v>5.6220177390148551</v>
      </c>
      <c r="AU62" s="118">
        <v>-12.325269701053301</v>
      </c>
      <c r="AV62" s="119">
        <v>-0.27014289755733262</v>
      </c>
      <c r="AW62" s="120"/>
      <c r="AX62" s="121"/>
      <c r="AY62" s="559"/>
      <c r="AZ62" s="70" t="s">
        <v>75</v>
      </c>
      <c r="BA62" s="111">
        <v>1046254720</v>
      </c>
      <c r="BB62" s="113">
        <f>(AP62*BA62)/1000000000</f>
        <v>47.735371600000001</v>
      </c>
      <c r="BC62" s="122"/>
      <c r="BD62" s="113">
        <f>BB62*1.3</f>
        <v>62.055983080000004</v>
      </c>
      <c r="BE62" s="141"/>
      <c r="BF62" s="70"/>
      <c r="BG62" s="148"/>
      <c r="BH62" s="70"/>
      <c r="BI62" s="70"/>
      <c r="BJ62" s="70"/>
      <c r="BK62" s="70"/>
      <c r="BL62" s="161"/>
      <c r="BM62" s="70"/>
      <c r="BN62" s="70"/>
      <c r="BO62" s="70"/>
      <c r="BP62" s="70"/>
      <c r="BQ62" s="70"/>
      <c r="BR62" s="95"/>
      <c r="BS62" s="95"/>
      <c r="BT62" s="95"/>
      <c r="BU62" s="95"/>
    </row>
    <row r="63" spans="1:73" ht="12.75">
      <c r="A63" s="91"/>
      <c r="B63" s="91"/>
      <c r="C63" s="14"/>
      <c r="D63" s="91"/>
      <c r="E63" s="91"/>
      <c r="F63" s="79"/>
      <c r="G63" s="33"/>
      <c r="H63" s="33"/>
      <c r="I63" s="33"/>
      <c r="J63" s="33"/>
      <c r="K63" s="37"/>
      <c r="L63" s="33"/>
      <c r="M63" s="153" t="s">
        <v>77</v>
      </c>
      <c r="N63" s="150">
        <f>'NUMBERS-DM'!I24</f>
        <v>0.21200601146165543</v>
      </c>
      <c r="O63" s="150">
        <v>0.21199999999999999</v>
      </c>
      <c r="P63" s="132">
        <f t="shared" si="10"/>
        <v>-6.0114616554363121E-6</v>
      </c>
      <c r="Q63" s="132">
        <f>G$15*N63</f>
        <v>1.1236318607467737</v>
      </c>
      <c r="R63" s="100"/>
      <c r="S63" s="101"/>
      <c r="T63" s="100"/>
      <c r="U63" s="134"/>
      <c r="V63" s="68"/>
      <c r="W63" s="68"/>
      <c r="X63" s="68"/>
      <c r="Y63" s="68"/>
      <c r="Z63" s="96"/>
      <c r="AA63" s="144"/>
      <c r="AB63" s="145"/>
      <c r="AC63" s="33"/>
      <c r="AD63" s="153" t="s">
        <v>77</v>
      </c>
      <c r="AE63" s="107">
        <f t="shared" si="11"/>
        <v>1.0739563122322389</v>
      </c>
      <c r="AF63" s="108"/>
      <c r="AG63" s="109"/>
      <c r="AH63" s="109"/>
      <c r="AI63" s="110"/>
      <c r="AJ63" s="111"/>
      <c r="AK63" s="112"/>
      <c r="AL63" s="113"/>
      <c r="AM63" s="114"/>
      <c r="AN63" s="38"/>
      <c r="AO63" s="153" t="s">
        <v>77</v>
      </c>
      <c r="AP63" s="115"/>
      <c r="AQ63" s="116"/>
      <c r="AR63" s="117"/>
      <c r="AS63" s="117"/>
      <c r="AT63" s="118"/>
      <c r="AU63" s="118"/>
      <c r="AV63" s="119"/>
      <c r="AW63" s="120"/>
      <c r="AX63" s="121"/>
      <c r="AY63" s="38"/>
      <c r="AZ63" s="88"/>
      <c r="BA63" s="111">
        <v>1046254720</v>
      </c>
      <c r="BB63" s="113"/>
      <c r="BC63" s="122"/>
      <c r="BD63" s="113"/>
      <c r="BE63" s="122"/>
      <c r="BF63" s="113"/>
      <c r="BG63" s="123"/>
      <c r="BH63" s="70"/>
      <c r="BI63" s="70"/>
      <c r="BJ63" s="70"/>
      <c r="BK63" s="70"/>
      <c r="BL63" s="161"/>
      <c r="BM63" s="70"/>
      <c r="BN63" s="70"/>
      <c r="BO63" s="70"/>
      <c r="BP63" s="70"/>
      <c r="BQ63" s="70"/>
      <c r="BR63" s="95"/>
      <c r="BS63" s="95"/>
      <c r="BT63" s="95"/>
      <c r="BU63" s="95"/>
    </row>
    <row r="64" spans="1:73" ht="12.75">
      <c r="A64" s="91"/>
      <c r="B64" s="91"/>
      <c r="C64" s="14"/>
      <c r="D64" s="91"/>
      <c r="E64" s="91"/>
      <c r="F64" s="79"/>
      <c r="G64" s="33"/>
      <c r="H64" s="33"/>
      <c r="I64" s="33"/>
      <c r="J64" s="33"/>
      <c r="K64" s="37"/>
      <c r="L64" s="33"/>
      <c r="M64" s="88"/>
      <c r="N64" s="100"/>
      <c r="O64" s="100"/>
      <c r="P64" s="100"/>
      <c r="Q64" s="100"/>
      <c r="R64" s="100"/>
      <c r="S64" s="133"/>
      <c r="T64" s="100"/>
      <c r="U64" s="134"/>
      <c r="V64" s="68"/>
      <c r="W64" s="68"/>
      <c r="X64" s="68"/>
      <c r="Y64" s="68"/>
      <c r="Z64" s="96"/>
      <c r="AA64" s="144"/>
      <c r="AB64" s="145"/>
      <c r="AC64" s="33"/>
      <c r="AD64" s="88"/>
      <c r="AE64" s="107"/>
      <c r="AF64" s="108"/>
      <c r="AG64" s="109"/>
      <c r="AH64" s="109"/>
      <c r="AI64" s="110"/>
      <c r="AJ64" s="111"/>
      <c r="AK64" s="112"/>
      <c r="AL64" s="113"/>
      <c r="AM64" s="114"/>
      <c r="AN64" s="38"/>
      <c r="AO64" s="115"/>
      <c r="AP64" s="115"/>
      <c r="AQ64" s="116"/>
      <c r="AR64" s="117"/>
      <c r="AS64" s="117"/>
      <c r="AT64" s="118"/>
      <c r="AU64" s="118"/>
      <c r="AV64" s="119"/>
      <c r="AW64" s="120"/>
      <c r="AX64" s="121"/>
      <c r="AY64" s="38"/>
      <c r="AZ64" s="88"/>
      <c r="BA64" s="111"/>
      <c r="BB64" s="113"/>
      <c r="BC64" s="122"/>
      <c r="BD64" s="113"/>
      <c r="BE64" s="122"/>
      <c r="BF64" s="113"/>
      <c r="BG64" s="123"/>
      <c r="BH64" s="70"/>
      <c r="BI64" s="70"/>
      <c r="BJ64" s="70"/>
      <c r="BK64" s="70"/>
      <c r="BL64" s="161"/>
      <c r="BM64" s="70"/>
      <c r="BN64" s="70"/>
      <c r="BO64" s="70"/>
      <c r="BP64" s="70"/>
      <c r="BQ64" s="70"/>
      <c r="BR64" s="95"/>
      <c r="BS64" s="95"/>
      <c r="BT64" s="95"/>
      <c r="BU64" s="95"/>
    </row>
    <row r="65" spans="1:73" ht="12.75">
      <c r="A65" s="91"/>
      <c r="B65" s="91"/>
      <c r="C65" s="14"/>
      <c r="D65" s="91"/>
      <c r="E65" s="91"/>
      <c r="F65" s="79"/>
      <c r="G65" s="33"/>
      <c r="H65" s="33"/>
      <c r="I65" s="33"/>
      <c r="J65" s="33"/>
      <c r="K65" s="37"/>
      <c r="L65" s="558" t="s">
        <v>104</v>
      </c>
      <c r="M65" s="88" t="s">
        <v>62</v>
      </c>
      <c r="N65" s="150">
        <f>'NUMBERS-DM'!J4</f>
        <v>6.9689599800613039E-2</v>
      </c>
      <c r="O65" s="150">
        <v>3.9100000000000003E-2</v>
      </c>
      <c r="P65" s="132">
        <f t="shared" ref="P65:P75" si="12">O65-N65</f>
        <v>-3.0589599800613036E-2</v>
      </c>
      <c r="Q65" s="132">
        <f>G$5*N65</f>
        <v>58.169908953571706</v>
      </c>
      <c r="R65" s="100">
        <v>32.659999999999997</v>
      </c>
      <c r="S65" s="133">
        <f>Q65</f>
        <v>58.169908953571706</v>
      </c>
      <c r="T65" s="100">
        <f>R65</f>
        <v>32.659999999999997</v>
      </c>
      <c r="U65" s="134">
        <f>SUM(S65:S75)</f>
        <v>522.95553357786275</v>
      </c>
      <c r="V65" s="104"/>
      <c r="W65" s="104"/>
      <c r="X65" s="104">
        <f>U65/U$4</f>
        <v>8.7605165890694101E-2</v>
      </c>
      <c r="Y65" s="68">
        <v>608.7600000000001</v>
      </c>
      <c r="Z65" s="136">
        <f>BA65/BA$4</f>
        <v>9.0568730205275852E-2</v>
      </c>
      <c r="AA65" s="144"/>
      <c r="AB65" s="145"/>
      <c r="AC65" s="558" t="s">
        <v>104</v>
      </c>
      <c r="AD65" s="88" t="s">
        <v>62</v>
      </c>
      <c r="AE65" s="107">
        <f t="shared" ref="AE65:AE75" si="13">SUM(Q65*1000000)/BA65*1000</f>
        <v>100.09782819133646</v>
      </c>
      <c r="AF65" s="108">
        <v>56.200793976458783</v>
      </c>
      <c r="AG65" s="122">
        <f>AE65</f>
        <v>100.09782819133646</v>
      </c>
      <c r="AH65" s="109">
        <v>56.200793976458783</v>
      </c>
      <c r="AI65" s="110">
        <f>SUM(AG65:AG75)</f>
        <v>899.89333133675871</v>
      </c>
      <c r="AJ65" s="111">
        <v>1047.544254167454</v>
      </c>
      <c r="AK65" s="137">
        <f>AI65/20</f>
        <v>44.994666566837935</v>
      </c>
      <c r="AL65" s="113"/>
      <c r="AM65" s="114"/>
      <c r="AN65" s="560" t="s">
        <v>104</v>
      </c>
      <c r="AO65" s="115" t="s">
        <v>62</v>
      </c>
      <c r="AP65" s="115">
        <v>18.25</v>
      </c>
      <c r="AQ65" s="116">
        <v>452.96500000000003</v>
      </c>
      <c r="AR65" s="117">
        <f>AG65-AP65</f>
        <v>81.847828191336461</v>
      </c>
      <c r="AS65" s="139">
        <f>AR65/AP65</f>
        <v>4.4848125036348749</v>
      </c>
      <c r="AT65" s="118">
        <f>SQRT(AS65)*10</f>
        <v>21.177375908348218</v>
      </c>
      <c r="AU65" s="118">
        <v>37.950793976458783</v>
      </c>
      <c r="AV65" s="119">
        <v>2.079495560353906</v>
      </c>
      <c r="AW65" s="120"/>
      <c r="AX65" s="121"/>
      <c r="AY65" s="560" t="s">
        <v>104</v>
      </c>
      <c r="AZ65" s="88" t="s">
        <v>62</v>
      </c>
      <c r="BA65" s="111">
        <v>581130580</v>
      </c>
      <c r="BB65" s="113">
        <f>(AP65*BA65)/1000000000</f>
        <v>10.605633084999999</v>
      </c>
      <c r="BC65" s="122">
        <f>SUM(BB65:BB74)</f>
        <v>263.23181316969999</v>
      </c>
      <c r="BD65" s="113">
        <f>BB65*1.3</f>
        <v>13.7873230105</v>
      </c>
      <c r="BE65" s="122">
        <f>SUM(BD65:BD75)</f>
        <v>342.20135712061006</v>
      </c>
      <c r="BF65" s="113"/>
      <c r="BG65" s="123"/>
      <c r="BH65" s="70"/>
      <c r="BI65" s="70"/>
      <c r="BJ65" s="70"/>
      <c r="BK65" s="70"/>
      <c r="BL65" s="161"/>
      <c r="BM65" s="70"/>
      <c r="BN65" s="70"/>
      <c r="BO65" s="70"/>
      <c r="BP65" s="70"/>
      <c r="BQ65" s="70"/>
      <c r="BR65" s="95"/>
      <c r="BS65" s="95"/>
      <c r="BT65" s="95"/>
      <c r="BU65" s="95"/>
    </row>
    <row r="66" spans="1:73" ht="12.75">
      <c r="A66" s="91"/>
      <c r="B66" s="91"/>
      <c r="C66" s="14"/>
      <c r="D66" s="91"/>
      <c r="E66" s="91"/>
      <c r="F66" s="79"/>
      <c r="G66" s="33"/>
      <c r="H66" s="33"/>
      <c r="I66" s="33"/>
      <c r="J66" s="33"/>
      <c r="K66" s="37"/>
      <c r="L66" s="559"/>
      <c r="M66" s="70" t="s">
        <v>65</v>
      </c>
      <c r="N66" s="150">
        <f>'NUMBERS-DM'!J6</f>
        <v>7.6197474847066307E-2</v>
      </c>
      <c r="O66" s="150">
        <v>7.6200000000000004E-2</v>
      </c>
      <c r="P66" s="132">
        <f t="shared" si="12"/>
        <v>2.525152933696706E-6</v>
      </c>
      <c r="Q66" s="132">
        <f>G$6*N66</f>
        <v>97.544959400220392</v>
      </c>
      <c r="R66" s="100">
        <v>203.22</v>
      </c>
      <c r="S66" s="133">
        <f>Q66</f>
        <v>97.544959400220392</v>
      </c>
      <c r="T66" s="100">
        <f>R66</f>
        <v>203.22</v>
      </c>
      <c r="U66" s="134"/>
      <c r="V66" s="68"/>
      <c r="W66" s="68"/>
      <c r="X66" s="68"/>
      <c r="Y66" s="68"/>
      <c r="Z66" s="96"/>
      <c r="AA66" s="144"/>
      <c r="AB66" s="145"/>
      <c r="AC66" s="559"/>
      <c r="AD66" s="70" t="s">
        <v>65</v>
      </c>
      <c r="AE66" s="107">
        <f t="shared" si="13"/>
        <v>167.85377117862288</v>
      </c>
      <c r="AF66" s="108">
        <v>349.69765315051916</v>
      </c>
      <c r="AG66" s="122">
        <f>AE66</f>
        <v>167.85377117862288</v>
      </c>
      <c r="AH66" s="109">
        <v>349.69765315051916</v>
      </c>
      <c r="AI66" s="110"/>
      <c r="AJ66" s="111"/>
      <c r="AK66" s="95"/>
      <c r="AL66" s="70"/>
      <c r="AM66" s="84"/>
      <c r="AN66" s="559"/>
      <c r="AO66" s="146" t="s">
        <v>65</v>
      </c>
      <c r="AP66" s="115">
        <v>84.68</v>
      </c>
      <c r="AQ66" s="147"/>
      <c r="AR66" s="117">
        <f>AG66-AP66</f>
        <v>83.173771178622872</v>
      </c>
      <c r="AS66" s="139">
        <f>AR66/AP66</f>
        <v>0.98221269696059121</v>
      </c>
      <c r="AT66" s="118">
        <f>SQRT(AS66)*10</f>
        <v>9.910664442713168</v>
      </c>
      <c r="AU66" s="118">
        <v>265.01765315051915</v>
      </c>
      <c r="AV66" s="119">
        <v>3.1296369054147277</v>
      </c>
      <c r="AW66" s="120"/>
      <c r="AX66" s="121"/>
      <c r="AY66" s="559"/>
      <c r="AZ66" s="70" t="s">
        <v>65</v>
      </c>
      <c r="BA66" s="111">
        <v>581130580</v>
      </c>
      <c r="BB66" s="113">
        <f>(AP66*BA66)/1000000000</f>
        <v>49.210137514400003</v>
      </c>
      <c r="BC66" s="122"/>
      <c r="BD66" s="113">
        <f>BB66*1.3</f>
        <v>63.973178768720004</v>
      </c>
      <c r="BE66" s="141"/>
      <c r="BF66" s="70"/>
      <c r="BG66" s="148"/>
      <c r="BH66" s="70"/>
      <c r="BI66" s="70"/>
      <c r="BJ66" s="70"/>
      <c r="BK66" s="70"/>
      <c r="BL66" s="161"/>
      <c r="BM66" s="70"/>
      <c r="BN66" s="70"/>
      <c r="BO66" s="70"/>
      <c r="BP66" s="70"/>
      <c r="BQ66" s="70"/>
      <c r="BR66" s="95"/>
      <c r="BS66" s="95"/>
      <c r="BT66" s="95"/>
      <c r="BU66" s="95"/>
    </row>
    <row r="67" spans="1:73" ht="12.75">
      <c r="A67" s="91"/>
      <c r="B67" s="91"/>
      <c r="C67" s="14"/>
      <c r="D67" s="91"/>
      <c r="E67" s="91"/>
      <c r="F67" s="72"/>
      <c r="G67" s="33"/>
      <c r="H67" s="33"/>
      <c r="I67" s="33"/>
      <c r="J67" s="33"/>
      <c r="K67" s="37"/>
      <c r="L67" s="559"/>
      <c r="M67" s="88" t="s">
        <v>66</v>
      </c>
      <c r="N67" s="150">
        <f>'NUMBERS-DM'!J8</f>
        <v>3.5445301715583258E-2</v>
      </c>
      <c r="O67" s="150">
        <v>3.5400000000000001E-2</v>
      </c>
      <c r="P67" s="132">
        <f t="shared" si="12"/>
        <v>-4.5301715583256907E-5</v>
      </c>
      <c r="Q67" s="132">
        <f>G$7*N67</f>
        <v>40.053190938609085</v>
      </c>
      <c r="R67" s="100">
        <v>40.049999999999997</v>
      </c>
      <c r="S67" s="133">
        <f>Q67+Q68</f>
        <v>139.55548332032001</v>
      </c>
      <c r="T67" s="100">
        <f>R67+R68</f>
        <v>139.55000000000001</v>
      </c>
      <c r="U67" s="134"/>
      <c r="V67" s="68"/>
      <c r="W67" s="68"/>
      <c r="X67" s="68"/>
      <c r="Y67" s="68"/>
      <c r="Z67" s="96"/>
      <c r="AA67" s="144"/>
      <c r="AB67" s="145"/>
      <c r="AC67" s="559"/>
      <c r="AD67" s="88" t="s">
        <v>66</v>
      </c>
      <c r="AE67" s="107">
        <f t="shared" si="13"/>
        <v>68.92287605757916</v>
      </c>
      <c r="AF67" s="108">
        <v>68.917385142595663</v>
      </c>
      <c r="AG67" s="122">
        <f>AE67+AE68</f>
        <v>240.1447938264065</v>
      </c>
      <c r="AH67" s="109">
        <v>240.13535821845755</v>
      </c>
      <c r="AI67" s="110"/>
      <c r="AJ67" s="111"/>
      <c r="AK67" s="95"/>
      <c r="AL67" s="70"/>
      <c r="AM67" s="84"/>
      <c r="AN67" s="559"/>
      <c r="AO67" s="115" t="s">
        <v>66</v>
      </c>
      <c r="AP67" s="115">
        <v>182.5</v>
      </c>
      <c r="AQ67" s="147"/>
      <c r="AR67" s="117">
        <f>AG67-AP67</f>
        <v>57.644793826406499</v>
      </c>
      <c r="AS67" s="139">
        <f>AR67/AP67</f>
        <v>0.31586188398030957</v>
      </c>
      <c r="AT67" s="118">
        <f>SQRT(AS67)*10</f>
        <v>5.6201591078928503</v>
      </c>
      <c r="AU67" s="118">
        <v>57.635358218457554</v>
      </c>
      <c r="AV67" s="119">
        <v>0.31581018201894551</v>
      </c>
      <c r="AW67" s="120"/>
      <c r="AX67" s="121"/>
      <c r="AY67" s="559"/>
      <c r="AZ67" s="88" t="s">
        <v>66</v>
      </c>
      <c r="BA67" s="111">
        <v>581130580</v>
      </c>
      <c r="BB67" s="113">
        <f>(AP67*BA67)/1000000000</f>
        <v>106.05633084999999</v>
      </c>
      <c r="BC67" s="122"/>
      <c r="BD67" s="113">
        <f>BB67*1.3</f>
        <v>137.873230105</v>
      </c>
      <c r="BE67" s="141"/>
      <c r="BF67" s="70"/>
      <c r="BG67" s="148"/>
      <c r="BH67" s="70"/>
      <c r="BI67" s="70"/>
      <c r="BJ67" s="70"/>
      <c r="BK67" s="70"/>
      <c r="BL67" s="161"/>
      <c r="BM67" s="70"/>
      <c r="BN67" s="70"/>
      <c r="BO67" s="70"/>
      <c r="BP67" s="70"/>
      <c r="BQ67" s="70"/>
      <c r="BR67" s="95"/>
      <c r="BS67" s="95"/>
      <c r="BT67" s="95"/>
      <c r="BU67" s="95"/>
    </row>
    <row r="68" spans="1:73" ht="12.75">
      <c r="A68" s="91"/>
      <c r="B68" s="91"/>
      <c r="C68" s="14"/>
      <c r="D68" s="91"/>
      <c r="E68" s="91"/>
      <c r="F68" s="72"/>
      <c r="G68" s="33"/>
      <c r="H68" s="33"/>
      <c r="I68" s="33"/>
      <c r="J68" s="33"/>
      <c r="K68" s="37"/>
      <c r="L68" s="559"/>
      <c r="M68" s="88" t="s">
        <v>67</v>
      </c>
      <c r="N68" s="150">
        <f>'NUMBERS-DM'!J10</f>
        <v>0.11268662783885723</v>
      </c>
      <c r="O68" s="150">
        <v>0.11269999999999999</v>
      </c>
      <c r="P68" s="132">
        <f t="shared" si="12"/>
        <v>1.3372161142763406E-5</v>
      </c>
      <c r="Q68" s="132">
        <f>G$8*N68</f>
        <v>99.50229238171093</v>
      </c>
      <c r="R68" s="100">
        <v>99.5</v>
      </c>
      <c r="S68" s="133"/>
      <c r="T68" s="100"/>
      <c r="U68" s="134"/>
      <c r="V68" s="68"/>
      <c r="W68" s="68"/>
      <c r="X68" s="68"/>
      <c r="Y68" s="68"/>
      <c r="Z68" s="96"/>
      <c r="AA68" s="144"/>
      <c r="AB68" s="145"/>
      <c r="AC68" s="559"/>
      <c r="AD68" s="88" t="s">
        <v>67</v>
      </c>
      <c r="AE68" s="107">
        <f t="shared" si="13"/>
        <v>171.22191776882732</v>
      </c>
      <c r="AF68" s="108">
        <v>171.21797307586189</v>
      </c>
      <c r="AG68" s="61"/>
      <c r="AH68" s="109"/>
      <c r="AI68" s="110"/>
      <c r="AJ68" s="111"/>
      <c r="AK68" s="95"/>
      <c r="AL68" s="70"/>
      <c r="AM68" s="84"/>
      <c r="AN68" s="559"/>
      <c r="AO68" s="115" t="s">
        <v>67</v>
      </c>
      <c r="AP68" s="115"/>
      <c r="AQ68" s="147"/>
      <c r="AR68" s="117"/>
      <c r="AS68" s="139"/>
      <c r="AT68" s="118"/>
      <c r="AU68" s="118">
        <v>0</v>
      </c>
      <c r="AV68" s="119"/>
      <c r="AW68" s="120"/>
      <c r="AX68" s="121"/>
      <c r="AY68" s="559"/>
      <c r="AZ68" s="88" t="s">
        <v>67</v>
      </c>
      <c r="BA68" s="111">
        <v>581130580</v>
      </c>
      <c r="BB68" s="113"/>
      <c r="BC68" s="122"/>
      <c r="BD68" s="113"/>
      <c r="BE68" s="141"/>
      <c r="BF68" s="70"/>
      <c r="BG68" s="148"/>
      <c r="BH68" s="70"/>
      <c r="BI68" s="70"/>
      <c r="BJ68" s="70"/>
      <c r="BK68" s="70"/>
      <c r="BL68" s="161"/>
      <c r="BM68" s="70"/>
      <c r="BN68" s="70"/>
      <c r="BO68" s="70"/>
      <c r="BP68" s="70"/>
      <c r="BQ68" s="70"/>
      <c r="BR68" s="95"/>
      <c r="BS68" s="95"/>
      <c r="BT68" s="95"/>
      <c r="BU68" s="95"/>
    </row>
    <row r="69" spans="1:73" ht="12.75">
      <c r="A69" s="91"/>
      <c r="B69" s="91"/>
      <c r="C69" s="14"/>
      <c r="D69" s="91"/>
      <c r="E69" s="91"/>
      <c r="F69" s="72"/>
      <c r="G69" s="33"/>
      <c r="H69" s="33"/>
      <c r="I69" s="33"/>
      <c r="J69" s="33"/>
      <c r="K69" s="37"/>
      <c r="L69" s="559"/>
      <c r="M69" s="70" t="s">
        <v>68</v>
      </c>
      <c r="N69" s="150">
        <f>'NUMBERS-DM'!J12</f>
        <v>0.14879276421224349</v>
      </c>
      <c r="O69" s="150">
        <v>0.1525</v>
      </c>
      <c r="P69" s="132">
        <f t="shared" si="12"/>
        <v>3.7072357877565021E-3</v>
      </c>
      <c r="Q69" s="132">
        <f>G$9*N69</f>
        <v>125.13471470249678</v>
      </c>
      <c r="R69" s="100">
        <v>128.25</v>
      </c>
      <c r="S69" s="133">
        <f>Q69</f>
        <v>125.13471470249678</v>
      </c>
      <c r="T69" s="100">
        <f>R69</f>
        <v>128.25</v>
      </c>
      <c r="U69" s="134"/>
      <c r="V69" s="68"/>
      <c r="W69" s="68"/>
      <c r="X69" s="68"/>
      <c r="Y69" s="68"/>
      <c r="Z69" s="96"/>
      <c r="AA69" s="144"/>
      <c r="AB69" s="145"/>
      <c r="AC69" s="559"/>
      <c r="AD69" s="70" t="s">
        <v>68</v>
      </c>
      <c r="AE69" s="107">
        <f t="shared" si="13"/>
        <v>215.3297709827915</v>
      </c>
      <c r="AF69" s="108">
        <v>220.69050298471646</v>
      </c>
      <c r="AG69" s="122">
        <f>AE69</f>
        <v>215.3297709827915</v>
      </c>
      <c r="AH69" s="109">
        <v>220.69050298471646</v>
      </c>
      <c r="AI69" s="110"/>
      <c r="AJ69" s="111"/>
      <c r="AK69" s="95"/>
      <c r="AL69" s="70"/>
      <c r="AM69" s="84"/>
      <c r="AN69" s="559"/>
      <c r="AO69" s="146" t="s">
        <v>68</v>
      </c>
      <c r="AP69" s="115">
        <v>91.25</v>
      </c>
      <c r="AQ69" s="147"/>
      <c r="AR69" s="117">
        <f>AG69-AP69</f>
        <v>124.0797709827915</v>
      </c>
      <c r="AS69" s="139">
        <f>AR69/AP69</f>
        <v>1.3597783121401807</v>
      </c>
      <c r="AT69" s="118">
        <f>SQRT(AS69)*10</f>
        <v>11.660953272096499</v>
      </c>
      <c r="AU69" s="118">
        <v>129.44050298471646</v>
      </c>
      <c r="AV69" s="119">
        <v>1.4185260601064817</v>
      </c>
      <c r="AW69" s="120"/>
      <c r="AX69" s="121"/>
      <c r="AY69" s="559"/>
      <c r="AZ69" s="70" t="s">
        <v>68</v>
      </c>
      <c r="BA69" s="111">
        <v>581130580</v>
      </c>
      <c r="BB69" s="113">
        <f>(AP69*BA69)/1000000000</f>
        <v>53.028165424999997</v>
      </c>
      <c r="BC69" s="122"/>
      <c r="BD69" s="113">
        <f>BB69*1.3</f>
        <v>68.936615052500002</v>
      </c>
      <c r="BE69" s="141"/>
      <c r="BF69" s="70"/>
      <c r="BG69" s="148"/>
      <c r="BH69" s="70"/>
      <c r="BI69" s="70"/>
      <c r="BJ69" s="70"/>
      <c r="BK69" s="70"/>
      <c r="BL69" s="161"/>
      <c r="BM69" s="70"/>
      <c r="BN69" s="70"/>
      <c r="BO69" s="70"/>
      <c r="BP69" s="70"/>
      <c r="BQ69" s="70"/>
      <c r="BR69" s="95"/>
      <c r="BS69" s="95"/>
      <c r="BT69" s="95"/>
      <c r="BU69" s="95"/>
    </row>
    <row r="70" spans="1:73" ht="12.75">
      <c r="A70" s="91"/>
      <c r="B70" s="91"/>
      <c r="C70" s="14"/>
      <c r="D70" s="91"/>
      <c r="E70" s="91"/>
      <c r="F70" s="72"/>
      <c r="G70" s="33"/>
      <c r="H70" s="33"/>
      <c r="I70" s="33"/>
      <c r="J70" s="33"/>
      <c r="K70" s="37"/>
      <c r="L70" s="559"/>
      <c r="M70" s="88" t="s">
        <v>70</v>
      </c>
      <c r="N70" s="150">
        <f>'NUMBERS-DM'!J14</f>
        <v>0.11859964312746471</v>
      </c>
      <c r="O70" s="150">
        <v>0.1186</v>
      </c>
      <c r="P70" s="132">
        <f t="shared" si="12"/>
        <v>3.5687253528704499E-7</v>
      </c>
      <c r="Q70" s="132">
        <f>G$10*N70</f>
        <v>25.143124343022517</v>
      </c>
      <c r="R70" s="100">
        <v>25.14</v>
      </c>
      <c r="S70" s="133">
        <f>Q70</f>
        <v>25.143124343022517</v>
      </c>
      <c r="T70" s="100">
        <f>R70</f>
        <v>25.14</v>
      </c>
      <c r="U70" s="134"/>
      <c r="V70" s="68"/>
      <c r="W70" s="68"/>
      <c r="X70" s="68"/>
      <c r="Y70" s="68"/>
      <c r="Z70" s="96"/>
      <c r="AA70" s="144"/>
      <c r="AB70" s="145"/>
      <c r="AC70" s="559"/>
      <c r="AD70" s="88" t="s">
        <v>70</v>
      </c>
      <c r="AE70" s="107">
        <f t="shared" si="13"/>
        <v>43.265877254338463</v>
      </c>
      <c r="AF70" s="108">
        <v>43.260500935951441</v>
      </c>
      <c r="AG70" s="122">
        <f>AE70</f>
        <v>43.265877254338463</v>
      </c>
      <c r="AH70" s="109">
        <v>43.260500935951441</v>
      </c>
      <c r="AI70" s="110"/>
      <c r="AJ70" s="111"/>
      <c r="AK70" s="96"/>
      <c r="AL70" s="88"/>
      <c r="AM70" s="154"/>
      <c r="AN70" s="559"/>
      <c r="AO70" s="115" t="s">
        <v>70</v>
      </c>
      <c r="AP70" s="115">
        <v>5.1100000000000003</v>
      </c>
      <c r="AQ70" s="147"/>
      <c r="AR70" s="117">
        <f>AG70-AP70</f>
        <v>38.155877254338463</v>
      </c>
      <c r="AS70" s="139">
        <f>AR70/AP70</f>
        <v>7.4669035722775856</v>
      </c>
      <c r="AT70" s="118">
        <f>SQRT(AS70)*10</f>
        <v>27.325635532001055</v>
      </c>
      <c r="AU70" s="118">
        <v>38.150500935951442</v>
      </c>
      <c r="AV70" s="119">
        <v>7.4658514551764066</v>
      </c>
      <c r="AW70" s="120"/>
      <c r="AX70" s="121"/>
      <c r="AY70" s="559"/>
      <c r="AZ70" s="88" t="s">
        <v>70</v>
      </c>
      <c r="BA70" s="111">
        <v>581130580</v>
      </c>
      <c r="BB70" s="113">
        <f>(AP70*BA70)/1000000000</f>
        <v>2.9695772638000002</v>
      </c>
      <c r="BC70" s="122"/>
      <c r="BD70" s="113">
        <f>BB70*1.3</f>
        <v>3.8604504429400004</v>
      </c>
      <c r="BE70" s="61"/>
      <c r="BF70" s="88"/>
      <c r="BG70" s="155"/>
      <c r="BH70" s="88"/>
      <c r="BI70" s="88"/>
      <c r="BJ70" s="88"/>
      <c r="BK70" s="88"/>
      <c r="BL70" s="100"/>
      <c r="BM70" s="88"/>
      <c r="BN70" s="88"/>
      <c r="BO70" s="88"/>
      <c r="BP70" s="88"/>
      <c r="BQ70" s="88"/>
      <c r="BR70" s="96"/>
      <c r="BS70" s="96"/>
      <c r="BT70" s="96"/>
      <c r="BU70" s="96"/>
    </row>
    <row r="71" spans="1:73" ht="12.75">
      <c r="A71" s="91"/>
      <c r="B71" s="91"/>
      <c r="C71" s="14"/>
      <c r="D71" s="91"/>
      <c r="E71" s="91"/>
      <c r="F71" s="72"/>
      <c r="G71" s="33"/>
      <c r="H71" s="33"/>
      <c r="I71" s="33"/>
      <c r="J71" s="33"/>
      <c r="K71" s="37"/>
      <c r="L71" s="559"/>
      <c r="M71" s="88" t="s">
        <v>71</v>
      </c>
      <c r="N71" s="150">
        <f>'NUMBERS-DM'!J16</f>
        <v>0.1929369132536341</v>
      </c>
      <c r="O71" s="150">
        <v>0.19289999999999999</v>
      </c>
      <c r="P71" s="132">
        <f t="shared" si="12"/>
        <v>-3.6913253634113241E-5</v>
      </c>
      <c r="Q71" s="132">
        <f>G$11*N71</f>
        <v>25.853546375986969</v>
      </c>
      <c r="R71" s="100">
        <v>25.85</v>
      </c>
      <c r="S71" s="133">
        <f>Q71+Q73+Q72</f>
        <v>40.762659455348341</v>
      </c>
      <c r="T71" s="100">
        <f>R71+R72+R73</f>
        <v>40.760000000000005</v>
      </c>
      <c r="U71" s="134"/>
      <c r="V71" s="68"/>
      <c r="W71" s="68"/>
      <c r="X71" s="68"/>
      <c r="Y71" s="68"/>
      <c r="Z71" s="96"/>
      <c r="AA71" s="144"/>
      <c r="AB71" s="145"/>
      <c r="AC71" s="559"/>
      <c r="AD71" s="88" t="s">
        <v>71</v>
      </c>
      <c r="AE71" s="107">
        <f t="shared" si="13"/>
        <v>44.48835987255562</v>
      </c>
      <c r="AF71" s="108">
        <v>44.482257326744026</v>
      </c>
      <c r="AG71" s="122">
        <f>AE71+AE73+AE72</f>
        <v>70.143717880666941</v>
      </c>
      <c r="AH71" s="109">
        <v>70.139141533388255</v>
      </c>
      <c r="AI71" s="110"/>
      <c r="AJ71" s="111"/>
      <c r="AK71" s="95"/>
      <c r="AL71" s="70"/>
      <c r="AM71" s="84"/>
      <c r="AN71" s="559"/>
      <c r="AO71" s="115" t="s">
        <v>71</v>
      </c>
      <c r="AP71" s="115">
        <v>25.55</v>
      </c>
      <c r="AQ71" s="147"/>
      <c r="AR71" s="117">
        <f>AG71-AP71</f>
        <v>44.593717880666944</v>
      </c>
      <c r="AS71" s="139">
        <f>AR71/AP71</f>
        <v>1.7453509933724831</v>
      </c>
      <c r="AT71" s="118">
        <f>SQRT(AS71)*10</f>
        <v>13.211173276331225</v>
      </c>
      <c r="AU71" s="118">
        <v>44.589141533388258</v>
      </c>
      <c r="AV71" s="119">
        <v>1.7451718799760569</v>
      </c>
      <c r="AW71" s="120"/>
      <c r="AX71" s="121"/>
      <c r="AY71" s="559"/>
      <c r="AZ71" s="88" t="s">
        <v>71</v>
      </c>
      <c r="BA71" s="111">
        <v>581130580</v>
      </c>
      <c r="BB71" s="113">
        <f>(AP71*BA71)/1000000000</f>
        <v>14.847886319000001</v>
      </c>
      <c r="BC71" s="122"/>
      <c r="BD71" s="113">
        <f>BB71*1.3</f>
        <v>19.302252214700001</v>
      </c>
      <c r="BE71" s="141"/>
      <c r="BF71" s="70"/>
      <c r="BG71" s="148"/>
      <c r="BH71" s="70"/>
      <c r="BI71" s="70"/>
      <c r="BJ71" s="70"/>
      <c r="BK71" s="70"/>
      <c r="BL71" s="161"/>
      <c r="BM71" s="70"/>
      <c r="BN71" s="70"/>
      <c r="BO71" s="70"/>
      <c r="BP71" s="70"/>
      <c r="BQ71" s="70"/>
      <c r="BR71" s="95"/>
      <c r="BS71" s="95"/>
      <c r="BT71" s="95"/>
      <c r="BU71" s="95"/>
    </row>
    <row r="72" spans="1:73" ht="12.75">
      <c r="A72" s="91"/>
      <c r="B72" s="91"/>
      <c r="C72" s="14"/>
      <c r="D72" s="91"/>
      <c r="E72" s="91"/>
      <c r="F72" s="72"/>
      <c r="G72" s="33"/>
      <c r="H72" s="33"/>
      <c r="I72" s="33"/>
      <c r="J72" s="33"/>
      <c r="K72" s="37"/>
      <c r="L72" s="559"/>
      <c r="M72" s="88" t="s">
        <v>72</v>
      </c>
      <c r="N72" s="150">
        <f>'NUMBERS-DM'!J18</f>
        <v>4.7213810546780671E-2</v>
      </c>
      <c r="O72" s="150">
        <v>4.7199999999999999E-2</v>
      </c>
      <c r="P72" s="132">
        <f t="shared" si="12"/>
        <v>-1.3810546780672339E-5</v>
      </c>
      <c r="Q72" s="132">
        <f>G$12*N72</f>
        <v>7.3181406347510043</v>
      </c>
      <c r="R72" s="100">
        <v>7.32</v>
      </c>
      <c r="S72" s="133"/>
      <c r="T72" s="100"/>
      <c r="U72" s="134"/>
      <c r="V72" s="68"/>
      <c r="W72" s="68"/>
      <c r="X72" s="68"/>
      <c r="Y72" s="68"/>
      <c r="Z72" s="96"/>
      <c r="AA72" s="144"/>
      <c r="AB72" s="145"/>
      <c r="AC72" s="559"/>
      <c r="AD72" s="88" t="s">
        <v>72</v>
      </c>
      <c r="AE72" s="107">
        <f t="shared" si="13"/>
        <v>12.592936745388625</v>
      </c>
      <c r="AF72" s="108">
        <v>12.596136310706624</v>
      </c>
      <c r="AG72" s="61"/>
      <c r="AH72" s="109"/>
      <c r="AI72" s="110"/>
      <c r="AJ72" s="111"/>
      <c r="AK72" s="95"/>
      <c r="AL72" s="70"/>
      <c r="AM72" s="84"/>
      <c r="AN72" s="559"/>
      <c r="AO72" s="115" t="s">
        <v>72</v>
      </c>
      <c r="AP72" s="115"/>
      <c r="AQ72" s="147"/>
      <c r="AR72" s="117"/>
      <c r="AS72" s="117"/>
      <c r="AT72" s="118"/>
      <c r="AU72" s="118">
        <v>0</v>
      </c>
      <c r="AV72" s="119"/>
      <c r="AW72" s="120"/>
      <c r="AX72" s="121"/>
      <c r="AY72" s="559"/>
      <c r="AZ72" s="88" t="s">
        <v>72</v>
      </c>
      <c r="BA72" s="111">
        <v>581130580</v>
      </c>
      <c r="BB72" s="113"/>
      <c r="BC72" s="122"/>
      <c r="BD72" s="113"/>
      <c r="BE72" s="141"/>
      <c r="BF72" s="70"/>
      <c r="BG72" s="148"/>
      <c r="BH72" s="70"/>
      <c r="BI72" s="70"/>
      <c r="BJ72" s="70"/>
      <c r="BK72" s="70"/>
      <c r="BL72" s="161"/>
      <c r="BM72" s="70"/>
      <c r="BN72" s="70"/>
      <c r="BO72" s="70"/>
      <c r="BP72" s="70"/>
      <c r="BQ72" s="70"/>
      <c r="BR72" s="95"/>
      <c r="BS72" s="95"/>
      <c r="BT72" s="95"/>
      <c r="BU72" s="95"/>
    </row>
    <row r="73" spans="1:73" ht="12.75">
      <c r="A73" s="91"/>
      <c r="B73" s="91"/>
      <c r="C73" s="14"/>
      <c r="D73" s="91"/>
      <c r="E73" s="91"/>
      <c r="F73" s="72"/>
      <c r="G73" s="33"/>
      <c r="H73" s="33"/>
      <c r="I73" s="33"/>
      <c r="J73" s="33"/>
      <c r="K73" s="37"/>
      <c r="L73" s="559"/>
      <c r="M73" s="88" t="s">
        <v>73</v>
      </c>
      <c r="N73" s="150">
        <f>'NUMBERS-DM'!J20</f>
        <v>9.1567822009775271E-2</v>
      </c>
      <c r="O73" s="150">
        <v>9.1600000000000001E-2</v>
      </c>
      <c r="P73" s="132">
        <f t="shared" si="12"/>
        <v>3.2177990224729891E-5</v>
      </c>
      <c r="Q73" s="132">
        <f>G$13*N73</f>
        <v>7.5909724446103706</v>
      </c>
      <c r="R73" s="100">
        <v>7.59</v>
      </c>
      <c r="S73" s="133"/>
      <c r="T73" s="100"/>
      <c r="U73" s="134"/>
      <c r="V73" s="68"/>
      <c r="W73" s="68"/>
      <c r="X73" s="68"/>
      <c r="Y73" s="68"/>
      <c r="Z73" s="96"/>
      <c r="AA73" s="144"/>
      <c r="AB73" s="145"/>
      <c r="AC73" s="559"/>
      <c r="AD73" s="88" t="s">
        <v>73</v>
      </c>
      <c r="AE73" s="107">
        <f t="shared" si="13"/>
        <v>13.062421262722692</v>
      </c>
      <c r="AF73" s="108">
        <v>13.060747895937606</v>
      </c>
      <c r="AG73" s="61"/>
      <c r="AH73" s="109"/>
      <c r="AI73" s="110"/>
      <c r="AJ73" s="111"/>
      <c r="AK73" s="95"/>
      <c r="AL73" s="70"/>
      <c r="AM73" s="84"/>
      <c r="AN73" s="559"/>
      <c r="AO73" s="115" t="s">
        <v>73</v>
      </c>
      <c r="AP73" s="115"/>
      <c r="AQ73" s="147"/>
      <c r="AR73" s="117"/>
      <c r="AS73" s="117"/>
      <c r="AT73" s="118"/>
      <c r="AU73" s="118">
        <v>0</v>
      </c>
      <c r="AV73" s="119"/>
      <c r="AW73" s="120"/>
      <c r="AX73" s="121"/>
      <c r="AY73" s="559"/>
      <c r="AZ73" s="88" t="s">
        <v>73</v>
      </c>
      <c r="BA73" s="111">
        <v>581130580</v>
      </c>
      <c r="BB73" s="113"/>
      <c r="BC73" s="122"/>
      <c r="BD73" s="113"/>
      <c r="BE73" s="141"/>
      <c r="BF73" s="70"/>
      <c r="BG73" s="148"/>
      <c r="BH73" s="70"/>
      <c r="BI73" s="70"/>
      <c r="BJ73" s="70"/>
      <c r="BK73" s="70"/>
      <c r="BL73" s="161"/>
      <c r="BM73" s="70"/>
      <c r="BN73" s="70"/>
      <c r="BO73" s="70"/>
      <c r="BP73" s="70"/>
      <c r="BQ73" s="70"/>
      <c r="BR73" s="95"/>
      <c r="BS73" s="95"/>
      <c r="BT73" s="95"/>
      <c r="BU73" s="95"/>
    </row>
    <row r="74" spans="1:73" ht="12.75">
      <c r="A74" s="91"/>
      <c r="B74" s="91"/>
      <c r="C74" s="99"/>
      <c r="D74" s="91"/>
      <c r="E74" s="91"/>
      <c r="F74" s="161"/>
      <c r="G74" s="33"/>
      <c r="H74" s="33"/>
      <c r="I74" s="33"/>
      <c r="J74" s="33"/>
      <c r="K74" s="37"/>
      <c r="L74" s="559"/>
      <c r="M74" s="70" t="s">
        <v>75</v>
      </c>
      <c r="N74" s="150">
        <f>'NUMBERS-DM'!J22</f>
        <v>8.8665960534661234E-2</v>
      </c>
      <c r="O74" s="150">
        <v>8.8700000000000001E-2</v>
      </c>
      <c r="P74" s="132">
        <f t="shared" si="12"/>
        <v>3.4039465338767116E-5</v>
      </c>
      <c r="Q74" s="132">
        <f>G$14*N74</f>
        <v>36.477176163959633</v>
      </c>
      <c r="R74" s="100">
        <v>39.18</v>
      </c>
      <c r="S74" s="133">
        <f>Q74+Q75</f>
        <v>36.64468340288299</v>
      </c>
      <c r="T74" s="100">
        <f>R74</f>
        <v>39.18</v>
      </c>
      <c r="U74" s="134"/>
      <c r="V74" s="68"/>
      <c r="W74" s="68"/>
      <c r="X74" s="68"/>
      <c r="Y74" s="68"/>
      <c r="Z74" s="96"/>
      <c r="AA74" s="144"/>
      <c r="AB74" s="145"/>
      <c r="AC74" s="559"/>
      <c r="AD74" s="70" t="s">
        <v>75</v>
      </c>
      <c r="AE74" s="107">
        <f t="shared" si="13"/>
        <v>62.769328304766944</v>
      </c>
      <c r="AF74" s="108">
        <v>67.420303367962504</v>
      </c>
      <c r="AG74" s="122">
        <f>AE74+AE75</f>
        <v>63.057572022596005</v>
      </c>
      <c r="AH74" s="109">
        <v>67.420303367962504</v>
      </c>
      <c r="AI74" s="110"/>
      <c r="AJ74" s="111"/>
      <c r="AK74" s="95"/>
      <c r="AL74" s="70"/>
      <c r="AM74" s="84"/>
      <c r="AN74" s="559"/>
      <c r="AO74" s="70" t="s">
        <v>75</v>
      </c>
      <c r="AP74" s="115">
        <v>45.625</v>
      </c>
      <c r="AQ74" s="147"/>
      <c r="AR74" s="117">
        <f>AG74-AP74</f>
        <v>17.432572022596005</v>
      </c>
      <c r="AS74" s="139">
        <f>AR74/AP74</f>
        <v>0.38208377035826863</v>
      </c>
      <c r="AT74" s="118">
        <f>SQRT(AS74)*10</f>
        <v>6.1812925052796892</v>
      </c>
      <c r="AU74" s="118">
        <v>21.795303367962504</v>
      </c>
      <c r="AV74" s="119">
        <v>0.47770527929780832</v>
      </c>
      <c r="AW74" s="120"/>
      <c r="AX74" s="121"/>
      <c r="AY74" s="559"/>
      <c r="AZ74" s="70" t="s">
        <v>75</v>
      </c>
      <c r="BA74" s="111">
        <v>581130580</v>
      </c>
      <c r="BB74" s="113">
        <f>(AP74*BA74)/1000000000</f>
        <v>26.514082712499999</v>
      </c>
      <c r="BC74" s="122"/>
      <c r="BD74" s="113">
        <f>BB74*1.3</f>
        <v>34.468307526250001</v>
      </c>
      <c r="BE74" s="141"/>
      <c r="BF74" s="70"/>
      <c r="BG74" s="148"/>
      <c r="BH74" s="70"/>
      <c r="BI74" s="70"/>
      <c r="BJ74" s="70"/>
      <c r="BK74" s="70"/>
      <c r="BL74" s="161"/>
      <c r="BM74" s="70"/>
      <c r="BN74" s="70"/>
      <c r="BO74" s="70"/>
      <c r="BP74" s="70"/>
      <c r="BQ74" s="70"/>
      <c r="BR74" s="95"/>
      <c r="BS74" s="95"/>
      <c r="BT74" s="95"/>
      <c r="BU74" s="95"/>
    </row>
    <row r="75" spans="1:73" ht="12.75">
      <c r="A75" s="91"/>
      <c r="B75" s="91"/>
      <c r="C75" s="70"/>
      <c r="D75" s="91"/>
      <c r="E75" s="91"/>
      <c r="F75" s="161"/>
      <c r="G75" s="33"/>
      <c r="H75" s="33"/>
      <c r="I75" s="33"/>
      <c r="J75" s="33"/>
      <c r="K75" s="37"/>
      <c r="L75" s="33"/>
      <c r="M75" s="153" t="s">
        <v>77</v>
      </c>
      <c r="N75" s="150">
        <f>'NUMBERS-DM'!J24</f>
        <v>3.1605139419501785E-2</v>
      </c>
      <c r="O75" s="150">
        <v>3.1600000000000003E-2</v>
      </c>
      <c r="P75" s="132">
        <f t="shared" si="12"/>
        <v>-5.1394195017817612E-6</v>
      </c>
      <c r="Q75" s="132">
        <f>G$15*N75</f>
        <v>0.16750723892335945</v>
      </c>
      <c r="R75" s="100"/>
      <c r="S75" s="101"/>
      <c r="T75" s="100"/>
      <c r="U75" s="134"/>
      <c r="V75" s="68"/>
      <c r="W75" s="68"/>
      <c r="X75" s="68"/>
      <c r="Y75" s="68"/>
      <c r="Z75" s="96"/>
      <c r="AA75" s="144"/>
      <c r="AB75" s="145"/>
      <c r="AC75" s="33"/>
      <c r="AD75" s="153" t="s">
        <v>77</v>
      </c>
      <c r="AE75" s="107">
        <f t="shared" si="13"/>
        <v>0.28824371782906255</v>
      </c>
      <c r="AF75" s="108"/>
      <c r="AG75" s="109"/>
      <c r="AH75" s="109"/>
      <c r="AI75" s="110"/>
      <c r="AJ75" s="111"/>
      <c r="AK75" s="112"/>
      <c r="AL75" s="113"/>
      <c r="AM75" s="114"/>
      <c r="AN75" s="38"/>
      <c r="AO75" s="153" t="s">
        <v>77</v>
      </c>
      <c r="AP75" s="115"/>
      <c r="AQ75" s="116"/>
      <c r="AR75" s="117"/>
      <c r="AS75" s="117"/>
      <c r="AT75" s="118"/>
      <c r="AU75" s="118"/>
      <c r="AV75" s="119"/>
      <c r="AW75" s="120"/>
      <c r="AX75" s="121"/>
      <c r="AY75" s="38"/>
      <c r="AZ75" s="88"/>
      <c r="BA75" s="111">
        <v>581130580</v>
      </c>
      <c r="BB75" s="113"/>
      <c r="BC75" s="122"/>
      <c r="BD75" s="113"/>
      <c r="BE75" s="122"/>
      <c r="BF75" s="113"/>
      <c r="BG75" s="123"/>
      <c r="BH75" s="70"/>
      <c r="BI75" s="70"/>
      <c r="BJ75" s="70"/>
      <c r="BK75" s="70"/>
      <c r="BL75" s="161"/>
      <c r="BM75" s="70"/>
      <c r="BN75" s="70"/>
      <c r="BO75" s="70"/>
      <c r="BP75" s="70"/>
      <c r="BQ75" s="70"/>
      <c r="BR75" s="95"/>
      <c r="BS75" s="95"/>
      <c r="BT75" s="95"/>
      <c r="BU75" s="95"/>
    </row>
    <row r="76" spans="1:73" ht="12.75">
      <c r="A76" s="91"/>
      <c r="B76" s="91"/>
      <c r="C76" s="14"/>
      <c r="D76" s="91"/>
      <c r="E76" s="91"/>
      <c r="F76" s="161"/>
      <c r="G76" s="33"/>
      <c r="H76" s="33"/>
      <c r="I76" s="33"/>
      <c r="J76" s="33"/>
      <c r="K76" s="37"/>
      <c r="L76" s="33"/>
      <c r="M76" s="88"/>
      <c r="N76" s="100"/>
      <c r="O76" s="100"/>
      <c r="P76" s="100"/>
      <c r="Q76" s="100"/>
      <c r="R76" s="100"/>
      <c r="S76" s="133"/>
      <c r="T76" s="100"/>
      <c r="U76" s="134"/>
      <c r="V76" s="68"/>
      <c r="W76" s="68"/>
      <c r="X76" s="68"/>
      <c r="Y76" s="68"/>
      <c r="Z76" s="96"/>
      <c r="AA76" s="144"/>
      <c r="AB76" s="145"/>
      <c r="AC76" s="33"/>
      <c r="AD76" s="88"/>
      <c r="AE76" s="107"/>
      <c r="AF76" s="108"/>
      <c r="AG76" s="109"/>
      <c r="AH76" s="109"/>
      <c r="AI76" s="110"/>
      <c r="AJ76" s="111"/>
      <c r="AK76" s="112"/>
      <c r="AL76" s="113"/>
      <c r="AM76" s="114"/>
      <c r="AN76" s="38"/>
      <c r="AO76" s="115"/>
      <c r="AP76" s="115"/>
      <c r="AQ76" s="116"/>
      <c r="AR76" s="117"/>
      <c r="AS76" s="117"/>
      <c r="AT76" s="118"/>
      <c r="AU76" s="118"/>
      <c r="AV76" s="119"/>
      <c r="AW76" s="120"/>
      <c r="AX76" s="121"/>
      <c r="AY76" s="38"/>
      <c r="AZ76" s="88"/>
      <c r="BA76" s="111"/>
      <c r="BB76" s="113"/>
      <c r="BC76" s="122"/>
      <c r="BD76" s="113"/>
      <c r="BE76" s="122"/>
      <c r="BF76" s="113"/>
      <c r="BG76" s="123"/>
      <c r="BH76" s="70"/>
      <c r="BI76" s="70"/>
      <c r="BJ76" s="70"/>
      <c r="BK76" s="70"/>
      <c r="BL76" s="161"/>
      <c r="BM76" s="70"/>
      <c r="BN76" s="70"/>
      <c r="BO76" s="70"/>
      <c r="BP76" s="70"/>
      <c r="BQ76" s="70"/>
      <c r="BR76" s="95"/>
      <c r="BS76" s="95"/>
      <c r="BT76" s="95"/>
      <c r="BU76" s="95"/>
    </row>
    <row r="77" spans="1:73" ht="12.75">
      <c r="A77" s="91"/>
      <c r="B77" s="91"/>
      <c r="C77" s="14"/>
      <c r="D77" s="91"/>
      <c r="E77" s="91"/>
      <c r="F77" s="161"/>
      <c r="G77" s="33"/>
      <c r="H77" s="33"/>
      <c r="I77" s="33"/>
      <c r="J77" s="33"/>
      <c r="K77" s="37"/>
      <c r="L77" s="558" t="s">
        <v>105</v>
      </c>
      <c r="M77" s="88" t="s">
        <v>62</v>
      </c>
      <c r="N77" s="150">
        <f>'NUMBERS-DM'!K4</f>
        <v>5.06462458401035E-2</v>
      </c>
      <c r="O77" s="150">
        <v>2.8400000000000002E-2</v>
      </c>
      <c r="P77" s="132">
        <f t="shared" ref="P77:P87" si="14">O77-N77</f>
        <v>-2.2246245840103498E-2</v>
      </c>
      <c r="Q77" s="132">
        <f>G$5*N77</f>
        <v>42.274421402734397</v>
      </c>
      <c r="R77" s="100">
        <v>23.73</v>
      </c>
      <c r="S77" s="133">
        <f>Q77</f>
        <v>42.274421402734397</v>
      </c>
      <c r="T77" s="100">
        <f>R77</f>
        <v>23.73</v>
      </c>
      <c r="U77" s="134">
        <f>SUM(S77:S87)</f>
        <v>398.90068832623331</v>
      </c>
      <c r="V77" s="104"/>
      <c r="W77" s="104"/>
      <c r="X77" s="104">
        <f>U77/U$4</f>
        <v>6.682358007696397E-2</v>
      </c>
      <c r="Y77" s="68">
        <v>429.48</v>
      </c>
      <c r="Z77" s="136">
        <f>BA77/BA$4</f>
        <v>5.1670730926001371E-2</v>
      </c>
      <c r="AA77" s="144"/>
      <c r="AB77" s="145"/>
      <c r="AC77" s="558" t="s">
        <v>105</v>
      </c>
      <c r="AD77" s="88" t="s">
        <v>62</v>
      </c>
      <c r="AE77" s="107">
        <f t="shared" ref="AE77:AE87" si="15">SUM(Q77*1000000)/BA77*1000</f>
        <v>127.50805373375552</v>
      </c>
      <c r="AF77" s="108">
        <v>71.574394508597706</v>
      </c>
      <c r="AG77" s="122">
        <f>AE77</f>
        <v>127.50805373375552</v>
      </c>
      <c r="AH77" s="109">
        <v>71.574394508597706</v>
      </c>
      <c r="AI77" s="110">
        <f>SUM(AG77:AG87)</f>
        <v>1203.1637267599235</v>
      </c>
      <c r="AJ77" s="111">
        <v>1295.3970060494119</v>
      </c>
      <c r="AK77" s="137">
        <f>AI77/20</f>
        <v>60.158186337996177</v>
      </c>
      <c r="AL77" s="113"/>
      <c r="AM77" s="114"/>
      <c r="AN77" s="560" t="s">
        <v>105</v>
      </c>
      <c r="AO77" s="115" t="s">
        <v>62</v>
      </c>
      <c r="AP77" s="115">
        <v>18.25</v>
      </c>
      <c r="AQ77" s="116">
        <v>452.96500000000003</v>
      </c>
      <c r="AR77" s="117">
        <f>AG77-AP77</f>
        <v>109.25805373375552</v>
      </c>
      <c r="AS77" s="139">
        <f>AR77/AP77</f>
        <v>5.9867426703427684</v>
      </c>
      <c r="AT77" s="118">
        <f>SQRT(AS77)*10</f>
        <v>24.467821052032338</v>
      </c>
      <c r="AU77" s="118">
        <v>53.324394508597706</v>
      </c>
      <c r="AV77" s="119">
        <v>2.9218846306080937</v>
      </c>
      <c r="AW77" s="120"/>
      <c r="AX77" s="121"/>
      <c r="AY77" s="560" t="s">
        <v>105</v>
      </c>
      <c r="AZ77" s="88" t="s">
        <v>62</v>
      </c>
      <c r="BA77" s="111">
        <v>331543147</v>
      </c>
      <c r="BB77" s="113">
        <f>(AP77*BA77)/1000000000</f>
        <v>6.0506624327500003</v>
      </c>
      <c r="BC77" s="122">
        <f>SUM(BB77:BB86)</f>
        <v>150.177441580855</v>
      </c>
      <c r="BD77" s="113">
        <f>BB77*1.3</f>
        <v>7.8658611625750003</v>
      </c>
      <c r="BE77" s="122">
        <f>SUM(BD77:BD87)</f>
        <v>195.23067405511151</v>
      </c>
      <c r="BF77" s="113"/>
      <c r="BG77" s="123"/>
      <c r="BH77" s="70"/>
      <c r="BI77" s="70"/>
      <c r="BJ77" s="70"/>
      <c r="BK77" s="70"/>
      <c r="BL77" s="161"/>
      <c r="BM77" s="70"/>
      <c r="BN77" s="70"/>
      <c r="BO77" s="70"/>
      <c r="BP77" s="70"/>
      <c r="BQ77" s="70"/>
      <c r="BR77" s="95"/>
      <c r="BS77" s="95"/>
      <c r="BT77" s="95"/>
      <c r="BU77" s="95"/>
    </row>
    <row r="78" spans="1:73" ht="12.75">
      <c r="A78" s="14"/>
      <c r="B78" s="14"/>
      <c r="C78" s="14"/>
      <c r="D78" s="70"/>
      <c r="E78" s="70"/>
      <c r="F78" s="33"/>
      <c r="G78" s="33"/>
      <c r="H78" s="33"/>
      <c r="I78" s="33"/>
      <c r="J78" s="33"/>
      <c r="K78" s="37"/>
      <c r="L78" s="559"/>
      <c r="M78" s="70" t="s">
        <v>65</v>
      </c>
      <c r="N78" s="150">
        <f>'NUMBERS-DM'!K6</f>
        <v>3.4206793564014334E-2</v>
      </c>
      <c r="O78" s="150">
        <v>3.4200000000000001E-2</v>
      </c>
      <c r="P78" s="132">
        <f t="shared" si="14"/>
        <v>-6.793564014333231E-6</v>
      </c>
      <c r="Q78" s="132">
        <f>G$6*N78</f>
        <v>43.790168848908586</v>
      </c>
      <c r="R78" s="100">
        <v>91.23</v>
      </c>
      <c r="S78" s="133">
        <f>Q78</f>
        <v>43.790168848908586</v>
      </c>
      <c r="T78" s="100">
        <f>R78</f>
        <v>91.23</v>
      </c>
      <c r="U78" s="134"/>
      <c r="V78" s="68"/>
      <c r="W78" s="68"/>
      <c r="X78" s="68"/>
      <c r="Y78" s="68"/>
      <c r="Z78" s="96"/>
      <c r="AA78" s="144"/>
      <c r="AB78" s="145"/>
      <c r="AC78" s="559"/>
      <c r="AD78" s="70" t="s">
        <v>65</v>
      </c>
      <c r="AE78" s="107">
        <f t="shared" si="15"/>
        <v>132.07984916940114</v>
      </c>
      <c r="AF78" s="108">
        <v>275.16780493128397</v>
      </c>
      <c r="AG78" s="122">
        <f>AE78</f>
        <v>132.07984916940114</v>
      </c>
      <c r="AH78" s="109">
        <v>275.16780493128397</v>
      </c>
      <c r="AI78" s="110"/>
      <c r="AJ78" s="111"/>
      <c r="AK78" s="95"/>
      <c r="AL78" s="70"/>
      <c r="AM78" s="84"/>
      <c r="AN78" s="559"/>
      <c r="AO78" s="146" t="s">
        <v>65</v>
      </c>
      <c r="AP78" s="115">
        <v>84.68</v>
      </c>
      <c r="AQ78" s="147"/>
      <c r="AR78" s="117">
        <f>AG78-AP78</f>
        <v>47.399849169401136</v>
      </c>
      <c r="AS78" s="139">
        <f>AR78/AP78</f>
        <v>0.55975258820738227</v>
      </c>
      <c r="AT78" s="118">
        <f>SQRT(AS78)*10</f>
        <v>7.4816615013470251</v>
      </c>
      <c r="AU78" s="118">
        <v>190.48780493128396</v>
      </c>
      <c r="AV78" s="119">
        <v>2.2495017115172882</v>
      </c>
      <c r="AW78" s="120"/>
      <c r="AX78" s="121"/>
      <c r="AY78" s="559"/>
      <c r="AZ78" s="70" t="s">
        <v>65</v>
      </c>
      <c r="BA78" s="111">
        <v>331543147</v>
      </c>
      <c r="BB78" s="113">
        <f>(AP78*BA78)/1000000000</f>
        <v>28.075073687960003</v>
      </c>
      <c r="BC78" s="122"/>
      <c r="BD78" s="113">
        <f>BB78*1.3</f>
        <v>36.497595794348008</v>
      </c>
      <c r="BE78" s="141"/>
      <c r="BF78" s="70"/>
      <c r="BG78" s="148"/>
      <c r="BH78" s="70"/>
      <c r="BI78" s="70"/>
      <c r="BJ78" s="70"/>
      <c r="BK78" s="70"/>
      <c r="BL78" s="161"/>
      <c r="BM78" s="70"/>
      <c r="BN78" s="70"/>
      <c r="BO78" s="70"/>
      <c r="BP78" s="70"/>
      <c r="BQ78" s="70"/>
      <c r="BR78" s="95"/>
      <c r="BS78" s="95"/>
      <c r="BT78" s="95"/>
      <c r="BU78" s="95"/>
    </row>
    <row r="79" spans="1:73" ht="12.75">
      <c r="A79" s="14"/>
      <c r="B79" s="14"/>
      <c r="C79" s="14"/>
      <c r="D79" s="70"/>
      <c r="E79" s="70"/>
      <c r="F79" s="33"/>
      <c r="G79" s="33"/>
      <c r="H79" s="33"/>
      <c r="I79" s="33"/>
      <c r="J79" s="33"/>
      <c r="K79" s="37"/>
      <c r="L79" s="559"/>
      <c r="M79" s="88" t="s">
        <v>66</v>
      </c>
      <c r="N79" s="150">
        <f>'NUMBERS-DM'!K8</f>
        <v>3.9599534412529801E-2</v>
      </c>
      <c r="O79" s="150">
        <v>3.9600000000000003E-2</v>
      </c>
      <c r="P79" s="132">
        <f t="shared" si="14"/>
        <v>4.655874702025331E-7</v>
      </c>
      <c r="Q79" s="132">
        <f>G$7*N79</f>
        <v>44.747473886158673</v>
      </c>
      <c r="R79" s="100">
        <v>44.75</v>
      </c>
      <c r="S79" s="133">
        <f>Q79+Q80</f>
        <v>90.919427242991588</v>
      </c>
      <c r="T79" s="100">
        <f>R79+R80</f>
        <v>90.92</v>
      </c>
      <c r="U79" s="134"/>
      <c r="V79" s="68"/>
      <c r="W79" s="68"/>
      <c r="X79" s="68"/>
      <c r="Y79" s="68"/>
      <c r="Z79" s="96"/>
      <c r="AA79" s="144"/>
      <c r="AB79" s="145"/>
      <c r="AC79" s="559"/>
      <c r="AD79" s="88" t="s">
        <v>66</v>
      </c>
      <c r="AE79" s="107">
        <f t="shared" si="15"/>
        <v>134.96727135234281</v>
      </c>
      <c r="AF79" s="108">
        <v>134.97489061355867</v>
      </c>
      <c r="AG79" s="122">
        <f>AE79+AE80</f>
        <v>274.23105579374737</v>
      </c>
      <c r="AH79" s="109">
        <v>274.23278334267604</v>
      </c>
      <c r="AI79" s="110"/>
      <c r="AJ79" s="111"/>
      <c r="AK79" s="95"/>
      <c r="AL79" s="70"/>
      <c r="AM79" s="84"/>
      <c r="AN79" s="559"/>
      <c r="AO79" s="115" t="s">
        <v>66</v>
      </c>
      <c r="AP79" s="115">
        <v>182.5</v>
      </c>
      <c r="AQ79" s="147"/>
      <c r="AR79" s="117">
        <f>AG79-AP79</f>
        <v>91.731055793747373</v>
      </c>
      <c r="AS79" s="139">
        <f>AR79/AP79</f>
        <v>0.50263592215751984</v>
      </c>
      <c r="AT79" s="118">
        <f>SQRT(AS79)*10</f>
        <v>7.0896820955351716</v>
      </c>
      <c r="AU79" s="118">
        <v>91.732783342676044</v>
      </c>
      <c r="AV79" s="119">
        <v>0.5026453881790468</v>
      </c>
      <c r="AW79" s="120"/>
      <c r="AX79" s="121"/>
      <c r="AY79" s="559"/>
      <c r="AZ79" s="88" t="s">
        <v>66</v>
      </c>
      <c r="BA79" s="111">
        <v>331543147</v>
      </c>
      <c r="BB79" s="113">
        <f>(AP79*BA79)/1000000000</f>
        <v>60.506624327499999</v>
      </c>
      <c r="BC79" s="122"/>
      <c r="BD79" s="113">
        <f>BB79*1.3</f>
        <v>78.658611625749998</v>
      </c>
      <c r="BE79" s="141"/>
      <c r="BF79" s="70"/>
      <c r="BG79" s="148"/>
      <c r="BH79" s="70"/>
      <c r="BI79" s="70"/>
      <c r="BJ79" s="70"/>
      <c r="BK79" s="70"/>
      <c r="BL79" s="161"/>
      <c r="BM79" s="70"/>
      <c r="BN79" s="70"/>
      <c r="BO79" s="70"/>
      <c r="BP79" s="70"/>
      <c r="BQ79" s="70"/>
      <c r="BR79" s="95"/>
      <c r="BS79" s="95"/>
      <c r="BT79" s="95"/>
      <c r="BU79" s="95"/>
    </row>
    <row r="80" spans="1:73" ht="12.75">
      <c r="A80" s="14"/>
      <c r="B80" s="14"/>
      <c r="C80" s="14"/>
      <c r="D80" s="14"/>
      <c r="E80" s="14"/>
      <c r="F80" s="14"/>
      <c r="G80" s="33"/>
      <c r="H80" s="33"/>
      <c r="I80" s="33"/>
      <c r="J80" s="33"/>
      <c r="K80" s="37"/>
      <c r="L80" s="559"/>
      <c r="M80" s="88" t="s">
        <v>67</v>
      </c>
      <c r="N80" s="150">
        <f>'NUMBERS-DM'!K10</f>
        <v>5.2289867901283024E-2</v>
      </c>
      <c r="O80" s="150">
        <v>5.2299999999999999E-2</v>
      </c>
      <c r="P80" s="132">
        <f t="shared" si="14"/>
        <v>1.0132098716975069E-5</v>
      </c>
      <c r="Q80" s="132">
        <f>G$8*N80</f>
        <v>46.171953356832908</v>
      </c>
      <c r="R80" s="100">
        <v>46.17</v>
      </c>
      <c r="S80" s="133"/>
      <c r="T80" s="100"/>
      <c r="U80" s="134"/>
      <c r="V80" s="68"/>
      <c r="W80" s="68"/>
      <c r="X80" s="68"/>
      <c r="Y80" s="68"/>
      <c r="Z80" s="96"/>
      <c r="AA80" s="144"/>
      <c r="AB80" s="145"/>
      <c r="AC80" s="559"/>
      <c r="AD80" s="88" t="s">
        <v>67</v>
      </c>
      <c r="AE80" s="107">
        <f t="shared" si="15"/>
        <v>139.26378444140457</v>
      </c>
      <c r="AF80" s="108">
        <v>139.2578927291174</v>
      </c>
      <c r="AG80" s="61"/>
      <c r="AH80" s="109"/>
      <c r="AI80" s="110"/>
      <c r="AJ80" s="111"/>
      <c r="AK80" s="95"/>
      <c r="AL80" s="70"/>
      <c r="AM80" s="84"/>
      <c r="AN80" s="559"/>
      <c r="AO80" s="115" t="s">
        <v>67</v>
      </c>
      <c r="AP80" s="115"/>
      <c r="AQ80" s="147"/>
      <c r="AR80" s="117"/>
      <c r="AS80" s="139"/>
      <c r="AT80" s="118"/>
      <c r="AU80" s="118">
        <v>0</v>
      </c>
      <c r="AV80" s="119"/>
      <c r="AW80" s="120"/>
      <c r="AX80" s="121"/>
      <c r="AY80" s="559"/>
      <c r="AZ80" s="88" t="s">
        <v>67</v>
      </c>
      <c r="BA80" s="111">
        <v>331543147</v>
      </c>
      <c r="BB80" s="113"/>
      <c r="BC80" s="122"/>
      <c r="BD80" s="113"/>
      <c r="BE80" s="141"/>
      <c r="BF80" s="70"/>
      <c r="BG80" s="148"/>
      <c r="BH80" s="70"/>
      <c r="BI80" s="70"/>
      <c r="BJ80" s="70"/>
      <c r="BK80" s="70"/>
      <c r="BL80" s="161"/>
      <c r="BM80" s="70"/>
      <c r="BN80" s="70"/>
      <c r="BO80" s="70"/>
      <c r="BP80" s="70"/>
      <c r="BQ80" s="70"/>
      <c r="BR80" s="95"/>
      <c r="BS80" s="95"/>
      <c r="BT80" s="95"/>
      <c r="BU80" s="95"/>
    </row>
    <row r="81" spans="1:73" ht="12.75">
      <c r="A81" s="14"/>
      <c r="B81" s="14"/>
      <c r="C81" s="14"/>
      <c r="D81" s="14"/>
      <c r="E81" s="14"/>
      <c r="F81" s="14"/>
      <c r="G81" s="33"/>
      <c r="H81" s="33"/>
      <c r="I81" s="33"/>
      <c r="J81" s="33"/>
      <c r="K81" s="37"/>
      <c r="L81" s="559"/>
      <c r="M81" s="70" t="s">
        <v>68</v>
      </c>
      <c r="N81" s="150">
        <f>'NUMBERS-DM'!K12</f>
        <v>0.16627350118493034</v>
      </c>
      <c r="O81" s="150">
        <v>0.16669999999999999</v>
      </c>
      <c r="P81" s="132">
        <f t="shared" si="14"/>
        <v>4.2649881506964804E-4</v>
      </c>
      <c r="Q81" s="132">
        <f>G$9*N81</f>
        <v>139.83601449652642</v>
      </c>
      <c r="R81" s="100">
        <v>140.21</v>
      </c>
      <c r="S81" s="133">
        <f>Q81</f>
        <v>139.83601449652642</v>
      </c>
      <c r="T81" s="100">
        <f>R81</f>
        <v>140.21</v>
      </c>
      <c r="U81" s="134"/>
      <c r="V81" s="68"/>
      <c r="W81" s="68"/>
      <c r="X81" s="68"/>
      <c r="Y81" s="68"/>
      <c r="Z81" s="96"/>
      <c r="AA81" s="144"/>
      <c r="AB81" s="145"/>
      <c r="AC81" s="559"/>
      <c r="AD81" s="70" t="s">
        <v>68</v>
      </c>
      <c r="AE81" s="107">
        <f t="shared" si="15"/>
        <v>421.77320135205935</v>
      </c>
      <c r="AF81" s="108">
        <v>422.90121593133102</v>
      </c>
      <c r="AG81" s="122">
        <f>AE81</f>
        <v>421.77320135205935</v>
      </c>
      <c r="AH81" s="109">
        <v>422.90121593133102</v>
      </c>
      <c r="AI81" s="110"/>
      <c r="AJ81" s="111"/>
      <c r="AK81" s="95"/>
      <c r="AL81" s="70"/>
      <c r="AM81" s="84"/>
      <c r="AN81" s="559"/>
      <c r="AO81" s="146" t="s">
        <v>68</v>
      </c>
      <c r="AP81" s="115">
        <v>91.25</v>
      </c>
      <c r="AQ81" s="147"/>
      <c r="AR81" s="117">
        <f>AG81-AP81</f>
        <v>330.52320135205935</v>
      </c>
      <c r="AS81" s="139">
        <f>AR81/AP81</f>
        <v>3.6221720696116093</v>
      </c>
      <c r="AT81" s="118">
        <f>SQRT(AS81)*10</f>
        <v>19.032004806671338</v>
      </c>
      <c r="AU81" s="118">
        <v>331.65121593133102</v>
      </c>
      <c r="AV81" s="119">
        <v>3.6345338732200658</v>
      </c>
      <c r="AW81" s="120"/>
      <c r="AX81" s="121"/>
      <c r="AY81" s="559"/>
      <c r="AZ81" s="70" t="s">
        <v>68</v>
      </c>
      <c r="BA81" s="111">
        <v>331543147</v>
      </c>
      <c r="BB81" s="113">
        <f>(AP81*BA81)/1000000000</f>
        <v>30.25331216375</v>
      </c>
      <c r="BC81" s="122"/>
      <c r="BD81" s="113">
        <f>BB81*1.3</f>
        <v>39.329305812874999</v>
      </c>
      <c r="BE81" s="141"/>
      <c r="BF81" s="70"/>
      <c r="BG81" s="148"/>
      <c r="BH81" s="70"/>
      <c r="BI81" s="70"/>
      <c r="BJ81" s="70"/>
      <c r="BK81" s="70"/>
      <c r="BL81" s="161"/>
      <c r="BM81" s="70"/>
      <c r="BN81" s="70"/>
      <c r="BO81" s="70"/>
      <c r="BP81" s="70"/>
      <c r="BQ81" s="70"/>
      <c r="BR81" s="95"/>
      <c r="BS81" s="95"/>
      <c r="BT81" s="95"/>
      <c r="BU81" s="95"/>
    </row>
    <row r="82" spans="1:73" ht="12.75">
      <c r="A82" s="14"/>
      <c r="B82" s="14"/>
      <c r="C82" s="14"/>
      <c r="D82" s="14"/>
      <c r="E82" s="14"/>
      <c r="F82" s="14"/>
      <c r="G82" s="33"/>
      <c r="H82" s="33"/>
      <c r="I82" s="33"/>
      <c r="J82" s="33"/>
      <c r="K82" s="37"/>
      <c r="L82" s="559"/>
      <c r="M82" s="88" t="s">
        <v>70</v>
      </c>
      <c r="N82" s="150">
        <f>'NUMBERS-DM'!K14</f>
        <v>0.11523357996288809</v>
      </c>
      <c r="O82" s="150">
        <v>0.1152</v>
      </c>
      <c r="P82" s="132">
        <f t="shared" si="14"/>
        <v>-3.3579962888094506E-5</v>
      </c>
      <c r="Q82" s="132">
        <f>G$10*N82</f>
        <v>24.429518952132277</v>
      </c>
      <c r="R82" s="100">
        <v>24.43</v>
      </c>
      <c r="S82" s="133">
        <f>Q82</f>
        <v>24.429518952132277</v>
      </c>
      <c r="T82" s="100">
        <f>R82</f>
        <v>24.43</v>
      </c>
      <c r="U82" s="134"/>
      <c r="V82" s="68"/>
      <c r="W82" s="68"/>
      <c r="X82" s="68"/>
      <c r="Y82" s="68"/>
      <c r="Z82" s="96"/>
      <c r="AA82" s="144"/>
      <c r="AB82" s="145"/>
      <c r="AC82" s="559"/>
      <c r="AD82" s="88" t="s">
        <v>70</v>
      </c>
      <c r="AE82" s="107">
        <f t="shared" si="15"/>
        <v>73.684282643707533</v>
      </c>
      <c r="AF82" s="108">
        <v>73.685733579647788</v>
      </c>
      <c r="AG82" s="122">
        <f>AE82</f>
        <v>73.684282643707533</v>
      </c>
      <c r="AH82" s="109">
        <v>73.685733579647788</v>
      </c>
      <c r="AI82" s="110"/>
      <c r="AJ82" s="111"/>
      <c r="AK82" s="96"/>
      <c r="AL82" s="88"/>
      <c r="AM82" s="154"/>
      <c r="AN82" s="559"/>
      <c r="AO82" s="115" t="s">
        <v>70</v>
      </c>
      <c r="AP82" s="115">
        <v>5.1100000000000003</v>
      </c>
      <c r="AQ82" s="147"/>
      <c r="AR82" s="117">
        <f>AG82-AP82</f>
        <v>68.574282643707534</v>
      </c>
      <c r="AS82" s="139">
        <f>AR82/AP82</f>
        <v>13.419624783504409</v>
      </c>
      <c r="AT82" s="118">
        <f>SQRT(AS82)*10</f>
        <v>36.632806039811378</v>
      </c>
      <c r="AU82" s="118">
        <v>68.575733579647789</v>
      </c>
      <c r="AV82" s="119">
        <v>13.419908724001523</v>
      </c>
      <c r="AW82" s="120"/>
      <c r="AX82" s="121"/>
      <c r="AY82" s="559"/>
      <c r="AZ82" s="88" t="s">
        <v>70</v>
      </c>
      <c r="BA82" s="111">
        <v>331543147</v>
      </c>
      <c r="BB82" s="113">
        <f>(AP82*BA82)/1000000000</f>
        <v>1.6941854811700001</v>
      </c>
      <c r="BC82" s="122"/>
      <c r="BD82" s="113">
        <f>BB82*1.3</f>
        <v>2.2024411255210001</v>
      </c>
      <c r="BE82" s="61"/>
      <c r="BF82" s="88"/>
      <c r="BG82" s="155"/>
      <c r="BH82" s="88"/>
      <c r="BI82" s="88"/>
      <c r="BJ82" s="88"/>
      <c r="BK82" s="88"/>
      <c r="BL82" s="100"/>
      <c r="BM82" s="88"/>
      <c r="BN82" s="88"/>
      <c r="BO82" s="88"/>
      <c r="BP82" s="88"/>
      <c r="BQ82" s="88"/>
      <c r="BR82" s="96"/>
      <c r="BS82" s="96"/>
      <c r="BT82" s="96"/>
      <c r="BU82" s="96"/>
    </row>
    <row r="83" spans="1:73" ht="12.75">
      <c r="A83" s="14"/>
      <c r="B83" s="14"/>
      <c r="C83" s="14"/>
      <c r="D83" s="14"/>
      <c r="E83" s="14"/>
      <c r="F83" s="14"/>
      <c r="G83" s="33"/>
      <c r="H83" s="33"/>
      <c r="I83" s="33"/>
      <c r="J83" s="33"/>
      <c r="K83" s="37"/>
      <c r="L83" s="559"/>
      <c r="M83" s="88" t="s">
        <v>71</v>
      </c>
      <c r="N83" s="150">
        <f>'NUMBERS-DM'!K16</f>
        <v>0.17696152820196115</v>
      </c>
      <c r="O83" s="150">
        <v>0.17699999999999999</v>
      </c>
      <c r="P83" s="132">
        <f t="shared" si="14"/>
        <v>3.8471798038841598E-5</v>
      </c>
      <c r="Q83" s="132">
        <f>G$11*N83</f>
        <v>23.712844779062795</v>
      </c>
      <c r="R83" s="100">
        <v>23.71</v>
      </c>
      <c r="S83" s="133">
        <f>Q83+Q85+Q84</f>
        <v>38.413547620458445</v>
      </c>
      <c r="T83" s="100">
        <f>R83+R84+R85</f>
        <v>38.410000000000004</v>
      </c>
      <c r="U83" s="134"/>
      <c r="V83" s="68"/>
      <c r="W83" s="68"/>
      <c r="X83" s="68"/>
      <c r="Y83" s="68"/>
      <c r="Z83" s="96"/>
      <c r="AA83" s="144"/>
      <c r="AB83" s="145"/>
      <c r="AC83" s="559"/>
      <c r="AD83" s="88" t="s">
        <v>71</v>
      </c>
      <c r="AE83" s="107">
        <f t="shared" si="15"/>
        <v>71.522650953973098</v>
      </c>
      <c r="AF83" s="108">
        <v>71.514070535139126</v>
      </c>
      <c r="AG83" s="122">
        <f>AE83+AE85+AE84</f>
        <v>115.8628913553096</v>
      </c>
      <c r="AH83" s="109">
        <v>115.8521910271908</v>
      </c>
      <c r="AI83" s="110"/>
      <c r="AJ83" s="111"/>
      <c r="AK83" s="95"/>
      <c r="AL83" s="70"/>
      <c r="AM83" s="84"/>
      <c r="AN83" s="559"/>
      <c r="AO83" s="115" t="s">
        <v>71</v>
      </c>
      <c r="AP83" s="115">
        <v>25.55</v>
      </c>
      <c r="AQ83" s="147"/>
      <c r="AR83" s="117">
        <f>AG83-AP83</f>
        <v>90.312891355309603</v>
      </c>
      <c r="AS83" s="139">
        <f>AR83/AP83</f>
        <v>3.5347511293663247</v>
      </c>
      <c r="AT83" s="118">
        <f>SQRT(AS83)*10</f>
        <v>18.800933831505084</v>
      </c>
      <c r="AU83" s="118">
        <v>90.302191027190801</v>
      </c>
      <c r="AV83" s="119">
        <v>3.5343323298313423</v>
      </c>
      <c r="AW83" s="120"/>
      <c r="AX83" s="121"/>
      <c r="AY83" s="559"/>
      <c r="AZ83" s="88" t="s">
        <v>71</v>
      </c>
      <c r="BA83" s="111">
        <v>331543147</v>
      </c>
      <c r="BB83" s="113">
        <f>(AP83*BA83)/1000000000</f>
        <v>8.4709274058500004</v>
      </c>
      <c r="BC83" s="122"/>
      <c r="BD83" s="113">
        <f>BB83*1.3</f>
        <v>11.012205627605001</v>
      </c>
      <c r="BE83" s="141"/>
      <c r="BF83" s="70"/>
      <c r="BG83" s="148"/>
      <c r="BH83" s="70"/>
      <c r="BI83" s="70"/>
      <c r="BJ83" s="70"/>
      <c r="BK83" s="70"/>
      <c r="BL83" s="161"/>
      <c r="BM83" s="70"/>
      <c r="BN83" s="70"/>
      <c r="BO83" s="70"/>
      <c r="BP83" s="70"/>
      <c r="BQ83" s="70"/>
      <c r="BR83" s="95"/>
      <c r="BS83" s="95"/>
      <c r="BT83" s="95"/>
      <c r="BU83" s="95"/>
    </row>
    <row r="84" spans="1:73" ht="12.75">
      <c r="A84" s="14"/>
      <c r="B84" s="14"/>
      <c r="C84" s="14"/>
      <c r="D84" s="14"/>
      <c r="E84" s="14"/>
      <c r="F84" s="14"/>
      <c r="G84" s="33"/>
      <c r="H84" s="33"/>
      <c r="I84" s="33"/>
      <c r="J84" s="33"/>
      <c r="K84" s="37"/>
      <c r="L84" s="559"/>
      <c r="M84" s="88" t="s">
        <v>72</v>
      </c>
      <c r="N84" s="150">
        <f>'NUMBERS-DM'!K18</f>
        <v>5.6442598267971919E-2</v>
      </c>
      <c r="O84" s="150">
        <v>5.6399999999999999E-2</v>
      </c>
      <c r="P84" s="132">
        <f t="shared" si="14"/>
        <v>-4.2598267971920289E-5</v>
      </c>
      <c r="Q84" s="132">
        <f>G$12*N84</f>
        <v>8.748602731535648</v>
      </c>
      <c r="R84" s="100">
        <v>8.75</v>
      </c>
      <c r="S84" s="133"/>
      <c r="T84" s="100"/>
      <c r="U84" s="134"/>
      <c r="V84" s="68"/>
      <c r="W84" s="68"/>
      <c r="X84" s="68"/>
      <c r="Y84" s="68"/>
      <c r="Z84" s="96"/>
      <c r="AA84" s="144"/>
      <c r="AB84" s="145"/>
      <c r="AC84" s="559"/>
      <c r="AD84" s="88" t="s">
        <v>72</v>
      </c>
      <c r="AE84" s="107">
        <f t="shared" si="15"/>
        <v>26.387523948838094</v>
      </c>
      <c r="AF84" s="108">
        <v>26.391738388125997</v>
      </c>
      <c r="AG84" s="61"/>
      <c r="AH84" s="109"/>
      <c r="AI84" s="110"/>
      <c r="AJ84" s="111"/>
      <c r="AK84" s="95"/>
      <c r="AL84" s="70"/>
      <c r="AM84" s="84"/>
      <c r="AN84" s="559"/>
      <c r="AO84" s="115" t="s">
        <v>72</v>
      </c>
      <c r="AP84" s="115"/>
      <c r="AQ84" s="147"/>
      <c r="AR84" s="117"/>
      <c r="AS84" s="117"/>
      <c r="AT84" s="118"/>
      <c r="AU84" s="118">
        <v>0</v>
      </c>
      <c r="AV84" s="119"/>
      <c r="AW84" s="120"/>
      <c r="AX84" s="121"/>
      <c r="AY84" s="559"/>
      <c r="AZ84" s="88" t="s">
        <v>72</v>
      </c>
      <c r="BA84" s="111">
        <v>331543147</v>
      </c>
      <c r="BB84" s="113"/>
      <c r="BC84" s="122"/>
      <c r="BD84" s="113"/>
      <c r="BE84" s="141"/>
      <c r="BF84" s="70"/>
      <c r="BG84" s="148"/>
      <c r="BH84" s="70"/>
      <c r="BI84" s="70"/>
      <c r="BJ84" s="70"/>
      <c r="BK84" s="70"/>
      <c r="BL84" s="161"/>
      <c r="BM84" s="70"/>
      <c r="BN84" s="70"/>
      <c r="BO84" s="70"/>
      <c r="BP84" s="70"/>
      <c r="BQ84" s="70"/>
      <c r="BR84" s="95"/>
      <c r="BS84" s="95"/>
      <c r="BT84" s="95"/>
      <c r="BU84" s="95"/>
    </row>
    <row r="85" spans="1:73" ht="12.75">
      <c r="A85" s="14"/>
      <c r="B85" s="14"/>
      <c r="C85" s="14"/>
      <c r="D85" s="14"/>
      <c r="E85" s="14"/>
      <c r="F85" s="14"/>
      <c r="G85" s="33"/>
      <c r="H85" s="33"/>
      <c r="I85" s="33"/>
      <c r="J85" s="33"/>
      <c r="K85" s="37"/>
      <c r="L85" s="559"/>
      <c r="M85" s="88" t="s">
        <v>73</v>
      </c>
      <c r="N85" s="150">
        <f>'NUMBERS-DM'!K20</f>
        <v>7.1798553798069931E-2</v>
      </c>
      <c r="O85" s="150">
        <v>7.1800000000000003E-2</v>
      </c>
      <c r="P85" s="132">
        <f t="shared" si="14"/>
        <v>1.4462019300720552E-6</v>
      </c>
      <c r="Q85" s="132">
        <f>G$13*N85</f>
        <v>5.9521001098599973</v>
      </c>
      <c r="R85" s="100">
        <v>5.95</v>
      </c>
      <c r="S85" s="133"/>
      <c r="T85" s="100"/>
      <c r="U85" s="134"/>
      <c r="V85" s="68"/>
      <c r="W85" s="68"/>
      <c r="X85" s="68"/>
      <c r="Y85" s="68"/>
      <c r="Z85" s="96"/>
      <c r="AA85" s="144"/>
      <c r="AB85" s="145"/>
      <c r="AC85" s="559"/>
      <c r="AD85" s="88" t="s">
        <v>73</v>
      </c>
      <c r="AE85" s="107">
        <f t="shared" si="15"/>
        <v>17.952716452498407</v>
      </c>
      <c r="AF85" s="108">
        <v>17.946382103925679</v>
      </c>
      <c r="AG85" s="61"/>
      <c r="AH85" s="109"/>
      <c r="AI85" s="110"/>
      <c r="AJ85" s="111"/>
      <c r="AK85" s="95"/>
      <c r="AL85" s="70"/>
      <c r="AM85" s="84"/>
      <c r="AN85" s="559"/>
      <c r="AO85" s="115" t="s">
        <v>73</v>
      </c>
      <c r="AP85" s="115"/>
      <c r="AQ85" s="147"/>
      <c r="AR85" s="117"/>
      <c r="AS85" s="117"/>
      <c r="AT85" s="118"/>
      <c r="AU85" s="118">
        <v>0</v>
      </c>
      <c r="AV85" s="119"/>
      <c r="AW85" s="120"/>
      <c r="AX85" s="121"/>
      <c r="AY85" s="559"/>
      <c r="AZ85" s="88" t="s">
        <v>73</v>
      </c>
      <c r="BA85" s="111">
        <v>331543147</v>
      </c>
      <c r="BB85" s="113"/>
      <c r="BC85" s="122"/>
      <c r="BD85" s="113"/>
      <c r="BE85" s="141"/>
      <c r="BF85" s="70"/>
      <c r="BG85" s="148"/>
      <c r="BH85" s="70"/>
      <c r="BI85" s="70"/>
      <c r="BJ85" s="70"/>
      <c r="BK85" s="70"/>
      <c r="BL85" s="161"/>
      <c r="BM85" s="70"/>
      <c r="BN85" s="70"/>
      <c r="BO85" s="70"/>
      <c r="BP85" s="70"/>
      <c r="BQ85" s="70"/>
      <c r="BR85" s="95"/>
      <c r="BS85" s="95"/>
      <c r="BT85" s="95"/>
      <c r="BU85" s="95"/>
    </row>
    <row r="86" spans="1:73" ht="12.75">
      <c r="A86" s="14"/>
      <c r="B86" s="14"/>
      <c r="C86" s="14"/>
      <c r="D86" s="14"/>
      <c r="E86" s="14"/>
      <c r="F86" s="14"/>
      <c r="G86" s="33"/>
      <c r="H86" s="33"/>
      <c r="I86" s="33"/>
      <c r="J86" s="33"/>
      <c r="K86" s="37"/>
      <c r="L86" s="559"/>
      <c r="M86" s="70" t="s">
        <v>75</v>
      </c>
      <c r="N86" s="150">
        <f>'NUMBERS-DM'!K22</f>
        <v>4.5627760775301861E-2</v>
      </c>
      <c r="O86" s="150">
        <v>4.5600000000000002E-2</v>
      </c>
      <c r="P86" s="132">
        <f t="shared" si="14"/>
        <v>-2.7760775301859109E-5</v>
      </c>
      <c r="Q86" s="132">
        <f>G$14*N86</f>
        <v>18.771260782959185</v>
      </c>
      <c r="R86" s="100">
        <v>20.549999999999997</v>
      </c>
      <c r="S86" s="133">
        <f>Q86+Q87</f>
        <v>19.23758976248153</v>
      </c>
      <c r="T86" s="100">
        <f>R86</f>
        <v>20.549999999999997</v>
      </c>
      <c r="U86" s="134"/>
      <c r="V86" s="68"/>
      <c r="W86" s="68"/>
      <c r="X86" s="68"/>
      <c r="Y86" s="68"/>
      <c r="Z86" s="96"/>
      <c r="AA86" s="144"/>
      <c r="AB86" s="145"/>
      <c r="AC86" s="559"/>
      <c r="AD86" s="70" t="s">
        <v>75</v>
      </c>
      <c r="AE86" s="107">
        <f t="shared" si="15"/>
        <v>56.617851862759771</v>
      </c>
      <c r="AF86" s="108">
        <v>61.982882728684473</v>
      </c>
      <c r="AG86" s="122">
        <f>AE86+AE87</f>
        <v>58.024392711943264</v>
      </c>
      <c r="AH86" s="109">
        <v>61.982882728684473</v>
      </c>
      <c r="AI86" s="110"/>
      <c r="AJ86" s="111"/>
      <c r="AK86" s="95"/>
      <c r="AL86" s="70"/>
      <c r="AM86" s="84"/>
      <c r="AN86" s="559"/>
      <c r="AO86" s="70" t="s">
        <v>75</v>
      </c>
      <c r="AP86" s="115">
        <v>45.625</v>
      </c>
      <c r="AQ86" s="147"/>
      <c r="AR86" s="117">
        <f>AG86-AP86</f>
        <v>12.399392711943264</v>
      </c>
      <c r="AS86" s="139">
        <f>AR86/AP86</f>
        <v>0.2717675114946469</v>
      </c>
      <c r="AT86" s="118">
        <f>SQRT(AS86)*10</f>
        <v>5.2131325658825034</v>
      </c>
      <c r="AU86" s="118">
        <v>16.357882728684473</v>
      </c>
      <c r="AV86" s="119">
        <v>0.35852893651911172</v>
      </c>
      <c r="AW86" s="120"/>
      <c r="AX86" s="121"/>
      <c r="AY86" s="559"/>
      <c r="AZ86" s="70" t="s">
        <v>75</v>
      </c>
      <c r="BA86" s="111">
        <v>331543147</v>
      </c>
      <c r="BB86" s="113">
        <f>(AP86*BA86)/1000000000</f>
        <v>15.126656081875</v>
      </c>
      <c r="BC86" s="122"/>
      <c r="BD86" s="113">
        <f>BB86*1.3</f>
        <v>19.6646529064375</v>
      </c>
      <c r="BE86" s="141"/>
      <c r="BF86" s="70"/>
      <c r="BG86" s="148"/>
      <c r="BH86" s="70"/>
      <c r="BI86" s="70"/>
      <c r="BJ86" s="70"/>
      <c r="BK86" s="70"/>
      <c r="BL86" s="161"/>
      <c r="BM86" s="70"/>
      <c r="BN86" s="70"/>
      <c r="BO86" s="70"/>
      <c r="BP86" s="70"/>
      <c r="BQ86" s="70"/>
      <c r="BR86" s="95"/>
      <c r="BS86" s="95"/>
      <c r="BT86" s="95"/>
      <c r="BU86" s="95"/>
    </row>
    <row r="87" spans="1:73" ht="12.75">
      <c r="A87" s="14"/>
      <c r="B87" s="14"/>
      <c r="C87" s="14"/>
      <c r="D87" s="70"/>
      <c r="E87" s="70"/>
      <c r="F87" s="170"/>
      <c r="G87" s="170"/>
      <c r="H87" s="170"/>
      <c r="I87" s="170"/>
      <c r="J87" s="170"/>
      <c r="K87" s="171"/>
      <c r="L87" s="170"/>
      <c r="M87" s="153" t="s">
        <v>77</v>
      </c>
      <c r="N87" s="150">
        <f>'NUMBERS-DM'!K24</f>
        <v>8.79865999098767E-2</v>
      </c>
      <c r="O87" s="150">
        <v>8.7999999999999995E-2</v>
      </c>
      <c r="P87" s="132">
        <f t="shared" si="14"/>
        <v>1.3400090123294461E-5</v>
      </c>
      <c r="Q87" s="132">
        <f>G$15*N87</f>
        <v>0.46632897952234648</v>
      </c>
      <c r="R87" s="161"/>
      <c r="S87" s="101"/>
      <c r="T87" s="161"/>
      <c r="U87" s="134"/>
      <c r="V87" s="103"/>
      <c r="W87" s="103"/>
      <c r="X87" s="103"/>
      <c r="Y87" s="103"/>
      <c r="Z87" s="96"/>
      <c r="AA87" s="88"/>
      <c r="AB87" s="155"/>
      <c r="AC87" s="170"/>
      <c r="AD87" s="153" t="s">
        <v>77</v>
      </c>
      <c r="AE87" s="107">
        <f t="shared" si="15"/>
        <v>1.4065408491834894</v>
      </c>
      <c r="AF87" s="161"/>
      <c r="AG87" s="172"/>
      <c r="AH87" s="172"/>
      <c r="AI87" s="110"/>
      <c r="AJ87" s="111"/>
      <c r="AK87" s="95"/>
      <c r="AL87" s="70"/>
      <c r="AM87" s="84"/>
      <c r="AN87" s="173"/>
      <c r="AO87" s="153" t="s">
        <v>77</v>
      </c>
      <c r="AP87" s="146"/>
      <c r="AQ87" s="147"/>
      <c r="AR87" s="70"/>
      <c r="AS87" s="70"/>
      <c r="AT87" s="95"/>
      <c r="AU87" s="95"/>
      <c r="AV87" s="95"/>
      <c r="AW87" s="70"/>
      <c r="AX87" s="174"/>
      <c r="AY87" s="173"/>
      <c r="AZ87" s="70"/>
      <c r="BA87" s="111">
        <v>331543147</v>
      </c>
      <c r="BB87" s="113"/>
      <c r="BC87" s="141"/>
      <c r="BD87" s="113"/>
      <c r="BE87" s="141"/>
      <c r="BF87" s="70"/>
      <c r="BG87" s="148"/>
      <c r="BH87" s="70"/>
      <c r="BI87" s="70"/>
      <c r="BJ87" s="70"/>
      <c r="BK87" s="70"/>
      <c r="BL87" s="161"/>
      <c r="BM87" s="70"/>
      <c r="BN87" s="70"/>
      <c r="BO87" s="70"/>
      <c r="BP87" s="70"/>
      <c r="BQ87" s="70"/>
      <c r="BR87" s="95"/>
      <c r="BS87" s="95"/>
      <c r="BT87" s="95"/>
      <c r="BU87" s="95"/>
    </row>
    <row r="88" spans="1:73" ht="12.75">
      <c r="A88" s="14"/>
      <c r="B88" s="14"/>
      <c r="C88" s="14"/>
      <c r="D88" s="70"/>
      <c r="E88" s="70"/>
      <c r="F88" s="170"/>
      <c r="G88" s="170"/>
      <c r="H88" s="170"/>
      <c r="I88" s="170"/>
      <c r="J88" s="170"/>
      <c r="K88" s="171"/>
      <c r="L88" s="170"/>
      <c r="M88" s="70"/>
      <c r="N88" s="161"/>
      <c r="O88" s="161"/>
      <c r="P88" s="161"/>
      <c r="Q88" s="161"/>
      <c r="R88" s="161"/>
      <c r="S88" s="101"/>
      <c r="T88" s="161"/>
      <c r="U88" s="134"/>
      <c r="V88" s="14"/>
      <c r="W88" s="14"/>
      <c r="X88" s="14"/>
      <c r="Y88" s="14"/>
      <c r="Z88" s="96"/>
      <c r="AA88" s="88"/>
      <c r="AB88" s="155"/>
      <c r="AC88" s="170"/>
      <c r="AD88" s="70"/>
      <c r="AE88" s="146"/>
      <c r="AF88" s="161"/>
      <c r="AG88" s="172"/>
      <c r="AH88" s="172"/>
      <c r="AI88" s="110"/>
      <c r="AJ88" s="111"/>
      <c r="AK88" s="95"/>
      <c r="AL88" s="70"/>
      <c r="AM88" s="84"/>
      <c r="AN88" s="173"/>
      <c r="AO88" s="146"/>
      <c r="AP88" s="146"/>
      <c r="AQ88" s="147"/>
      <c r="AR88" s="70"/>
      <c r="AS88" s="70"/>
      <c r="AT88" s="95"/>
      <c r="AU88" s="95"/>
      <c r="AV88" s="95"/>
      <c r="AW88" s="70"/>
      <c r="AX88" s="174"/>
      <c r="AY88" s="173"/>
      <c r="AZ88" s="70"/>
      <c r="BA88" s="161"/>
      <c r="BB88" s="70"/>
      <c r="BC88" s="141"/>
      <c r="BD88" s="70"/>
      <c r="BE88" s="141"/>
      <c r="BF88" s="70"/>
      <c r="BG88" s="148"/>
      <c r="BH88" s="70"/>
      <c r="BI88" s="70"/>
      <c r="BJ88" s="70"/>
      <c r="BK88" s="70"/>
      <c r="BL88" s="161"/>
      <c r="BM88" s="70"/>
      <c r="BN88" s="70"/>
      <c r="BO88" s="70"/>
      <c r="BP88" s="70"/>
      <c r="BQ88" s="70"/>
      <c r="BR88" s="95"/>
      <c r="BS88" s="95"/>
      <c r="BT88" s="95"/>
      <c r="BU88" s="95"/>
    </row>
    <row r="89" spans="1:73" ht="12.75">
      <c r="A89" s="14"/>
      <c r="B89" s="14"/>
      <c r="C89" s="14"/>
      <c r="D89" s="70"/>
      <c r="E89" s="70"/>
      <c r="F89" s="170"/>
      <c r="G89" s="170"/>
      <c r="H89" s="170"/>
      <c r="I89" s="170"/>
      <c r="J89" s="170"/>
      <c r="K89" s="171"/>
      <c r="L89" s="170"/>
      <c r="M89" s="70"/>
      <c r="N89" s="161"/>
      <c r="O89" s="161"/>
      <c r="P89" s="161"/>
      <c r="Q89" s="161"/>
      <c r="R89" s="161"/>
      <c r="S89" s="101"/>
      <c r="T89" s="161"/>
      <c r="U89" s="175"/>
      <c r="V89" s="95"/>
      <c r="W89" s="95"/>
      <c r="X89" s="95"/>
      <c r="Y89" s="95"/>
      <c r="Z89" s="96"/>
      <c r="AA89" s="88"/>
      <c r="AB89" s="155"/>
      <c r="AC89" s="170"/>
      <c r="AD89" s="70"/>
      <c r="AE89" s="146"/>
      <c r="AF89" s="161"/>
      <c r="AG89" s="172"/>
      <c r="AH89" s="172"/>
      <c r="AI89" s="110"/>
      <c r="AJ89" s="111"/>
      <c r="AK89" s="95"/>
      <c r="AL89" s="70"/>
      <c r="AM89" s="84"/>
      <c r="AN89" s="173"/>
      <c r="AO89" s="146"/>
      <c r="AP89" s="146"/>
      <c r="AQ89" s="147"/>
      <c r="AR89" s="70"/>
      <c r="AS89" s="70"/>
      <c r="AT89" s="95"/>
      <c r="AU89" s="95"/>
      <c r="AV89" s="95"/>
      <c r="AW89" s="70"/>
      <c r="AX89" s="174"/>
      <c r="AY89" s="173"/>
      <c r="AZ89" s="70"/>
      <c r="BA89" s="161"/>
      <c r="BB89" s="70"/>
      <c r="BC89" s="141"/>
      <c r="BD89" s="70"/>
      <c r="BE89" s="141"/>
      <c r="BF89" s="70"/>
      <c r="BG89" s="148"/>
      <c r="BH89" s="70"/>
      <c r="BI89" s="70"/>
      <c r="BJ89" s="70"/>
      <c r="BK89" s="70"/>
      <c r="BL89" s="161"/>
      <c r="BM89" s="70"/>
      <c r="BN89" s="70"/>
      <c r="BO89" s="70"/>
      <c r="BP89" s="70"/>
      <c r="BQ89" s="70"/>
      <c r="BR89" s="95"/>
      <c r="BS89" s="95"/>
      <c r="BT89" s="95"/>
      <c r="BU89" s="95"/>
    </row>
    <row r="90" spans="1:73" ht="11.25" customHeight="1">
      <c r="A90" s="14"/>
      <c r="B90" s="14"/>
      <c r="C90" s="14"/>
      <c r="D90" s="70"/>
      <c r="E90" s="70"/>
      <c r="F90" s="170"/>
      <c r="G90" s="170"/>
      <c r="H90" s="170"/>
      <c r="I90" s="170"/>
      <c r="J90" s="170"/>
      <c r="K90" s="171"/>
      <c r="L90" s="170"/>
      <c r="M90" s="70"/>
      <c r="N90" s="161"/>
      <c r="O90" s="161"/>
      <c r="P90" s="161"/>
      <c r="Q90" s="161"/>
      <c r="R90" s="161"/>
      <c r="S90" s="101"/>
      <c r="T90" s="161"/>
      <c r="U90" s="175"/>
      <c r="V90" s="95"/>
      <c r="W90" s="95"/>
      <c r="X90" s="95"/>
      <c r="Y90" s="95"/>
      <c r="Z90" s="96"/>
      <c r="AA90" s="88"/>
      <c r="AB90" s="155"/>
      <c r="AC90" s="170"/>
      <c r="AD90" s="70"/>
      <c r="AE90" s="146"/>
      <c r="AF90" s="161"/>
      <c r="AG90" s="172"/>
      <c r="AH90" s="172"/>
      <c r="AI90" s="110"/>
      <c r="AJ90" s="111"/>
      <c r="AK90" s="95"/>
      <c r="AL90" s="70"/>
      <c r="AM90" s="84"/>
      <c r="AN90" s="173"/>
      <c r="AO90" s="146"/>
      <c r="AP90" s="146"/>
      <c r="AQ90" s="147"/>
      <c r="AR90" s="70"/>
      <c r="AS90" s="70"/>
      <c r="AT90" s="95"/>
      <c r="AU90" s="95"/>
      <c r="AV90" s="95"/>
      <c r="AW90" s="70"/>
      <c r="AX90" s="174"/>
      <c r="AY90" s="173"/>
      <c r="AZ90" s="70"/>
      <c r="BA90" s="161"/>
      <c r="BB90" s="70"/>
      <c r="BC90" s="141"/>
      <c r="BD90" s="70"/>
      <c r="BE90" s="141"/>
      <c r="BF90" s="70"/>
      <c r="BG90" s="148"/>
      <c r="BH90" s="70"/>
      <c r="BI90" s="70"/>
      <c r="BJ90" s="70"/>
      <c r="BK90" s="70"/>
      <c r="BL90" s="161"/>
      <c r="BM90" s="70"/>
      <c r="BN90" s="70"/>
      <c r="BO90" s="70"/>
      <c r="BP90" s="70"/>
      <c r="BQ90" s="70"/>
      <c r="BR90" s="95"/>
      <c r="BS90" s="95"/>
      <c r="BT90" s="95"/>
      <c r="BU90" s="95"/>
    </row>
    <row r="91" spans="1:73" ht="12.75">
      <c r="A91" s="14"/>
      <c r="B91" s="14"/>
      <c r="C91" s="14"/>
      <c r="D91" s="70"/>
      <c r="E91" s="70"/>
      <c r="F91" s="170"/>
      <c r="G91" s="170"/>
      <c r="H91" s="170"/>
      <c r="I91" s="170"/>
      <c r="J91" s="170"/>
      <c r="K91" s="171"/>
      <c r="L91" s="170"/>
      <c r="M91" s="70"/>
      <c r="N91" s="161"/>
      <c r="O91" s="161"/>
      <c r="P91" s="161"/>
      <c r="Q91" s="161"/>
      <c r="R91" s="161"/>
      <c r="S91" s="101"/>
      <c r="T91" s="161"/>
      <c r="U91" s="175"/>
      <c r="V91" s="95"/>
      <c r="W91" s="95"/>
      <c r="X91" s="95"/>
      <c r="Y91" s="95"/>
      <c r="Z91" s="96"/>
      <c r="AA91" s="88"/>
      <c r="AB91" s="155"/>
      <c r="AC91" s="170"/>
      <c r="AD91" s="70"/>
      <c r="AE91" s="146"/>
      <c r="AF91" s="161"/>
      <c r="AG91" s="172"/>
      <c r="AH91" s="172"/>
      <c r="AI91" s="110"/>
      <c r="AJ91" s="111"/>
      <c r="AK91" s="95"/>
      <c r="AL91" s="70"/>
      <c r="AM91" s="84"/>
      <c r="AN91" s="173"/>
      <c r="AO91" s="146"/>
      <c r="AP91" s="146"/>
      <c r="AQ91" s="147"/>
      <c r="AR91" s="70"/>
      <c r="AS91" s="70"/>
      <c r="AT91" s="95"/>
      <c r="AU91" s="95"/>
      <c r="AV91" s="95"/>
      <c r="AW91" s="70"/>
      <c r="AX91" s="174"/>
      <c r="AY91" s="173"/>
      <c r="AZ91" s="70"/>
      <c r="BA91" s="161"/>
      <c r="BB91" s="70"/>
      <c r="BC91" s="141"/>
      <c r="BD91" s="70"/>
      <c r="BE91" s="141"/>
      <c r="BF91" s="70"/>
      <c r="BG91" s="148"/>
      <c r="BH91" s="70"/>
      <c r="BI91" s="70"/>
      <c r="BJ91" s="70"/>
      <c r="BK91" s="70"/>
      <c r="BL91" s="161"/>
      <c r="BM91" s="70"/>
      <c r="BN91" s="70"/>
      <c r="BO91" s="70"/>
      <c r="BP91" s="70"/>
      <c r="BQ91" s="70"/>
      <c r="BR91" s="95"/>
      <c r="BS91" s="95"/>
      <c r="BT91" s="95"/>
      <c r="BU91" s="95"/>
    </row>
  </sheetData>
  <mergeCells count="31">
    <mergeCell ref="AY65:AY74"/>
    <mergeCell ref="AY77:AY86"/>
    <mergeCell ref="BH1:BI1"/>
    <mergeCell ref="BN1:BO1"/>
    <mergeCell ref="AU2:AV2"/>
    <mergeCell ref="AY5:AY14"/>
    <mergeCell ref="AY17:AY26"/>
    <mergeCell ref="AY29:AY38"/>
    <mergeCell ref="AY41:AY50"/>
    <mergeCell ref="AY53:AY62"/>
    <mergeCell ref="L5:L14"/>
    <mergeCell ref="AN5:AN14"/>
    <mergeCell ref="L17:L26"/>
    <mergeCell ref="AN17:AN26"/>
    <mergeCell ref="L41:L50"/>
    <mergeCell ref="AN29:AN38"/>
    <mergeCell ref="AC5:AC14"/>
    <mergeCell ref="AC17:AC26"/>
    <mergeCell ref="L29:L38"/>
    <mergeCell ref="AC29:AC38"/>
    <mergeCell ref="L53:L62"/>
    <mergeCell ref="L65:L74"/>
    <mergeCell ref="L77:L86"/>
    <mergeCell ref="AN41:AN50"/>
    <mergeCell ref="AN53:AN62"/>
    <mergeCell ref="AN65:AN74"/>
    <mergeCell ref="AN77:AN86"/>
    <mergeCell ref="AC41:AC50"/>
    <mergeCell ref="AC53:AC62"/>
    <mergeCell ref="AC65:AC74"/>
    <mergeCell ref="AC77:AC86"/>
  </mergeCells>
  <conditionalFormatting sqref="AS1:AS91">
    <cfRule type="colorScale" priority="1">
      <colorScale>
        <cfvo type="percent" val="-50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.75" customHeight="1"/>
  <cols>
    <col min="1" max="1" width="22.140625" customWidth="1"/>
    <col min="2" max="2" width="13.5703125" customWidth="1"/>
    <col min="3" max="3" width="14.42578125" customWidth="1"/>
    <col min="4" max="4" width="9.85546875" customWidth="1"/>
    <col min="5" max="5" width="7.5703125" customWidth="1"/>
    <col min="6" max="6" width="11" customWidth="1"/>
    <col min="7" max="7" width="13.7109375" customWidth="1"/>
    <col min="8" max="8" width="12.5703125" customWidth="1"/>
    <col min="9" max="9" width="8.28515625" customWidth="1"/>
    <col min="10" max="10" width="11" customWidth="1"/>
    <col min="11" max="11" width="2.42578125" customWidth="1"/>
    <col min="12" max="12" width="19.5703125" customWidth="1"/>
    <col min="13" max="13" width="16.7109375" customWidth="1"/>
    <col min="14" max="14" width="15.28515625" customWidth="1"/>
    <col min="15" max="17" width="11.42578125" customWidth="1"/>
    <col min="18" max="18" width="9.5703125" customWidth="1"/>
    <col min="19" max="19" width="15.28515625" customWidth="1"/>
    <col min="20" max="20" width="11.28515625" customWidth="1"/>
    <col min="21" max="21" width="12.5703125" customWidth="1"/>
    <col min="22" max="25" width="8.85546875" customWidth="1"/>
    <col min="26" max="26" width="11.5703125" customWidth="1"/>
    <col min="27" max="28" width="3.140625" customWidth="1"/>
    <col min="29" max="29" width="13.5703125" customWidth="1"/>
    <col min="30" max="30" width="17.42578125" customWidth="1"/>
    <col min="31" max="31" width="11.7109375" customWidth="1"/>
    <col min="32" max="32" width="13.5703125" customWidth="1"/>
    <col min="33" max="33" width="15" customWidth="1"/>
    <col min="34" max="34" width="16" customWidth="1"/>
    <col min="35" max="35" width="16.140625" customWidth="1"/>
    <col min="36" max="36" width="12" customWidth="1"/>
    <col min="37" max="37" width="10.28515625" customWidth="1"/>
    <col min="38" max="39" width="4.140625" customWidth="1"/>
    <col min="40" max="40" width="25.5703125" customWidth="1"/>
    <col min="41" max="41" width="13.5703125" customWidth="1"/>
    <col min="42" max="42" width="14.42578125" customWidth="1"/>
    <col min="43" max="43" width="14.5703125" customWidth="1"/>
    <col min="44" max="44" width="12.140625" customWidth="1"/>
    <col min="45" max="45" width="11.85546875" customWidth="1"/>
    <col min="46" max="46" width="11" customWidth="1"/>
    <col min="47" max="48" width="13.5703125" customWidth="1"/>
    <col min="49" max="49" width="4.42578125" customWidth="1"/>
    <col min="50" max="50" width="3.42578125" customWidth="1"/>
    <col min="51" max="52" width="13.5703125" customWidth="1"/>
    <col min="53" max="53" width="14.85546875" customWidth="1"/>
    <col min="54" max="54" width="12.85546875" customWidth="1"/>
    <col min="55" max="55" width="11.28515625" customWidth="1"/>
    <col min="56" max="56" width="10.5703125" customWidth="1"/>
    <col min="57" max="57" width="10.28515625" customWidth="1"/>
    <col min="58" max="59" width="2.85546875" customWidth="1"/>
    <col min="60" max="68" width="13.5703125" customWidth="1"/>
    <col min="69" max="69" width="3.42578125" customWidth="1"/>
    <col min="70" max="70" width="13.5703125" customWidth="1"/>
    <col min="71" max="71" width="21.42578125" customWidth="1"/>
    <col min="72" max="73" width="13.5703125" customWidth="1"/>
  </cols>
  <sheetData>
    <row r="1" spans="1:73" ht="18">
      <c r="A1" s="1" t="s">
        <v>0</v>
      </c>
      <c r="B1" s="176"/>
      <c r="C1" s="3"/>
      <c r="D1" s="176"/>
      <c r="E1" s="176"/>
      <c r="F1" s="4"/>
      <c r="G1" s="4"/>
      <c r="H1" s="4"/>
      <c r="I1" s="4"/>
      <c r="J1" s="4"/>
      <c r="K1" s="5"/>
      <c r="L1" s="4" t="s">
        <v>1</v>
      </c>
      <c r="M1" s="176"/>
      <c r="N1" s="6"/>
      <c r="O1" s="6"/>
      <c r="P1" s="6"/>
      <c r="Q1" s="6"/>
      <c r="R1" s="6"/>
      <c r="S1" s="7"/>
      <c r="T1" s="6"/>
      <c r="U1" s="8" t="s">
        <v>2</v>
      </c>
      <c r="V1" s="177"/>
      <c r="W1" s="177"/>
      <c r="X1" s="177"/>
      <c r="Y1" s="177"/>
      <c r="Z1" s="10"/>
      <c r="AA1" s="11"/>
      <c r="AB1" s="12"/>
      <c r="AC1" s="13" t="s">
        <v>3</v>
      </c>
      <c r="AE1" s="178"/>
      <c r="AF1" s="179"/>
      <c r="AG1" s="179"/>
      <c r="AH1" s="179"/>
      <c r="AI1" s="16" t="s">
        <v>4</v>
      </c>
      <c r="AJ1" s="180"/>
      <c r="AK1" s="177"/>
      <c r="AL1" s="176"/>
      <c r="AM1" s="181"/>
      <c r="AN1" s="19" t="s">
        <v>5</v>
      </c>
      <c r="AO1" s="178"/>
      <c r="AP1" s="20" t="s">
        <v>6</v>
      </c>
      <c r="AQ1" s="21" t="s">
        <v>4</v>
      </c>
      <c r="AR1" s="22"/>
      <c r="AS1" s="22"/>
      <c r="AT1" s="182"/>
      <c r="AU1" s="182"/>
      <c r="AV1" s="182"/>
      <c r="AW1" s="24"/>
      <c r="AX1" s="183"/>
      <c r="AY1" s="1" t="s">
        <v>7</v>
      </c>
      <c r="BA1" s="1"/>
      <c r="BB1" s="1"/>
      <c r="BC1" s="1"/>
      <c r="BD1" s="184" t="s">
        <v>8</v>
      </c>
      <c r="BE1" s="185"/>
      <c r="BF1" s="2"/>
      <c r="BG1" s="186"/>
      <c r="BH1" s="561" t="s">
        <v>9</v>
      </c>
      <c r="BI1" s="562"/>
      <c r="BJ1" s="29"/>
      <c r="BK1" s="29"/>
      <c r="BL1" s="30"/>
      <c r="BM1" s="29"/>
      <c r="BN1" s="567" t="s">
        <v>10</v>
      </c>
      <c r="BO1" s="562"/>
      <c r="BP1" s="176"/>
      <c r="BQ1" s="187"/>
      <c r="BR1" s="188" t="s">
        <v>11</v>
      </c>
      <c r="BS1" s="177"/>
      <c r="BT1" s="177"/>
      <c r="BU1" s="177"/>
    </row>
    <row r="2" spans="1:73" ht="38.25">
      <c r="A2" s="189"/>
      <c r="B2" s="34" t="s">
        <v>12</v>
      </c>
      <c r="C2" s="190" t="s">
        <v>106</v>
      </c>
      <c r="D2" s="191" t="s">
        <v>14</v>
      </c>
      <c r="E2" s="191" t="s">
        <v>15</v>
      </c>
      <c r="F2" s="191" t="s">
        <v>16</v>
      </c>
      <c r="G2" s="192" t="s">
        <v>17</v>
      </c>
      <c r="H2" s="192" t="s">
        <v>18</v>
      </c>
      <c r="I2" s="33"/>
      <c r="J2" s="33"/>
      <c r="K2" s="37"/>
      <c r="L2" s="189" t="s">
        <v>19</v>
      </c>
      <c r="M2" s="193" t="s">
        <v>20</v>
      </c>
      <c r="N2" s="35" t="s">
        <v>21</v>
      </c>
      <c r="O2" s="39" t="s">
        <v>22</v>
      </c>
      <c r="P2" s="39" t="s">
        <v>23</v>
      </c>
      <c r="Q2" s="39" t="s">
        <v>24</v>
      </c>
      <c r="R2" s="40" t="s">
        <v>25</v>
      </c>
      <c r="S2" s="41" t="s">
        <v>26</v>
      </c>
      <c r="T2" s="39" t="s">
        <v>27</v>
      </c>
      <c r="U2" s="42" t="s">
        <v>28</v>
      </c>
      <c r="V2" s="194"/>
      <c r="W2" s="194"/>
      <c r="X2" s="194" t="s">
        <v>29</v>
      </c>
      <c r="Y2" s="194" t="s">
        <v>30</v>
      </c>
      <c r="Z2" s="44" t="s">
        <v>31</v>
      </c>
      <c r="AA2" s="45"/>
      <c r="AB2" s="46"/>
      <c r="AC2" s="189" t="s">
        <v>19</v>
      </c>
      <c r="AD2" s="193" t="s">
        <v>20</v>
      </c>
      <c r="AE2" s="195" t="s">
        <v>32</v>
      </c>
      <c r="AF2" s="196" t="s">
        <v>33</v>
      </c>
      <c r="AG2" s="49" t="s">
        <v>34</v>
      </c>
      <c r="AH2" s="50" t="s">
        <v>35</v>
      </c>
      <c r="AI2" s="51" t="s">
        <v>28</v>
      </c>
      <c r="AJ2" s="52" t="s">
        <v>30</v>
      </c>
      <c r="AK2" s="197" t="s">
        <v>36</v>
      </c>
      <c r="AL2" s="198"/>
      <c r="AM2" s="199"/>
      <c r="AN2" s="193" t="s">
        <v>19</v>
      </c>
      <c r="AO2" s="200" t="s">
        <v>20</v>
      </c>
      <c r="AP2" s="49" t="s">
        <v>37</v>
      </c>
      <c r="AQ2" s="57" t="s">
        <v>38</v>
      </c>
      <c r="AR2" s="34" t="s">
        <v>39</v>
      </c>
      <c r="AS2" s="34" t="s">
        <v>40</v>
      </c>
      <c r="AT2" s="58" t="s">
        <v>41</v>
      </c>
      <c r="AU2" s="564" t="s">
        <v>10</v>
      </c>
      <c r="AV2" s="559"/>
      <c r="AW2" s="59"/>
      <c r="AX2" s="37"/>
      <c r="AY2" s="193" t="s">
        <v>19</v>
      </c>
      <c r="AZ2" s="201" t="s">
        <v>20</v>
      </c>
      <c r="BA2" s="202" t="s">
        <v>42</v>
      </c>
      <c r="BB2" s="34" t="s">
        <v>43</v>
      </c>
      <c r="BC2" s="34" t="s">
        <v>4</v>
      </c>
      <c r="BD2" s="201" t="s">
        <v>44</v>
      </c>
      <c r="BE2" s="201" t="s">
        <v>4</v>
      </c>
      <c r="BF2" s="33"/>
      <c r="BG2" s="203"/>
      <c r="BH2" s="201" t="s">
        <v>20</v>
      </c>
      <c r="BI2" s="201" t="s">
        <v>44</v>
      </c>
      <c r="BJ2" s="204">
        <v>12.77</v>
      </c>
      <c r="BK2" s="191" t="s">
        <v>45</v>
      </c>
      <c r="BL2" s="205">
        <v>12.77</v>
      </c>
      <c r="BM2" s="34" t="s">
        <v>46</v>
      </c>
      <c r="BN2" s="206"/>
      <c r="BO2" s="206"/>
      <c r="BP2" s="198"/>
      <c r="BQ2" s="207"/>
      <c r="BR2" s="208"/>
      <c r="BS2" s="208"/>
      <c r="BT2" s="209"/>
      <c r="BU2" s="209"/>
    </row>
    <row r="3" spans="1:73" ht="12.75">
      <c r="A3" s="201" t="s">
        <v>20</v>
      </c>
      <c r="B3" s="68" t="s">
        <v>44</v>
      </c>
      <c r="C3" s="210"/>
      <c r="D3" s="211"/>
      <c r="E3" s="211"/>
      <c r="H3" s="212" t="s">
        <v>47</v>
      </c>
      <c r="I3" s="33"/>
      <c r="J3" s="33"/>
      <c r="K3" s="37"/>
      <c r="N3" s="212" t="s">
        <v>48</v>
      </c>
      <c r="O3" s="213" t="s">
        <v>49</v>
      </c>
      <c r="P3" s="213"/>
      <c r="Q3" s="213" t="s">
        <v>43</v>
      </c>
      <c r="R3" s="213" t="s">
        <v>43</v>
      </c>
      <c r="S3" s="213" t="s">
        <v>43</v>
      </c>
      <c r="T3" s="213" t="s">
        <v>43</v>
      </c>
      <c r="U3" s="213" t="s">
        <v>43</v>
      </c>
      <c r="V3" s="73" t="s">
        <v>50</v>
      </c>
      <c r="W3" s="73" t="s">
        <v>51</v>
      </c>
      <c r="X3" s="74"/>
      <c r="Y3" s="74" t="s">
        <v>52</v>
      </c>
      <c r="Z3" s="75"/>
      <c r="AA3" s="76"/>
      <c r="AB3" s="77"/>
      <c r="AC3" s="214"/>
      <c r="AF3" s="215" t="s">
        <v>53</v>
      </c>
      <c r="AG3" s="62"/>
      <c r="AH3" s="80" t="s">
        <v>53</v>
      </c>
      <c r="AI3" s="81" t="s">
        <v>32</v>
      </c>
      <c r="AJ3" s="82" t="s">
        <v>54</v>
      </c>
      <c r="AK3" s="216" t="s">
        <v>55</v>
      </c>
      <c r="AL3" s="211"/>
      <c r="AM3" s="217"/>
      <c r="AO3" s="218"/>
      <c r="AP3" s="219" t="s">
        <v>56</v>
      </c>
      <c r="AQ3" s="87" t="s">
        <v>56</v>
      </c>
      <c r="AR3" s="88"/>
      <c r="AS3" s="88"/>
      <c r="AT3" s="83" t="s">
        <v>57</v>
      </c>
      <c r="AU3" s="83" t="s">
        <v>58</v>
      </c>
      <c r="AV3" s="83" t="s">
        <v>58</v>
      </c>
      <c r="AW3" s="89"/>
      <c r="AX3" s="220"/>
      <c r="BB3" s="61"/>
      <c r="BC3" s="61"/>
      <c r="BE3" s="185"/>
      <c r="BF3" s="61"/>
      <c r="BG3" s="221"/>
      <c r="BI3" s="222" t="s">
        <v>59</v>
      </c>
      <c r="BJ3" s="223" t="s">
        <v>50</v>
      </c>
      <c r="BK3" s="224" t="s">
        <v>60</v>
      </c>
      <c r="BL3" s="225" t="s">
        <v>50</v>
      </c>
      <c r="BM3" s="61"/>
      <c r="BN3" s="226" t="s">
        <v>45</v>
      </c>
      <c r="BO3" s="226" t="s">
        <v>61</v>
      </c>
      <c r="BP3" s="211"/>
      <c r="BQ3" s="227"/>
      <c r="BR3" s="228" t="s">
        <v>20</v>
      </c>
      <c r="BS3" s="228" t="s">
        <v>44</v>
      </c>
      <c r="BT3" s="229"/>
      <c r="BU3" s="229"/>
    </row>
    <row r="4" spans="1:73" ht="12.75">
      <c r="A4" s="230"/>
      <c r="B4" s="96"/>
      <c r="C4" s="231">
        <f>SUM(C5:C14)</f>
        <v>7379.5999999999995</v>
      </c>
      <c r="D4" s="211"/>
      <c r="E4" s="211"/>
      <c r="F4" s="232"/>
      <c r="G4" s="233">
        <f>SUM(G5:G15)</f>
        <v>5969.4599999999991</v>
      </c>
      <c r="H4" s="233">
        <f>SUM(H5:H20)</f>
        <v>7384.8999999999987</v>
      </c>
      <c r="I4" s="33"/>
      <c r="J4" s="33"/>
      <c r="K4" s="37"/>
      <c r="L4" s="189"/>
      <c r="M4" s="230"/>
      <c r="N4" s="100"/>
      <c r="R4" s="211"/>
      <c r="S4" s="234">
        <f>SUM(S5:S90)</f>
        <v>5969.4599999999982</v>
      </c>
      <c r="T4" s="211"/>
      <c r="U4" s="233">
        <f>SUM(U5:U90)</f>
        <v>5969.4599999999991</v>
      </c>
      <c r="W4" s="102">
        <f>SUM(U5/V5)</f>
        <v>9.2659402471273147</v>
      </c>
      <c r="X4" s="103"/>
      <c r="Y4" s="103">
        <f>SUM(Y5:Y1000)</f>
        <v>7384.9</v>
      </c>
      <c r="Z4" s="104">
        <f>SUM(Z5:Z1000)</f>
        <v>1</v>
      </c>
      <c r="AA4" s="105"/>
      <c r="AB4" s="106"/>
      <c r="AC4" s="189"/>
      <c r="AD4" s="230"/>
      <c r="AE4" s="235"/>
      <c r="AF4" s="236"/>
      <c r="AG4" s="109"/>
      <c r="AH4" s="109"/>
      <c r="AI4" s="110">
        <f>SUM(AI5:AI1000)</f>
        <v>6520.6875486215595</v>
      </c>
      <c r="AJ4" s="111"/>
      <c r="AK4" s="237"/>
      <c r="AL4" s="238"/>
      <c r="AM4" s="239"/>
      <c r="AN4" s="193"/>
      <c r="AO4" s="240"/>
      <c r="AP4" s="115"/>
      <c r="AQ4" s="116"/>
      <c r="AR4" s="117"/>
      <c r="AS4" s="117"/>
      <c r="AT4" s="118"/>
      <c r="AU4" s="118"/>
      <c r="AV4" s="119"/>
      <c r="AW4" s="120"/>
      <c r="AX4" s="241"/>
      <c r="AY4" s="193"/>
      <c r="AZ4" s="230"/>
      <c r="BA4" s="242">
        <f>BA5+BA17+BA29+BA41+BA53+BA65+BA77</f>
        <v>6416459397</v>
      </c>
      <c r="BB4" s="113"/>
      <c r="BC4" s="122"/>
      <c r="BD4" s="238"/>
      <c r="BE4" s="243">
        <f>SUM(BE5:BE90)</f>
        <v>3778.3609899907365</v>
      </c>
      <c r="BF4" s="113"/>
      <c r="BG4" s="244"/>
      <c r="BH4" s="230"/>
      <c r="BI4" s="238">
        <f>SUM(BI5:BI15)</f>
        <v>2906.4315307621059</v>
      </c>
      <c r="BJ4" s="245">
        <f>BI4/BJ2</f>
        <v>227.59839708395506</v>
      </c>
      <c r="BK4" s="238">
        <f>SUM(BK5:BK15)</f>
        <v>3778.3609899907374</v>
      </c>
      <c r="BL4" s="246">
        <f>BK4/BL2</f>
        <v>295.87791620914152</v>
      </c>
      <c r="BM4" s="113">
        <f>SUM(BK4-BI4)</f>
        <v>871.92945922863146</v>
      </c>
      <c r="BN4" s="247"/>
      <c r="BO4" s="248"/>
      <c r="BP4" s="211"/>
      <c r="BQ4" s="249"/>
      <c r="BR4" s="250"/>
      <c r="BS4" s="250"/>
      <c r="BT4" s="229"/>
      <c r="BU4" s="229"/>
    </row>
    <row r="5" spans="1:73" ht="12.75">
      <c r="A5" s="201" t="s">
        <v>62</v>
      </c>
      <c r="B5" s="96">
        <v>834.7</v>
      </c>
      <c r="C5" s="231">
        <v>834.7</v>
      </c>
      <c r="D5" s="211"/>
      <c r="E5" s="211"/>
      <c r="F5" s="232"/>
      <c r="G5" s="251">
        <f>C5</f>
        <v>834.7</v>
      </c>
      <c r="H5" s="252">
        <f>G5</f>
        <v>834.7</v>
      </c>
      <c r="I5" s="130"/>
      <c r="J5" s="57"/>
      <c r="K5" s="37"/>
      <c r="L5" s="565" t="s">
        <v>63</v>
      </c>
      <c r="M5" s="230" t="s">
        <v>62</v>
      </c>
      <c r="N5" s="253">
        <f>'NUMBERS-DM'!E4</f>
        <v>0.10300009518289299</v>
      </c>
      <c r="O5" s="253">
        <v>0.40939999999999999</v>
      </c>
      <c r="P5" s="132">
        <f t="shared" ref="P5:P15" si="0">O5-N5</f>
        <v>0.30639990481710699</v>
      </c>
      <c r="Q5" s="132">
        <f>G$5*N5</f>
        <v>85.974179449160786</v>
      </c>
      <c r="R5" s="100">
        <v>414.34</v>
      </c>
      <c r="S5" s="133">
        <f>Q5</f>
        <v>85.974179449160786</v>
      </c>
      <c r="T5" s="100">
        <f>R5</f>
        <v>414.34</v>
      </c>
      <c r="U5" s="134">
        <f>SUM(S5:S15)</f>
        <v>860.29622224453556</v>
      </c>
      <c r="V5" s="135">
        <v>92.844999999999999</v>
      </c>
      <c r="X5" s="104">
        <f>U5/U$4</f>
        <v>0.14411625544765116</v>
      </c>
      <c r="Y5" s="68">
        <v>1469.18</v>
      </c>
      <c r="Z5" s="136">
        <f>BA5/BA$4</f>
        <v>0.20430253024166375</v>
      </c>
      <c r="AA5" s="105"/>
      <c r="AB5" s="106"/>
      <c r="AC5" s="565" t="s">
        <v>63</v>
      </c>
      <c r="AD5" s="230" t="s">
        <v>62</v>
      </c>
      <c r="AE5" s="235">
        <f t="shared" ref="AE5:AE15" si="1">SUM(Q5*1000000)/BA5*1000</f>
        <v>65.584142381233377</v>
      </c>
      <c r="AF5" s="236">
        <v>316.07319463059423</v>
      </c>
      <c r="AG5" s="122">
        <f>AE5</f>
        <v>65.584142381233377</v>
      </c>
      <c r="AH5" s="109">
        <v>316.07319463059423</v>
      </c>
      <c r="AI5" s="110">
        <f>SUM(AG5:AG15)</f>
        <v>656.26436089554977</v>
      </c>
      <c r="AJ5" s="111">
        <v>1120.7424243070341</v>
      </c>
      <c r="AK5" s="254">
        <f>AI5/20</f>
        <v>32.813218044777486</v>
      </c>
      <c r="AL5" s="238"/>
      <c r="AM5" s="239"/>
      <c r="AN5" s="566" t="s">
        <v>63</v>
      </c>
      <c r="AO5" s="255" t="s">
        <v>64</v>
      </c>
      <c r="AP5" s="115">
        <v>18.25</v>
      </c>
      <c r="AQ5" s="116">
        <f>SUM(AP5:AP14)</f>
        <v>452.96500000000003</v>
      </c>
      <c r="AR5" s="117">
        <f>AG5-AP5</f>
        <v>47.334142381233377</v>
      </c>
      <c r="AS5" s="139">
        <f>AR5/AP5</f>
        <v>2.5936516373278562</v>
      </c>
      <c r="AT5" s="118">
        <f>SQRT(AS5)*10</f>
        <v>16.104818028552373</v>
      </c>
      <c r="AU5" s="118">
        <v>297.82319463059423</v>
      </c>
      <c r="AV5" s="119">
        <v>16.319079157840779</v>
      </c>
      <c r="AW5" s="120"/>
      <c r="AX5" s="241"/>
      <c r="AY5" s="566" t="s">
        <v>63</v>
      </c>
      <c r="AZ5" s="230" t="s">
        <v>62</v>
      </c>
      <c r="BA5" s="242">
        <v>1310898890</v>
      </c>
      <c r="BB5" s="113">
        <f>(AP5*BA5)/1000000000</f>
        <v>23.9239047425</v>
      </c>
      <c r="BC5" s="122">
        <f>SUM(BB5:BB14)</f>
        <v>593.79131570884999</v>
      </c>
      <c r="BD5" s="238">
        <f>BB5*1.3</f>
        <v>31.101076165249999</v>
      </c>
      <c r="BE5" s="243">
        <f>SUM(BD5:BD15)</f>
        <v>771.928710421505</v>
      </c>
      <c r="BF5" s="113"/>
      <c r="BG5" s="244"/>
      <c r="BH5" s="230" t="s">
        <v>62</v>
      </c>
      <c r="BI5" s="238">
        <f>BB5+BB17+BB29+BB41+BB53+BB65+BB77</f>
        <v>117.10038399525</v>
      </c>
      <c r="BJ5" s="256">
        <f t="shared" ref="BJ5:BJ11" si="2">BI5/$BJ$2</f>
        <v>9.1699595924236501</v>
      </c>
      <c r="BK5" s="238">
        <f>SUM(BD5+BD17+BD29+BD41+BD53+BD65+BD77)</f>
        <v>152.23049919382498</v>
      </c>
      <c r="BL5" s="242">
        <f t="shared" ref="BL5:BL11" si="3">BK5/$BJ$2</f>
        <v>11.920947470150743</v>
      </c>
      <c r="BM5" s="113"/>
      <c r="BN5" s="247">
        <v>682.46950080617512</v>
      </c>
      <c r="BO5" s="248">
        <v>0.81830875396423874</v>
      </c>
      <c r="BP5" s="211"/>
      <c r="BQ5" s="249"/>
      <c r="BR5" s="250" t="s">
        <v>62</v>
      </c>
      <c r="BS5" s="250">
        <v>834</v>
      </c>
      <c r="BT5" s="229"/>
      <c r="BU5" s="229"/>
    </row>
    <row r="6" spans="1:73" ht="12.75">
      <c r="A6" s="257" t="s">
        <v>65</v>
      </c>
      <c r="B6" s="96">
        <v>2667</v>
      </c>
      <c r="C6" s="231">
        <v>2667</v>
      </c>
      <c r="D6" s="258">
        <v>0.41</v>
      </c>
      <c r="E6" s="258">
        <v>0.11</v>
      </c>
      <c r="F6" s="259">
        <f>SUM(D6:E6)</f>
        <v>0.52</v>
      </c>
      <c r="G6" s="251">
        <f>C6*(100%-F6)</f>
        <v>1280.1599999999999</v>
      </c>
      <c r="H6" s="252">
        <f>G6</f>
        <v>1280.1599999999999</v>
      </c>
      <c r="I6" s="33"/>
      <c r="J6" s="33"/>
      <c r="K6" s="37"/>
      <c r="L6" s="559"/>
      <c r="M6" s="211" t="s">
        <v>65</v>
      </c>
      <c r="N6" s="253">
        <f>'NUMBERS-DM'!E6</f>
        <v>0.20930583341857981</v>
      </c>
      <c r="O6" s="253">
        <v>0.20930000000000001</v>
      </c>
      <c r="P6" s="132">
        <f t="shared" si="0"/>
        <v>-5.8334185797925819E-6</v>
      </c>
      <c r="Q6" s="132">
        <f>G$6*N6</f>
        <v>267.94495570912909</v>
      </c>
      <c r="R6" s="100">
        <v>558.22</v>
      </c>
      <c r="S6" s="133">
        <f>Q6</f>
        <v>267.94495570912909</v>
      </c>
      <c r="T6" s="100">
        <f>R6</f>
        <v>558.22</v>
      </c>
      <c r="U6" s="134"/>
      <c r="V6" s="68"/>
      <c r="W6" s="68"/>
      <c r="X6" s="68"/>
      <c r="Y6" s="68"/>
      <c r="Z6" s="96"/>
      <c r="AA6" s="144"/>
      <c r="AB6" s="145"/>
      <c r="AC6" s="559"/>
      <c r="AD6" s="211" t="s">
        <v>65</v>
      </c>
      <c r="AE6" s="235">
        <f t="shared" si="1"/>
        <v>204.39788129588629</v>
      </c>
      <c r="AF6" s="236">
        <v>425.82994329944091</v>
      </c>
      <c r="AG6" s="122">
        <f>AE6</f>
        <v>204.39788129588629</v>
      </c>
      <c r="AH6" s="109">
        <v>425.82994329944091</v>
      </c>
      <c r="AI6" s="110"/>
      <c r="AJ6" s="111"/>
      <c r="AK6" s="237"/>
      <c r="AL6" s="238"/>
      <c r="AM6" s="239"/>
      <c r="AN6" s="559"/>
      <c r="AO6" s="260" t="s">
        <v>65</v>
      </c>
      <c r="AP6" s="115">
        <v>84.68</v>
      </c>
      <c r="AQ6" s="147"/>
      <c r="AR6" s="117">
        <f>AG6-AP6</f>
        <v>119.71788129588629</v>
      </c>
      <c r="AS6" s="139">
        <f>AR6/AP6</f>
        <v>1.4137680833241175</v>
      </c>
      <c r="AT6" s="118">
        <f>SQRT(AS6)*10</f>
        <v>11.890197993827174</v>
      </c>
      <c r="AU6" s="118">
        <v>341.14994329944091</v>
      </c>
      <c r="AV6" s="119">
        <v>4.0286955987180075</v>
      </c>
      <c r="AW6" s="120"/>
      <c r="AX6" s="241"/>
      <c r="AY6" s="559"/>
      <c r="AZ6" s="211" t="s">
        <v>65</v>
      </c>
      <c r="BA6" s="242">
        <v>1310898890</v>
      </c>
      <c r="BB6" s="113">
        <f>(AP6*BA6)/1000000000</f>
        <v>111.00691800520001</v>
      </c>
      <c r="BC6" s="122"/>
      <c r="BD6" s="238">
        <f>BB6*1.3</f>
        <v>144.30899340676001</v>
      </c>
      <c r="BE6" s="257"/>
      <c r="BF6" s="70"/>
      <c r="BG6" s="261"/>
      <c r="BH6" s="211" t="s">
        <v>65</v>
      </c>
      <c r="BI6" s="238">
        <f>BB6+BB18+BB30+BB42+BB54+BB66+BB78</f>
        <v>543.34578173796012</v>
      </c>
      <c r="BJ6" s="256">
        <f t="shared" si="2"/>
        <v>42.548612508845743</v>
      </c>
      <c r="BK6" s="238">
        <f>SUM(BD6+BD18+BD30+BD42+BD54+BD66+BD78)</f>
        <v>706.34951625934821</v>
      </c>
      <c r="BL6" s="242">
        <f t="shared" si="3"/>
        <v>55.313196261499471</v>
      </c>
      <c r="BM6" s="113"/>
      <c r="BN6" s="247">
        <v>1960.6504837406519</v>
      </c>
      <c r="BO6" s="248">
        <v>0.73515203739806967</v>
      </c>
      <c r="BP6" s="211"/>
      <c r="BQ6" s="262"/>
      <c r="BR6" s="229" t="s">
        <v>65</v>
      </c>
      <c r="BS6" s="250">
        <v>2667</v>
      </c>
      <c r="BT6" s="229"/>
      <c r="BU6" s="229"/>
    </row>
    <row r="7" spans="1:73" ht="12.75">
      <c r="A7" s="263" t="s">
        <v>66</v>
      </c>
      <c r="B7" s="96">
        <v>1130</v>
      </c>
      <c r="C7" s="231">
        <v>2013</v>
      </c>
      <c r="D7" s="211"/>
      <c r="E7" s="211"/>
      <c r="F7" s="232"/>
      <c r="G7" s="232">
        <f>B7</f>
        <v>1130</v>
      </c>
      <c r="H7" s="189">
        <f>G7+G8</f>
        <v>2013</v>
      </c>
      <c r="I7" s="33"/>
      <c r="J7" s="33"/>
      <c r="K7" s="37"/>
      <c r="L7" s="559"/>
      <c r="M7" s="264" t="s">
        <v>66</v>
      </c>
      <c r="N7" s="265">
        <f>'NUMBERS-DM'!E8</f>
        <v>0.10141960449665804</v>
      </c>
      <c r="O7" s="265">
        <v>0.1014</v>
      </c>
      <c r="P7" s="132">
        <f t="shared" si="0"/>
        <v>-1.9604496658040538E-5</v>
      </c>
      <c r="Q7" s="132">
        <f>G$7*N7</f>
        <v>114.60415308122359</v>
      </c>
      <c r="R7" s="100">
        <v>114.6</v>
      </c>
      <c r="S7" s="133">
        <f>Q7+Q8</f>
        <v>236.48929168134336</v>
      </c>
      <c r="T7" s="100">
        <f>R7+R8</f>
        <v>236.49</v>
      </c>
      <c r="U7" s="134"/>
      <c r="V7" s="68"/>
      <c r="W7" s="68"/>
      <c r="X7" s="68"/>
      <c r="Y7" s="68"/>
      <c r="Z7" s="96"/>
      <c r="AA7" s="144"/>
      <c r="AB7" s="145"/>
      <c r="AC7" s="559"/>
      <c r="AD7" s="264" t="s">
        <v>66</v>
      </c>
      <c r="AE7" s="235">
        <f t="shared" si="1"/>
        <v>87.424098041019477</v>
      </c>
      <c r="AF7" s="236">
        <v>87.420929923893667</v>
      </c>
      <c r="AG7" s="122">
        <f>AE7+AE8</f>
        <v>180.40238914333307</v>
      </c>
      <c r="AH7" s="109">
        <v>180.40292947383608</v>
      </c>
      <c r="AI7" s="110"/>
      <c r="AJ7" s="111"/>
      <c r="AK7" s="229"/>
      <c r="AL7" s="211"/>
      <c r="AM7" s="217"/>
      <c r="AN7" s="559"/>
      <c r="AO7" s="266" t="s">
        <v>66</v>
      </c>
      <c r="AP7" s="115">
        <v>182.5</v>
      </c>
      <c r="AQ7" s="147"/>
      <c r="AR7" s="117">
        <f>AG7-AP7</f>
        <v>-2.0976108566669325</v>
      </c>
      <c r="AS7" s="139">
        <f>AR7/AP7</f>
        <v>-1.1493758118722918E-2</v>
      </c>
      <c r="AT7" s="118">
        <f>SQRT(-AS7)*10</f>
        <v>1.0720894607598246</v>
      </c>
      <c r="AU7" s="118">
        <v>-2.0970705261639182</v>
      </c>
      <c r="AV7" s="119">
        <v>-1.1490797403637908E-2</v>
      </c>
      <c r="AW7" s="120"/>
      <c r="AX7" s="241"/>
      <c r="AY7" s="559"/>
      <c r="AZ7" s="264" t="s">
        <v>66</v>
      </c>
      <c r="BA7" s="242">
        <v>1310898890</v>
      </c>
      <c r="BB7" s="113">
        <f>(AP7*BA7)/1000000000</f>
        <v>239.239047425</v>
      </c>
      <c r="BC7" s="122"/>
      <c r="BD7" s="238">
        <f>BB7*1.3</f>
        <v>311.01076165249998</v>
      </c>
      <c r="BE7" s="257"/>
      <c r="BF7" s="70"/>
      <c r="BG7" s="261"/>
      <c r="BH7" s="267" t="s">
        <v>66</v>
      </c>
      <c r="BI7" s="238">
        <f>BB7+BB19+BB31+BB43+BB55+BB67+BB79</f>
        <v>1171.0038399525001</v>
      </c>
      <c r="BJ7" s="256">
        <f t="shared" si="2"/>
        <v>91.699595924236505</v>
      </c>
      <c r="BK7" s="238">
        <f>SUM(BD7+BD19+BD31+BD43+BD55+BD67+BD79)</f>
        <v>1522.3049919382502</v>
      </c>
      <c r="BL7" s="242">
        <f t="shared" si="3"/>
        <v>119.20947470150746</v>
      </c>
      <c r="BM7" s="113"/>
      <c r="BN7" s="247">
        <v>490.69500806175029</v>
      </c>
      <c r="BO7" s="248">
        <v>0.31254459112213395</v>
      </c>
      <c r="BP7" s="211"/>
      <c r="BQ7" s="249"/>
      <c r="BR7" s="268" t="s">
        <v>66</v>
      </c>
      <c r="BS7" s="250">
        <v>1570</v>
      </c>
      <c r="BT7" s="229"/>
      <c r="BU7" s="229"/>
    </row>
    <row r="8" spans="1:73" ht="12.75">
      <c r="A8" s="263" t="s">
        <v>67</v>
      </c>
      <c r="B8" s="96">
        <v>883</v>
      </c>
      <c r="C8" s="231"/>
      <c r="D8" s="211"/>
      <c r="E8" s="211"/>
      <c r="F8" s="232"/>
      <c r="G8" s="232">
        <f>B8</f>
        <v>883</v>
      </c>
      <c r="H8" s="189"/>
      <c r="I8" s="33"/>
      <c r="J8" s="33"/>
      <c r="K8" s="37"/>
      <c r="L8" s="559"/>
      <c r="M8" s="264" t="s">
        <v>67</v>
      </c>
      <c r="N8" s="265">
        <f>'NUMBERS-DM'!E10</f>
        <v>0.13803526455279702</v>
      </c>
      <c r="O8" s="265">
        <v>0.13800000000000001</v>
      </c>
      <c r="P8" s="132">
        <f t="shared" si="0"/>
        <v>-3.5264552797009685E-5</v>
      </c>
      <c r="Q8" s="132">
        <f>G$8*N8</f>
        <v>121.88513860011977</v>
      </c>
      <c r="R8" s="100">
        <v>121.89</v>
      </c>
      <c r="S8" s="133"/>
      <c r="T8" s="100"/>
      <c r="U8" s="134"/>
      <c r="V8" s="68"/>
      <c r="W8" s="68"/>
      <c r="X8" s="68"/>
      <c r="Y8" s="68"/>
      <c r="Z8" s="96"/>
      <c r="AA8" s="144"/>
      <c r="AB8" s="145"/>
      <c r="AC8" s="559"/>
      <c r="AD8" s="264" t="s">
        <v>67</v>
      </c>
      <c r="AE8" s="235">
        <f t="shared" si="1"/>
        <v>92.978291102313591</v>
      </c>
      <c r="AF8" s="236">
        <v>92.981999549942401</v>
      </c>
      <c r="AG8" s="61"/>
      <c r="AH8" s="109"/>
      <c r="AI8" s="110"/>
      <c r="AJ8" s="111"/>
      <c r="AK8" s="229"/>
      <c r="AL8" s="211"/>
      <c r="AM8" s="217"/>
      <c r="AN8" s="559"/>
      <c r="AO8" s="266" t="s">
        <v>67</v>
      </c>
      <c r="AP8" s="115"/>
      <c r="AQ8" s="147"/>
      <c r="AR8" s="117"/>
      <c r="AS8" s="139"/>
      <c r="AT8" s="118"/>
      <c r="AU8" s="118">
        <v>0</v>
      </c>
      <c r="AV8" s="119"/>
      <c r="AW8" s="120"/>
      <c r="AX8" s="241"/>
      <c r="AY8" s="559"/>
      <c r="AZ8" s="264" t="s">
        <v>67</v>
      </c>
      <c r="BA8" s="242">
        <v>1310898890</v>
      </c>
      <c r="BB8" s="113"/>
      <c r="BC8" s="122"/>
      <c r="BD8" s="238"/>
      <c r="BE8" s="257"/>
      <c r="BF8" s="70"/>
      <c r="BG8" s="261"/>
      <c r="BH8" s="267" t="s">
        <v>67</v>
      </c>
      <c r="BI8" s="238">
        <v>0</v>
      </c>
      <c r="BJ8" s="256">
        <f t="shared" si="2"/>
        <v>0</v>
      </c>
      <c r="BK8" s="238"/>
      <c r="BL8" s="242">
        <f t="shared" si="3"/>
        <v>0</v>
      </c>
      <c r="BM8" s="113"/>
      <c r="BN8" s="247">
        <v>0</v>
      </c>
      <c r="BO8" s="248"/>
      <c r="BP8" s="211"/>
      <c r="BQ8" s="249"/>
      <c r="BR8" s="268" t="s">
        <v>67</v>
      </c>
      <c r="BS8" s="250"/>
      <c r="BT8" s="229"/>
      <c r="BU8" s="229"/>
    </row>
    <row r="9" spans="1:73" ht="12.75">
      <c r="A9" s="257" t="s">
        <v>68</v>
      </c>
      <c r="B9" s="96">
        <v>841</v>
      </c>
      <c r="C9" s="231">
        <v>841</v>
      </c>
      <c r="D9" s="211"/>
      <c r="E9" s="211"/>
      <c r="F9" s="232"/>
      <c r="G9" s="232">
        <f>C9*(100%-F9)</f>
        <v>841</v>
      </c>
      <c r="H9" s="189">
        <f>G9</f>
        <v>841</v>
      </c>
      <c r="I9" s="33"/>
      <c r="J9" s="33"/>
      <c r="K9" s="37"/>
      <c r="L9" s="559"/>
      <c r="M9" s="211" t="s">
        <v>68</v>
      </c>
      <c r="N9" s="265">
        <f>'NUMBERS-DM'!E12</f>
        <v>0.14953652986190472</v>
      </c>
      <c r="O9" s="265">
        <v>0.12809999999999999</v>
      </c>
      <c r="P9" s="132">
        <f t="shared" si="0"/>
        <v>-2.1436529861904724E-2</v>
      </c>
      <c r="Q9" s="132">
        <f>G$9*N9</f>
        <v>125.76022161386187</v>
      </c>
      <c r="R9" s="100">
        <v>107.74</v>
      </c>
      <c r="S9" s="133">
        <f>Q9</f>
        <v>125.76022161386187</v>
      </c>
      <c r="T9" s="100">
        <f>R9</f>
        <v>107.74</v>
      </c>
      <c r="U9" s="134"/>
      <c r="V9" s="68"/>
      <c r="W9" s="68"/>
      <c r="X9" s="68"/>
      <c r="Y9" s="68"/>
      <c r="Z9" s="96"/>
      <c r="AA9" s="144"/>
      <c r="AB9" s="145"/>
      <c r="AC9" s="559"/>
      <c r="AD9" s="211" t="s">
        <v>68</v>
      </c>
      <c r="AE9" s="235">
        <f t="shared" si="1"/>
        <v>95.934341369273625</v>
      </c>
      <c r="AF9" s="236">
        <v>82.187879493894442</v>
      </c>
      <c r="AG9" s="122">
        <f>AE9</f>
        <v>95.934341369273625</v>
      </c>
      <c r="AH9" s="109">
        <v>82.187879493894442</v>
      </c>
      <c r="AI9" s="110"/>
      <c r="AJ9" s="111"/>
      <c r="AK9" s="229"/>
      <c r="AL9" s="211"/>
      <c r="AM9" s="217"/>
      <c r="AN9" s="559"/>
      <c r="AO9" s="260" t="s">
        <v>68</v>
      </c>
      <c r="AP9" s="115">
        <v>91.25</v>
      </c>
      <c r="AQ9" s="147"/>
      <c r="AR9" s="117">
        <f>AG9-AP9</f>
        <v>4.6843413692736249</v>
      </c>
      <c r="AS9" s="139">
        <f>AR9/AP9</f>
        <v>5.1335247882450682E-2</v>
      </c>
      <c r="AT9" s="118" t="e">
        <f>SQRT(-AS9)*10</f>
        <v>#NUM!</v>
      </c>
      <c r="AU9" s="118">
        <v>-9.0621205061055576</v>
      </c>
      <c r="AV9" s="119">
        <v>-9.931090965595131E-2</v>
      </c>
      <c r="AW9" s="120"/>
      <c r="AX9" s="241"/>
      <c r="AY9" s="559"/>
      <c r="AZ9" s="211" t="s">
        <v>68</v>
      </c>
      <c r="BA9" s="242">
        <v>1310898890</v>
      </c>
      <c r="BB9" s="113">
        <f>(AP9*BA9)/1000000000</f>
        <v>119.6195237125</v>
      </c>
      <c r="BC9" s="122"/>
      <c r="BD9" s="238">
        <f>BB9*1.3</f>
        <v>155.50538082624999</v>
      </c>
      <c r="BE9" s="257"/>
      <c r="BF9" s="70"/>
      <c r="BG9" s="261"/>
      <c r="BH9" s="211" t="s">
        <v>68</v>
      </c>
      <c r="BI9" s="238">
        <f>BB9+BB21+BB33+BB45+BB57+BB69+BB81</f>
        <v>585.50191997625006</v>
      </c>
      <c r="BJ9" s="256">
        <f t="shared" si="2"/>
        <v>45.849797962118252</v>
      </c>
      <c r="BK9" s="238">
        <f>SUM(BD9+BD21+BD33+BD45+BD57+BD69+BD81)</f>
        <v>761.15249596912508</v>
      </c>
      <c r="BL9" s="242">
        <f t="shared" si="3"/>
        <v>59.60473735075373</v>
      </c>
      <c r="BM9" s="113"/>
      <c r="BN9" s="247">
        <v>79.847504030875143</v>
      </c>
      <c r="BO9" s="248">
        <v>9.4943524412455585E-2</v>
      </c>
      <c r="BP9" s="211"/>
      <c r="BQ9" s="262"/>
      <c r="BR9" s="229" t="s">
        <v>68</v>
      </c>
      <c r="BS9" s="250">
        <v>841</v>
      </c>
      <c r="BT9" s="229"/>
      <c r="BU9" s="229"/>
    </row>
    <row r="10" spans="1:73" ht="12.75">
      <c r="A10" s="224" t="s">
        <v>69</v>
      </c>
      <c r="B10" s="96">
        <v>212</v>
      </c>
      <c r="C10" s="231">
        <v>212</v>
      </c>
      <c r="D10" s="230"/>
      <c r="E10" s="230"/>
      <c r="F10" s="232"/>
      <c r="G10" s="232">
        <f>B10</f>
        <v>212</v>
      </c>
      <c r="H10" s="189">
        <f>G10</f>
        <v>212</v>
      </c>
      <c r="I10" s="33"/>
      <c r="J10" s="33"/>
      <c r="K10" s="37"/>
      <c r="L10" s="559"/>
      <c r="M10" s="269" t="s">
        <v>69</v>
      </c>
      <c r="N10" s="265">
        <f>'NUMBERS-DM'!E14</f>
        <v>2.2612480540453422E-2</v>
      </c>
      <c r="O10" s="265">
        <v>2.2599999999999999E-2</v>
      </c>
      <c r="P10" s="132">
        <f t="shared" si="0"/>
        <v>-1.2480540453423811E-5</v>
      </c>
      <c r="Q10" s="132">
        <f>G$10*N10</f>
        <v>4.7938458745761254</v>
      </c>
      <c r="R10" s="100">
        <v>4.79</v>
      </c>
      <c r="S10" s="133">
        <f>Q10</f>
        <v>4.7938458745761254</v>
      </c>
      <c r="T10" s="100">
        <f>R10</f>
        <v>4.79</v>
      </c>
      <c r="U10" s="134"/>
      <c r="V10" s="68"/>
      <c r="W10" s="68"/>
      <c r="X10" s="68"/>
      <c r="Y10" s="68"/>
      <c r="Z10" s="96"/>
      <c r="AA10" s="144"/>
      <c r="AB10" s="145"/>
      <c r="AC10" s="559"/>
      <c r="AD10" s="230" t="s">
        <v>70</v>
      </c>
      <c r="AE10" s="235">
        <f t="shared" si="1"/>
        <v>3.6569150459621835</v>
      </c>
      <c r="AF10" s="236">
        <v>3.6539812769236533</v>
      </c>
      <c r="AG10" s="122">
        <f>AE10</f>
        <v>3.6569150459621835</v>
      </c>
      <c r="AH10" s="109">
        <v>3.6539812769236533</v>
      </c>
      <c r="AI10" s="110"/>
      <c r="AJ10" s="111"/>
      <c r="AK10" s="250"/>
      <c r="AL10" s="230"/>
      <c r="AM10" s="270"/>
      <c r="AN10" s="559"/>
      <c r="AO10" s="240" t="s">
        <v>70</v>
      </c>
      <c r="AP10" s="115">
        <v>5.1100000000000003</v>
      </c>
      <c r="AQ10" s="147"/>
      <c r="AR10" s="117">
        <f>AG10-AP10</f>
        <v>-1.4530849540378168</v>
      </c>
      <c r="AS10" s="139">
        <f>AR10/AP10</f>
        <v>-0.28436104775691129</v>
      </c>
      <c r="AT10" s="118">
        <f>SQRT(-AS10)*10</f>
        <v>5.3325514320718117</v>
      </c>
      <c r="AU10" s="118">
        <v>-1.4560187230763471</v>
      </c>
      <c r="AV10" s="119">
        <v>-0.284935170856428</v>
      </c>
      <c r="AW10" s="120"/>
      <c r="AX10" s="241"/>
      <c r="AY10" s="559"/>
      <c r="AZ10" s="230" t="s">
        <v>70</v>
      </c>
      <c r="BA10" s="242">
        <v>1310898890</v>
      </c>
      <c r="BB10" s="113">
        <f>(AP10*BA10)/1000000000</f>
        <v>6.6986933279000009</v>
      </c>
      <c r="BC10" s="122"/>
      <c r="BD10" s="238">
        <f>BB10*1.3</f>
        <v>8.7083013262700018</v>
      </c>
      <c r="BE10" s="201"/>
      <c r="BF10" s="88"/>
      <c r="BG10" s="271"/>
      <c r="BH10" s="230" t="s">
        <v>70</v>
      </c>
      <c r="BI10" s="238">
        <f>BB10+BB22+BB34+BB46+BB58+BB70+BB82</f>
        <v>32.788107518670003</v>
      </c>
      <c r="BJ10" s="272">
        <f t="shared" si="2"/>
        <v>2.5675886858786221</v>
      </c>
      <c r="BK10" s="238">
        <f>SUM(BD10+BD22+BD34+BD46+BD58+BD70+BD82)</f>
        <v>42.624539774271007</v>
      </c>
      <c r="BL10" s="273">
        <f t="shared" si="3"/>
        <v>3.3378652916422089</v>
      </c>
      <c r="BM10" s="113"/>
      <c r="BN10" s="247">
        <v>169.375460225729</v>
      </c>
      <c r="BO10" s="248">
        <v>0.79894085012136318</v>
      </c>
      <c r="BP10" s="230"/>
      <c r="BQ10" s="249"/>
      <c r="BR10" s="250" t="s">
        <v>70</v>
      </c>
      <c r="BS10" s="250">
        <v>212</v>
      </c>
      <c r="BT10" s="250"/>
      <c r="BU10" s="250"/>
    </row>
    <row r="11" spans="1:73" ht="12.75">
      <c r="A11" s="274" t="s">
        <v>71</v>
      </c>
      <c r="B11" s="96">
        <v>134</v>
      </c>
      <c r="C11" s="231">
        <v>371.9</v>
      </c>
      <c r="D11" s="211"/>
      <c r="E11" s="211"/>
      <c r="F11" s="232"/>
      <c r="G11" s="232">
        <f>B11</f>
        <v>134</v>
      </c>
      <c r="H11" s="252">
        <f>G11+G12+G13</f>
        <v>371.9</v>
      </c>
      <c r="I11" s="33"/>
      <c r="J11" s="33"/>
      <c r="K11" s="37"/>
      <c r="L11" s="559"/>
      <c r="M11" s="275" t="s">
        <v>71</v>
      </c>
      <c r="N11" s="265">
        <f>'NUMBERS-DM'!E16</f>
        <v>3.345827036240278E-2</v>
      </c>
      <c r="O11" s="265">
        <v>3.3500000000000002E-2</v>
      </c>
      <c r="P11" s="132">
        <f t="shared" si="0"/>
        <v>4.1729637597222313E-5</v>
      </c>
      <c r="Q11" s="132">
        <f>G$11*N11</f>
        <v>4.4834082285619727</v>
      </c>
      <c r="R11" s="100">
        <v>4.4800000000000004</v>
      </c>
      <c r="S11" s="133">
        <f>Q11+Q13+Q12</f>
        <v>19.725860707303717</v>
      </c>
      <c r="T11" s="100">
        <f>R11+R12+R13</f>
        <v>19.720000000000002</v>
      </c>
      <c r="U11" s="134"/>
      <c r="V11" s="68"/>
      <c r="W11" s="68"/>
      <c r="X11" s="68"/>
      <c r="Y11" s="68"/>
      <c r="Z11" s="96"/>
      <c r="AA11" s="144"/>
      <c r="AB11" s="145"/>
      <c r="AC11" s="559"/>
      <c r="AD11" s="275" t="s">
        <v>71</v>
      </c>
      <c r="AE11" s="235">
        <f t="shared" si="1"/>
        <v>3.4201022388248212</v>
      </c>
      <c r="AF11" s="236">
        <v>3.4175023216321438</v>
      </c>
      <c r="AG11" s="122">
        <f>AE11+AE13+AE12</f>
        <v>15.047583652545253</v>
      </c>
      <c r="AH11" s="109">
        <v>15.043112897898633</v>
      </c>
      <c r="AI11" s="110"/>
      <c r="AJ11" s="111"/>
      <c r="AK11" s="229"/>
      <c r="AL11" s="211"/>
      <c r="AM11" s="217"/>
      <c r="AN11" s="559"/>
      <c r="AO11" s="276" t="s">
        <v>71</v>
      </c>
      <c r="AP11" s="115">
        <v>25.55</v>
      </c>
      <c r="AQ11" s="147"/>
      <c r="AR11" s="117">
        <f>AG11-AP11</f>
        <v>-10.502416347454748</v>
      </c>
      <c r="AS11" s="139">
        <f>AR11/AP11</f>
        <v>-0.41105347739548914</v>
      </c>
      <c r="AT11" s="118">
        <f>SQRT(-AS11)*10</f>
        <v>6.4113452363407255</v>
      </c>
      <c r="AU11" s="118">
        <v>-10.506887102101368</v>
      </c>
      <c r="AV11" s="119">
        <v>-0.41122845800788133</v>
      </c>
      <c r="AW11" s="120"/>
      <c r="AX11" s="241"/>
      <c r="AY11" s="559"/>
      <c r="AZ11" s="275" t="s">
        <v>71</v>
      </c>
      <c r="BA11" s="242">
        <v>1310898890</v>
      </c>
      <c r="BB11" s="113">
        <f>(AP11*BA11)/1000000000</f>
        <v>33.493466639499999</v>
      </c>
      <c r="BC11" s="122"/>
      <c r="BD11" s="238">
        <f>BB11*1.3</f>
        <v>43.541506631350003</v>
      </c>
      <c r="BE11" s="257"/>
      <c r="BF11" s="70"/>
      <c r="BG11" s="261"/>
      <c r="BH11" s="277" t="s">
        <v>71</v>
      </c>
      <c r="BI11" s="238">
        <f>BB11+BB23+BB35+BB47+BB59+BB71+BB83</f>
        <v>163.94053759335</v>
      </c>
      <c r="BJ11" s="256">
        <f t="shared" si="2"/>
        <v>12.837943429393109</v>
      </c>
      <c r="BK11" s="238">
        <f>SUM(BD11+BD23+BD35+BD47+BD59+BD71+BD83)</f>
        <v>213.122698871355</v>
      </c>
      <c r="BL11" s="242">
        <f t="shared" si="3"/>
        <v>16.689326458211042</v>
      </c>
      <c r="BM11" s="113"/>
      <c r="BN11" s="247">
        <v>158.77730112864498</v>
      </c>
      <c r="BO11" s="248">
        <v>1.1849052323033207</v>
      </c>
      <c r="BP11" s="211"/>
      <c r="BQ11" s="249"/>
      <c r="BR11" s="278" t="s">
        <v>71</v>
      </c>
      <c r="BS11" s="250">
        <v>134</v>
      </c>
      <c r="BT11" s="229"/>
      <c r="BU11" s="229"/>
    </row>
    <row r="12" spans="1:73" ht="12.75">
      <c r="A12" s="274" t="s">
        <v>72</v>
      </c>
      <c r="B12" s="96">
        <v>155</v>
      </c>
      <c r="C12" s="231"/>
      <c r="D12" s="211"/>
      <c r="E12" s="211"/>
      <c r="F12" s="232"/>
      <c r="G12" s="232">
        <f>B12</f>
        <v>155</v>
      </c>
      <c r="H12" s="189"/>
      <c r="I12" s="33"/>
      <c r="J12" s="33"/>
      <c r="K12" s="37"/>
      <c r="L12" s="559"/>
      <c r="M12" s="275" t="s">
        <v>72</v>
      </c>
      <c r="N12" s="265">
        <f>'NUMBERS-DM'!E18</f>
        <v>6.4269978300628999E-2</v>
      </c>
      <c r="O12" s="265">
        <v>6.4299999999999996E-2</v>
      </c>
      <c r="P12" s="132">
        <f t="shared" si="0"/>
        <v>3.0021699370996746E-5</v>
      </c>
      <c r="Q12" s="132">
        <f>G$12*N12</f>
        <v>9.9618466365974943</v>
      </c>
      <c r="R12" s="100">
        <v>9.9600000000000009</v>
      </c>
      <c r="S12" s="133"/>
      <c r="T12" s="100"/>
      <c r="U12" s="134"/>
      <c r="V12" s="68"/>
      <c r="W12" s="68"/>
      <c r="X12" s="68"/>
      <c r="Y12" s="68"/>
      <c r="Z12" s="96"/>
      <c r="AA12" s="144"/>
      <c r="AB12" s="145"/>
      <c r="AC12" s="559"/>
      <c r="AD12" s="275" t="s">
        <v>72</v>
      </c>
      <c r="AE12" s="235">
        <f t="shared" si="1"/>
        <v>7.5992486625703783</v>
      </c>
      <c r="AF12" s="236">
        <v>7.5978399829143193</v>
      </c>
      <c r="AG12" s="61"/>
      <c r="AH12" s="109"/>
      <c r="AI12" s="110"/>
      <c r="AJ12" s="111"/>
      <c r="AK12" s="229"/>
      <c r="AL12" s="211"/>
      <c r="AM12" s="217"/>
      <c r="AN12" s="559"/>
      <c r="AO12" s="276" t="s">
        <v>72</v>
      </c>
      <c r="AP12" s="115"/>
      <c r="AQ12" s="147"/>
      <c r="AR12" s="117"/>
      <c r="AS12" s="117"/>
      <c r="AT12" s="118"/>
      <c r="AU12" s="118">
        <v>0</v>
      </c>
      <c r="AV12" s="119"/>
      <c r="AW12" s="120"/>
      <c r="AX12" s="241"/>
      <c r="AY12" s="559"/>
      <c r="AZ12" s="275" t="s">
        <v>72</v>
      </c>
      <c r="BA12" s="242">
        <v>1310898890</v>
      </c>
      <c r="BB12" s="113"/>
      <c r="BC12" s="122"/>
      <c r="BD12" s="238"/>
      <c r="BE12" s="257"/>
      <c r="BF12" s="70"/>
      <c r="BG12" s="261"/>
      <c r="BH12" s="277" t="s">
        <v>72</v>
      </c>
      <c r="BI12" s="238">
        <v>0</v>
      </c>
      <c r="BJ12" s="256"/>
      <c r="BK12" s="238"/>
      <c r="BL12" s="242"/>
      <c r="BM12" s="113"/>
      <c r="BN12" s="247">
        <v>0</v>
      </c>
      <c r="BO12" s="248"/>
      <c r="BP12" s="211"/>
      <c r="BQ12" s="249"/>
      <c r="BR12" s="278" t="s">
        <v>72</v>
      </c>
      <c r="BS12" s="250"/>
      <c r="BT12" s="229"/>
      <c r="BU12" s="229"/>
    </row>
    <row r="13" spans="1:73" ht="12.75">
      <c r="A13" s="274" t="s">
        <v>73</v>
      </c>
      <c r="B13" s="96">
        <v>82.9</v>
      </c>
      <c r="C13" s="231"/>
      <c r="D13" s="211"/>
      <c r="E13" s="211"/>
      <c r="F13" s="232"/>
      <c r="G13" s="232">
        <f>B13</f>
        <v>82.9</v>
      </c>
      <c r="H13" s="189"/>
      <c r="I13" s="33"/>
      <c r="J13" s="33"/>
      <c r="K13" s="37"/>
      <c r="L13" s="559"/>
      <c r="M13" s="275" t="s">
        <v>73</v>
      </c>
      <c r="N13" s="265">
        <f>'NUMBERS-DM'!E20</f>
        <v>6.3698502317783498E-2</v>
      </c>
      <c r="O13" s="265">
        <v>6.3700000000000007E-2</v>
      </c>
      <c r="P13" s="132">
        <f t="shared" si="0"/>
        <v>1.497682216508589E-6</v>
      </c>
      <c r="Q13" s="132">
        <f>G$13*N13</f>
        <v>5.2806058421442525</v>
      </c>
      <c r="R13" s="100">
        <v>5.28</v>
      </c>
      <c r="S13" s="133"/>
      <c r="T13" s="100"/>
      <c r="U13" s="134"/>
      <c r="V13" s="68"/>
      <c r="W13" s="68"/>
      <c r="X13" s="68"/>
      <c r="Y13" s="68"/>
      <c r="Z13" s="96"/>
      <c r="AA13" s="144"/>
      <c r="AB13" s="145"/>
      <c r="AC13" s="559"/>
      <c r="AD13" s="275" t="s">
        <v>73</v>
      </c>
      <c r="AE13" s="235">
        <f t="shared" si="1"/>
        <v>4.0282327511500542</v>
      </c>
      <c r="AF13" s="236">
        <v>4.0277705933521695</v>
      </c>
      <c r="AG13" s="61"/>
      <c r="AH13" s="109"/>
      <c r="AI13" s="110"/>
      <c r="AJ13" s="111"/>
      <c r="AK13" s="229"/>
      <c r="AL13" s="211"/>
      <c r="AM13" s="217"/>
      <c r="AN13" s="559"/>
      <c r="AO13" s="276" t="s">
        <v>73</v>
      </c>
      <c r="AP13" s="115"/>
      <c r="AQ13" s="147"/>
      <c r="AR13" s="117"/>
      <c r="AS13" s="117"/>
      <c r="AT13" s="118"/>
      <c r="AU13" s="118">
        <v>0</v>
      </c>
      <c r="AV13" s="119"/>
      <c r="AW13" s="120"/>
      <c r="AX13" s="241"/>
      <c r="AY13" s="559"/>
      <c r="AZ13" s="275" t="s">
        <v>73</v>
      </c>
      <c r="BA13" s="242">
        <v>1310898890</v>
      </c>
      <c r="BB13" s="113"/>
      <c r="BC13" s="122"/>
      <c r="BD13" s="238"/>
      <c r="BE13" s="257"/>
      <c r="BF13" s="70"/>
      <c r="BG13" s="261"/>
      <c r="BH13" s="277" t="s">
        <v>73</v>
      </c>
      <c r="BI13" s="238">
        <v>0</v>
      </c>
      <c r="BJ13" s="256"/>
      <c r="BK13" s="238"/>
      <c r="BL13" s="242"/>
      <c r="BM13" s="113"/>
      <c r="BN13" s="247">
        <v>0</v>
      </c>
      <c r="BO13" s="248"/>
      <c r="BP13" s="211"/>
      <c r="BQ13" s="262"/>
      <c r="BR13" s="229" t="s">
        <v>73</v>
      </c>
      <c r="BS13" s="250"/>
      <c r="BT13" s="229"/>
      <c r="BU13" s="229"/>
    </row>
    <row r="14" spans="1:73" ht="12.75">
      <c r="A14" s="257" t="s">
        <v>74</v>
      </c>
      <c r="B14" s="83">
        <v>440</v>
      </c>
      <c r="C14" s="279">
        <v>440</v>
      </c>
      <c r="D14" s="280">
        <v>6.2E-2</v>
      </c>
      <c r="E14" s="280">
        <v>3.0000000000000001E-3</v>
      </c>
      <c r="F14" s="281">
        <f>SUM(D14:E14)</f>
        <v>6.5000000000000002E-2</v>
      </c>
      <c r="G14" s="251">
        <f>C14*(100%-F14)</f>
        <v>411.40000000000003</v>
      </c>
      <c r="H14" s="252">
        <f>G14+G15</f>
        <v>416.70000000000005</v>
      </c>
      <c r="I14" s="33"/>
      <c r="J14" s="33"/>
      <c r="K14" s="37"/>
      <c r="L14" s="559"/>
      <c r="M14" s="282" t="s">
        <v>75</v>
      </c>
      <c r="N14" s="265">
        <f>'NUMBERS-DM'!E22</f>
        <v>0.28896979225718195</v>
      </c>
      <c r="O14" s="265">
        <v>0.28899999999999998</v>
      </c>
      <c r="P14" s="132">
        <f t="shared" si="0"/>
        <v>3.0207742818033623E-5</v>
      </c>
      <c r="Q14" s="132">
        <f>G$14*N14</f>
        <v>118.88217253460466</v>
      </c>
      <c r="R14" s="100">
        <v>127.88000000000001</v>
      </c>
      <c r="S14" s="133">
        <f>Q14+Q15</f>
        <v>119.60786720916066</v>
      </c>
      <c r="T14" s="132">
        <f>Q14+Q15</f>
        <v>119.60786720916066</v>
      </c>
      <c r="U14" s="134"/>
      <c r="V14" s="68"/>
      <c r="W14" s="68"/>
      <c r="X14" s="68"/>
      <c r="Y14" s="68"/>
      <c r="Z14" s="96"/>
      <c r="AA14" s="144"/>
      <c r="AB14" s="145"/>
      <c r="AC14" s="559"/>
      <c r="AD14" s="282" t="s">
        <v>75</v>
      </c>
      <c r="AE14" s="235">
        <f t="shared" si="1"/>
        <v>90.687522463768858</v>
      </c>
      <c r="AF14" s="236">
        <v>97.551383234446106</v>
      </c>
      <c r="AG14" s="122">
        <f>AE14+AE15</f>
        <v>91.241108007316001</v>
      </c>
      <c r="AH14" s="109">
        <v>97.551383234446106</v>
      </c>
      <c r="AI14" s="110"/>
      <c r="AJ14" s="111"/>
      <c r="AK14" s="229"/>
      <c r="AL14" s="211"/>
      <c r="AM14" s="217"/>
      <c r="AN14" s="559"/>
      <c r="AO14" s="282" t="s">
        <v>75</v>
      </c>
      <c r="AP14" s="115">
        <v>45.625</v>
      </c>
      <c r="AQ14" s="147"/>
      <c r="AR14" s="117">
        <f>AG14-AP14</f>
        <v>45.616108007316001</v>
      </c>
      <c r="AS14" s="139">
        <f>AR14/AP14</f>
        <v>0.99980510700966574</v>
      </c>
      <c r="AT14" s="118">
        <f>SQRT(AS14)*10</f>
        <v>9.9990254875646052</v>
      </c>
      <c r="AU14" s="118">
        <v>51.926383234446106</v>
      </c>
      <c r="AV14" s="119">
        <v>1.1381125092481339</v>
      </c>
      <c r="AW14" s="120"/>
      <c r="AX14" s="241"/>
      <c r="AY14" s="559"/>
      <c r="AZ14" s="211" t="s">
        <v>75</v>
      </c>
      <c r="BA14" s="242">
        <v>1310898890</v>
      </c>
      <c r="BB14" s="113">
        <f>(AP14*BA14)/1000000000</f>
        <v>59.809761856249999</v>
      </c>
      <c r="BC14" s="122"/>
      <c r="BD14" s="238">
        <f>BB14*1.3</f>
        <v>77.752690413124995</v>
      </c>
      <c r="BE14" s="257"/>
      <c r="BF14" s="70"/>
      <c r="BG14" s="261"/>
      <c r="BH14" s="211" t="s">
        <v>75</v>
      </c>
      <c r="BI14" s="238">
        <f>BB14+BB26+BB38+BB50+BB62+BB74+BB86</f>
        <v>292.75095998812503</v>
      </c>
      <c r="BJ14" s="256">
        <f>BI14/$BJ$2</f>
        <v>22.924898981059126</v>
      </c>
      <c r="BK14" s="238">
        <f>SUM(BD14+BD26+BD38+BD50+BD62+BD74+BD86)</f>
        <v>380.57624798456254</v>
      </c>
      <c r="BL14" s="242">
        <f>BK14/$BJ$2</f>
        <v>29.802368675376865</v>
      </c>
      <c r="BM14" s="113"/>
      <c r="BN14" s="247">
        <v>64.723752015437583</v>
      </c>
      <c r="BO14" s="248">
        <v>0.14709943639872178</v>
      </c>
      <c r="BP14" s="211"/>
      <c r="BQ14" s="262"/>
      <c r="BR14" s="229" t="s">
        <v>75</v>
      </c>
      <c r="BS14" s="250">
        <v>440</v>
      </c>
      <c r="BT14" s="229"/>
      <c r="BU14" s="229"/>
    </row>
    <row r="15" spans="1:73" ht="12.75">
      <c r="A15" s="224" t="s">
        <v>76</v>
      </c>
      <c r="B15" s="153">
        <v>5.3</v>
      </c>
      <c r="C15" s="231">
        <f>B15</f>
        <v>5.3</v>
      </c>
      <c r="D15" s="211"/>
      <c r="E15" s="211"/>
      <c r="F15" s="232"/>
      <c r="G15" s="232">
        <f>B15</f>
        <v>5.3</v>
      </c>
      <c r="H15" s="189"/>
      <c r="I15" s="33"/>
      <c r="J15" s="33"/>
      <c r="K15" s="37"/>
      <c r="L15" s="189"/>
      <c r="M15" s="283" t="s">
        <v>77</v>
      </c>
      <c r="N15" s="265">
        <f>'NUMBERS-DM'!E24</f>
        <v>0.13692352350113227</v>
      </c>
      <c r="O15" s="265">
        <v>0.13689999999999999</v>
      </c>
      <c r="P15" s="132">
        <f t="shared" si="0"/>
        <v>-2.3523501132272084E-5</v>
      </c>
      <c r="Q15" s="132">
        <f>G$15*N15</f>
        <v>0.72569467455600101</v>
      </c>
      <c r="R15" s="100"/>
      <c r="S15" s="101"/>
      <c r="T15" s="100"/>
      <c r="U15" s="134"/>
      <c r="V15" s="68"/>
      <c r="W15" s="68"/>
      <c r="X15" s="68"/>
      <c r="Y15" s="68"/>
      <c r="Z15" s="96"/>
      <c r="AA15" s="144"/>
      <c r="AB15" s="145"/>
      <c r="AC15" s="189"/>
      <c r="AD15" s="283" t="s">
        <v>77</v>
      </c>
      <c r="AE15" s="235">
        <f t="shared" si="1"/>
        <v>0.55358554354714651</v>
      </c>
      <c r="AF15" s="236"/>
      <c r="AG15" s="88"/>
      <c r="AH15" s="109"/>
      <c r="AI15" s="110"/>
      <c r="AJ15" s="111"/>
      <c r="AK15" s="237"/>
      <c r="AL15" s="238"/>
      <c r="AM15" s="239"/>
      <c r="AN15" s="193"/>
      <c r="AO15" s="283" t="s">
        <v>77</v>
      </c>
      <c r="AP15" s="115"/>
      <c r="AQ15" s="116"/>
      <c r="AR15" s="117"/>
      <c r="AS15" s="117"/>
      <c r="AT15" s="118"/>
      <c r="AU15" s="118"/>
      <c r="AV15" s="119"/>
      <c r="AW15" s="120"/>
      <c r="AX15" s="241"/>
      <c r="AY15" s="193"/>
      <c r="AZ15" s="230"/>
      <c r="BA15" s="242">
        <v>1310898890</v>
      </c>
      <c r="BB15" s="113"/>
      <c r="BC15" s="122"/>
      <c r="BD15" s="238"/>
      <c r="BE15" s="243"/>
      <c r="BF15" s="113"/>
      <c r="BG15" s="244"/>
      <c r="BH15" s="211"/>
      <c r="BI15" s="211"/>
      <c r="BJ15" s="256"/>
      <c r="BK15" s="211"/>
      <c r="BL15" s="242"/>
      <c r="BM15" s="70"/>
      <c r="BN15" s="211"/>
      <c r="BO15" s="211"/>
      <c r="BP15" s="211"/>
      <c r="BQ15" s="262"/>
      <c r="BR15" s="229"/>
      <c r="BS15" s="229"/>
      <c r="BT15" s="229"/>
      <c r="BU15" s="229"/>
    </row>
    <row r="16" spans="1:73" ht="12.75">
      <c r="A16" s="257"/>
      <c r="B16" s="88"/>
      <c r="C16" s="231"/>
      <c r="D16" s="211"/>
      <c r="E16" s="211"/>
      <c r="F16" s="189"/>
      <c r="G16" s="189"/>
      <c r="H16" s="189"/>
      <c r="I16" s="33"/>
      <c r="J16" s="33"/>
      <c r="K16" s="37"/>
      <c r="L16" s="189"/>
      <c r="M16" s="230"/>
      <c r="N16" s="265"/>
      <c r="O16" s="265"/>
      <c r="P16" s="100"/>
      <c r="Q16" s="100"/>
      <c r="R16" s="100"/>
      <c r="S16" s="133"/>
      <c r="T16" s="100"/>
      <c r="U16" s="134"/>
      <c r="V16" s="68"/>
      <c r="W16" s="68"/>
      <c r="X16" s="68"/>
      <c r="Y16" s="68"/>
      <c r="Z16" s="96"/>
      <c r="AA16" s="144"/>
      <c r="AB16" s="145"/>
      <c r="AC16" s="189"/>
      <c r="AD16" s="230"/>
      <c r="AE16" s="235"/>
      <c r="AF16" s="236"/>
      <c r="AG16" s="109"/>
      <c r="AH16" s="109"/>
      <c r="AI16" s="110"/>
      <c r="AJ16" s="111"/>
      <c r="AK16" s="237"/>
      <c r="AL16" s="238"/>
      <c r="AM16" s="239"/>
      <c r="AN16" s="193"/>
      <c r="AO16" s="240"/>
      <c r="AP16" s="115"/>
      <c r="AQ16" s="116"/>
      <c r="AR16" s="117"/>
      <c r="AS16" s="117"/>
      <c r="AT16" s="118"/>
      <c r="AU16" s="118"/>
      <c r="AV16" s="119"/>
      <c r="AW16" s="120"/>
      <c r="AX16" s="241"/>
      <c r="AY16" s="193"/>
      <c r="AZ16" s="230"/>
      <c r="BA16" s="242"/>
      <c r="BB16" s="113"/>
      <c r="BC16" s="122"/>
      <c r="BD16" s="238"/>
      <c r="BE16" s="243"/>
      <c r="BF16" s="113"/>
      <c r="BG16" s="244"/>
      <c r="BH16" s="269" t="s">
        <v>78</v>
      </c>
      <c r="BI16" s="238">
        <f>BM4</f>
        <v>871.92945922863146</v>
      </c>
      <c r="BJ16" s="256">
        <f>BI16/$BJ$2</f>
        <v>68.279519125186496</v>
      </c>
      <c r="BK16" s="211"/>
      <c r="BL16" s="242">
        <f>BK16/$BJ$2</f>
        <v>0</v>
      </c>
      <c r="BM16" s="70"/>
      <c r="BN16" s="211"/>
      <c r="BO16" s="211"/>
      <c r="BP16" s="211"/>
      <c r="BQ16" s="262"/>
      <c r="BR16" s="229"/>
      <c r="BS16" s="229"/>
      <c r="BT16" s="229"/>
      <c r="BU16" s="229"/>
    </row>
    <row r="17" spans="1:73" ht="12.75">
      <c r="A17" s="257"/>
      <c r="B17" s="88"/>
      <c r="C17" s="231"/>
      <c r="D17" s="211"/>
      <c r="E17" s="211"/>
      <c r="F17" s="189"/>
      <c r="G17" s="189"/>
      <c r="H17" s="189"/>
      <c r="I17" s="33"/>
      <c r="J17" s="33"/>
      <c r="K17" s="37"/>
      <c r="L17" s="565" t="s">
        <v>79</v>
      </c>
      <c r="M17" s="230" t="s">
        <v>62</v>
      </c>
      <c r="N17" s="253">
        <f>'NUMBERS-DM'!F4</f>
        <v>0.31863082923206532</v>
      </c>
      <c r="O17" s="265">
        <v>0.1789</v>
      </c>
      <c r="P17" s="132">
        <f t="shared" ref="P17:P27" si="4">O17-N17</f>
        <v>-0.13973082923206531</v>
      </c>
      <c r="Q17" s="132">
        <f>G$5*N17</f>
        <v>265.96115316000493</v>
      </c>
      <c r="R17" s="100">
        <v>149.32</v>
      </c>
      <c r="S17" s="133">
        <f>Q17</f>
        <v>265.96115316000493</v>
      </c>
      <c r="T17" s="100">
        <f>R17</f>
        <v>149.32</v>
      </c>
      <c r="U17" s="134">
        <f>SUM(S17:S27)</f>
        <v>2193.2947419351499</v>
      </c>
      <c r="V17" s="104"/>
      <c r="W17" s="104"/>
      <c r="X17" s="104">
        <f>U17/U$4</f>
        <v>0.36741928783091776</v>
      </c>
      <c r="Y17" s="68">
        <v>2634.1799999999994</v>
      </c>
      <c r="Z17" s="136">
        <f>BA17/BA$4</f>
        <v>0.32937062953879392</v>
      </c>
      <c r="AA17" s="144"/>
      <c r="AB17" s="145"/>
      <c r="AC17" s="565" t="s">
        <v>79</v>
      </c>
      <c r="AD17" s="230" t="s">
        <v>62</v>
      </c>
      <c r="AE17" s="235">
        <f t="shared" ref="AE17:AE27" si="5">SUM(Q17*1000000)/BA17*1000</f>
        <v>125.84555691055047</v>
      </c>
      <c r="AF17" s="236">
        <v>70.654147549805458</v>
      </c>
      <c r="AG17" s="122">
        <f>AE17</f>
        <v>125.84555691055047</v>
      </c>
      <c r="AH17" s="109">
        <v>70.654147549805458</v>
      </c>
      <c r="AI17" s="110">
        <f>SUM(AG17:AG27)</f>
        <v>1037.807194728761</v>
      </c>
      <c r="AJ17" s="111">
        <v>1246.4220626355916</v>
      </c>
      <c r="AK17" s="254">
        <f>AI17/20</f>
        <v>51.89035973643805</v>
      </c>
      <c r="AL17" s="238"/>
      <c r="AM17" s="239"/>
      <c r="AN17" s="566" t="s">
        <v>79</v>
      </c>
      <c r="AO17" s="240" t="s">
        <v>62</v>
      </c>
      <c r="AP17" s="115">
        <v>18.25</v>
      </c>
      <c r="AQ17" s="116">
        <v>452.96500000000003</v>
      </c>
      <c r="AR17" s="117">
        <f>AG17-AP17</f>
        <v>107.59555691055047</v>
      </c>
      <c r="AS17" s="139">
        <f>AR17/AP17</f>
        <v>5.8956469540027658</v>
      </c>
      <c r="AT17" s="118">
        <f>SQRT(AS17)*10</f>
        <v>24.280953346198672</v>
      </c>
      <c r="AU17" s="118">
        <v>52.404147549805458</v>
      </c>
      <c r="AV17" s="119">
        <v>2.8714601397153676</v>
      </c>
      <c r="AW17" s="120"/>
      <c r="AX17" s="241"/>
      <c r="AY17" s="566" t="s">
        <v>79</v>
      </c>
      <c r="AZ17" s="230" t="s">
        <v>62</v>
      </c>
      <c r="BA17" s="242">
        <v>2113393271</v>
      </c>
      <c r="BB17" s="113">
        <f>(AP17*BA17)/1000000000</f>
        <v>38.569427195750002</v>
      </c>
      <c r="BC17" s="122">
        <f>SUM(BB17:BB26)</f>
        <v>957.29318299851502</v>
      </c>
      <c r="BD17" s="238">
        <f>BB17*1.3</f>
        <v>50.140255354475002</v>
      </c>
      <c r="BE17" s="243">
        <f>SUM(BD17:BD27)</f>
        <v>1244.4811378980694</v>
      </c>
      <c r="BF17" s="113"/>
      <c r="BG17" s="244"/>
      <c r="BH17" s="211"/>
      <c r="BI17" s="211"/>
      <c r="BJ17" s="211"/>
      <c r="BK17" s="211"/>
      <c r="BL17" s="161"/>
      <c r="BM17" s="70"/>
      <c r="BN17" s="211"/>
      <c r="BO17" s="211"/>
      <c r="BP17" s="211"/>
      <c r="BQ17" s="262"/>
      <c r="BR17" s="229"/>
      <c r="BS17" s="229"/>
      <c r="BT17" s="229"/>
      <c r="BU17" s="229"/>
    </row>
    <row r="18" spans="1:73" ht="12.75">
      <c r="A18" s="224" t="s">
        <v>80</v>
      </c>
      <c r="B18" s="70"/>
      <c r="C18" s="210"/>
      <c r="E18" s="211"/>
      <c r="F18" s="189"/>
      <c r="G18" s="189"/>
      <c r="H18" s="252">
        <f>SUM(C6*D6)+(C14*D14)</f>
        <v>1120.75</v>
      </c>
      <c r="I18" s="33"/>
      <c r="J18" s="33"/>
      <c r="K18" s="37"/>
      <c r="L18" s="559"/>
      <c r="M18" s="211" t="s">
        <v>65</v>
      </c>
      <c r="N18" s="253">
        <f>'NUMBERS-DM'!F6</f>
        <v>0.39495224524316069</v>
      </c>
      <c r="O18" s="265">
        <v>0.39500000000000002</v>
      </c>
      <c r="P18" s="132">
        <f t="shared" si="4"/>
        <v>4.7754756839324397E-5</v>
      </c>
      <c r="Q18" s="132">
        <f>G$6*N18</f>
        <v>505.60206627048456</v>
      </c>
      <c r="R18" s="100">
        <v>1053.3399999999999</v>
      </c>
      <c r="S18" s="133">
        <f>Q18</f>
        <v>505.60206627048456</v>
      </c>
      <c r="T18" s="100">
        <f>R18</f>
        <v>1053.3399999999999</v>
      </c>
      <c r="U18" s="134"/>
      <c r="V18" s="68"/>
      <c r="W18" s="68"/>
      <c r="X18" s="68"/>
      <c r="Y18" s="68"/>
      <c r="Z18" s="96"/>
      <c r="AA18" s="144"/>
      <c r="AB18" s="145"/>
      <c r="AC18" s="559"/>
      <c r="AD18" s="211" t="s">
        <v>65</v>
      </c>
      <c r="AE18" s="235">
        <f t="shared" si="5"/>
        <v>239.23709477472096</v>
      </c>
      <c r="AF18" s="236">
        <v>498.41173171786818</v>
      </c>
      <c r="AG18" s="122">
        <f>AE18</f>
        <v>239.23709477472096</v>
      </c>
      <c r="AH18" s="109">
        <v>498.41173171786818</v>
      </c>
      <c r="AI18" s="110"/>
      <c r="AJ18" s="111"/>
      <c r="AK18" s="229"/>
      <c r="AL18" s="211"/>
      <c r="AM18" s="217"/>
      <c r="AN18" s="559"/>
      <c r="AO18" s="260" t="s">
        <v>65</v>
      </c>
      <c r="AP18" s="115">
        <v>84.68</v>
      </c>
      <c r="AQ18" s="147"/>
      <c r="AR18" s="117">
        <f>AG18-AP18</f>
        <v>154.55709477472095</v>
      </c>
      <c r="AS18" s="139">
        <f>AR18/AP18</f>
        <v>1.8251900658327933</v>
      </c>
      <c r="AT18" s="118">
        <f>SQRT(AS18)*10</f>
        <v>13.509959532999325</v>
      </c>
      <c r="AU18" s="118">
        <v>413.73173171786817</v>
      </c>
      <c r="AV18" s="119">
        <v>4.8858258351188963</v>
      </c>
      <c r="AW18" s="120"/>
      <c r="AX18" s="241"/>
      <c r="AY18" s="559"/>
      <c r="AZ18" s="211" t="s">
        <v>65</v>
      </c>
      <c r="BA18" s="242">
        <v>2113393271</v>
      </c>
      <c r="BB18" s="113">
        <f>(AP18*BA18)/1000000000</f>
        <v>178.96214218828004</v>
      </c>
      <c r="BC18" s="122"/>
      <c r="BD18" s="238">
        <f>BB18*1.3</f>
        <v>232.65078484476405</v>
      </c>
      <c r="BE18" s="257"/>
      <c r="BF18" s="70"/>
      <c r="BG18" s="261"/>
      <c r="BH18" s="211"/>
      <c r="BI18" s="211"/>
      <c r="BJ18" s="211"/>
      <c r="BK18" s="211"/>
      <c r="BL18" s="161"/>
      <c r="BM18" s="70"/>
      <c r="BN18" s="211"/>
      <c r="BO18" s="211"/>
      <c r="BP18" s="211"/>
      <c r="BQ18" s="262"/>
      <c r="BR18" s="229"/>
      <c r="BS18" s="229"/>
      <c r="BT18" s="229"/>
      <c r="BU18" s="229"/>
    </row>
    <row r="19" spans="1:73" ht="12.75">
      <c r="A19" s="224" t="s">
        <v>81</v>
      </c>
      <c r="B19" s="70"/>
      <c r="C19" s="231"/>
      <c r="E19" s="211"/>
      <c r="F19" s="189"/>
      <c r="G19" s="189"/>
      <c r="H19" s="252">
        <f>SUM(C6*E6)+(C14*E14)</f>
        <v>294.69</v>
      </c>
      <c r="I19" s="33"/>
      <c r="J19" s="33"/>
      <c r="K19" s="37"/>
      <c r="L19" s="559"/>
      <c r="M19" s="264" t="s">
        <v>66</v>
      </c>
      <c r="N19" s="253">
        <f>'NUMBERS-DM'!F8</f>
        <v>0.59766709560996778</v>
      </c>
      <c r="O19" s="265">
        <v>0.59770000000000001</v>
      </c>
      <c r="P19" s="132">
        <f t="shared" si="4"/>
        <v>3.2904390032229003E-5</v>
      </c>
      <c r="Q19" s="132">
        <f>G$7*N19</f>
        <v>675.36381803926361</v>
      </c>
      <c r="R19" s="100">
        <v>675.36</v>
      </c>
      <c r="S19" s="133">
        <f>Q19+Q20</f>
        <v>987.29582779347675</v>
      </c>
      <c r="T19" s="100">
        <f>R19+R20</f>
        <v>987.29</v>
      </c>
      <c r="U19" s="134"/>
      <c r="V19" s="68"/>
      <c r="W19" s="68"/>
      <c r="X19" s="68"/>
      <c r="Y19" s="68"/>
      <c r="Z19" s="96"/>
      <c r="AA19" s="144"/>
      <c r="AB19" s="145"/>
      <c r="AC19" s="559"/>
      <c r="AD19" s="264" t="s">
        <v>66</v>
      </c>
      <c r="AE19" s="235">
        <f t="shared" si="5"/>
        <v>319.56372119974617</v>
      </c>
      <c r="AF19" s="236">
        <v>319.56191460779945</v>
      </c>
      <c r="AG19" s="122">
        <f>AE19+AE20</f>
        <v>467.16143244192097</v>
      </c>
      <c r="AH19" s="109">
        <v>467.15867488914705</v>
      </c>
      <c r="AI19" s="110"/>
      <c r="AJ19" s="111"/>
      <c r="AK19" s="229"/>
      <c r="AL19" s="211"/>
      <c r="AM19" s="217"/>
      <c r="AN19" s="559"/>
      <c r="AO19" s="266" t="s">
        <v>66</v>
      </c>
      <c r="AP19" s="115">
        <v>182.5</v>
      </c>
      <c r="AQ19" s="147"/>
      <c r="AR19" s="117">
        <f>AG19-AP19</f>
        <v>284.66143244192097</v>
      </c>
      <c r="AS19" s="139">
        <f>AR19/AP19</f>
        <v>1.5597886709146354</v>
      </c>
      <c r="AT19" s="118">
        <f>SQRT(AS19)*10</f>
        <v>12.489149974736613</v>
      </c>
      <c r="AU19" s="118">
        <v>284.65867488914705</v>
      </c>
      <c r="AV19" s="119">
        <v>1.5597735610364223</v>
      </c>
      <c r="AW19" s="120"/>
      <c r="AX19" s="241"/>
      <c r="AY19" s="559"/>
      <c r="AZ19" s="264" t="s">
        <v>66</v>
      </c>
      <c r="BA19" s="242">
        <v>2113393271</v>
      </c>
      <c r="BB19" s="113">
        <f>(AP19*BA19)/1000000000</f>
        <v>385.69427195750001</v>
      </c>
      <c r="BC19" s="122"/>
      <c r="BD19" s="238">
        <f>BB19*1.3</f>
        <v>501.40255354475005</v>
      </c>
      <c r="BE19" s="257"/>
      <c r="BF19" s="70"/>
      <c r="BG19" s="261"/>
      <c r="BH19" s="211"/>
      <c r="BI19" s="211"/>
      <c r="BJ19" s="211"/>
      <c r="BK19" s="211"/>
      <c r="BL19" s="161"/>
      <c r="BM19" s="70"/>
      <c r="BN19" s="211"/>
      <c r="BO19" s="211"/>
      <c r="BP19" s="211"/>
      <c r="BQ19" s="262"/>
      <c r="BR19" s="229"/>
      <c r="BS19" s="229"/>
      <c r="BT19" s="229"/>
      <c r="BU19" s="229"/>
    </row>
    <row r="20" spans="1:73" ht="12.75">
      <c r="A20" s="211"/>
      <c r="B20" s="70"/>
      <c r="C20" s="231"/>
      <c r="D20" s="211"/>
      <c r="E20" s="211"/>
      <c r="F20" s="189"/>
      <c r="G20" s="189"/>
      <c r="H20" s="189"/>
      <c r="I20" s="33"/>
      <c r="J20" s="33"/>
      <c r="K20" s="37"/>
      <c r="L20" s="559"/>
      <c r="M20" s="264" t="s">
        <v>67</v>
      </c>
      <c r="N20" s="253">
        <f>'NUMBERS-DM'!F10</f>
        <v>0.35326388420635696</v>
      </c>
      <c r="O20" s="265">
        <v>0.3533</v>
      </c>
      <c r="P20" s="132">
        <f t="shared" si="4"/>
        <v>3.6115793643043403E-5</v>
      </c>
      <c r="Q20" s="132">
        <f>G$8*N20</f>
        <v>311.9320097542132</v>
      </c>
      <c r="R20" s="100">
        <v>311.93</v>
      </c>
      <c r="S20" s="133"/>
      <c r="T20" s="100"/>
      <c r="U20" s="134"/>
      <c r="V20" s="68"/>
      <c r="W20" s="68"/>
      <c r="X20" s="68"/>
      <c r="Y20" s="68"/>
      <c r="Z20" s="96"/>
      <c r="AA20" s="144"/>
      <c r="AB20" s="145"/>
      <c r="AC20" s="559"/>
      <c r="AD20" s="264" t="s">
        <v>67</v>
      </c>
      <c r="AE20" s="235">
        <f t="shared" si="5"/>
        <v>147.59771124217477</v>
      </c>
      <c r="AF20" s="236">
        <v>147.59676028134757</v>
      </c>
      <c r="AG20" s="61"/>
      <c r="AH20" s="109"/>
      <c r="AI20" s="110"/>
      <c r="AJ20" s="111"/>
      <c r="AK20" s="229"/>
      <c r="AL20" s="211"/>
      <c r="AM20" s="217"/>
      <c r="AN20" s="559"/>
      <c r="AO20" s="266" t="s">
        <v>67</v>
      </c>
      <c r="AP20" s="115"/>
      <c r="AQ20" s="147"/>
      <c r="AR20" s="117"/>
      <c r="AS20" s="139"/>
      <c r="AT20" s="118"/>
      <c r="AU20" s="118">
        <v>0</v>
      </c>
      <c r="AV20" s="119"/>
      <c r="AW20" s="120"/>
      <c r="AX20" s="241"/>
      <c r="AY20" s="559"/>
      <c r="AZ20" s="264" t="s">
        <v>67</v>
      </c>
      <c r="BA20" s="242">
        <v>2113393271</v>
      </c>
      <c r="BB20" s="113"/>
      <c r="BC20" s="122"/>
      <c r="BD20" s="238"/>
      <c r="BE20" s="257"/>
      <c r="BF20" s="70"/>
      <c r="BG20" s="261"/>
      <c r="BH20" s="211"/>
      <c r="BI20" s="211"/>
      <c r="BJ20" s="211"/>
      <c r="BK20" s="211"/>
      <c r="BL20" s="161"/>
      <c r="BM20" s="70"/>
      <c r="BN20" s="211"/>
      <c r="BO20" s="211"/>
      <c r="BP20" s="211"/>
      <c r="BQ20" s="262"/>
      <c r="BR20" s="229"/>
      <c r="BS20" s="229"/>
      <c r="BT20" s="229"/>
      <c r="BU20" s="229"/>
    </row>
    <row r="21" spans="1:73" ht="12.75">
      <c r="A21" s="211"/>
      <c r="B21" s="70"/>
      <c r="C21" s="231"/>
      <c r="D21" s="211"/>
      <c r="E21" s="211"/>
      <c r="F21" s="189"/>
      <c r="G21" s="189"/>
      <c r="H21" s="189"/>
      <c r="I21" s="33"/>
      <c r="J21" s="33"/>
      <c r="K21" s="37"/>
      <c r="L21" s="559"/>
      <c r="M21" s="211" t="s">
        <v>68</v>
      </c>
      <c r="N21" s="253">
        <f>'NUMBERS-DM'!F12</f>
        <v>3.1018438930037952E-2</v>
      </c>
      <c r="O21" s="265">
        <v>3.1800000000000002E-2</v>
      </c>
      <c r="P21" s="132">
        <f t="shared" si="4"/>
        <v>7.815610699620501E-4</v>
      </c>
      <c r="Q21" s="132">
        <f>G$9*N21</f>
        <v>26.086507140161917</v>
      </c>
      <c r="R21" s="100">
        <v>26.74</v>
      </c>
      <c r="S21" s="133">
        <f>Q21</f>
        <v>26.086507140161917</v>
      </c>
      <c r="T21" s="100">
        <f>R21</f>
        <v>26.74</v>
      </c>
      <c r="U21" s="134"/>
      <c r="V21" s="68"/>
      <c r="W21" s="68"/>
      <c r="X21" s="68"/>
      <c r="Y21" s="68"/>
      <c r="Z21" s="96"/>
      <c r="AA21" s="144"/>
      <c r="AB21" s="145"/>
      <c r="AC21" s="559"/>
      <c r="AD21" s="211" t="s">
        <v>68</v>
      </c>
      <c r="AE21" s="235">
        <f t="shared" si="5"/>
        <v>12.343423014599878</v>
      </c>
      <c r="AF21" s="236">
        <v>12.652637995458063</v>
      </c>
      <c r="AG21" s="122">
        <f>AE21</f>
        <v>12.343423014599878</v>
      </c>
      <c r="AH21" s="109">
        <v>12.652637995458063</v>
      </c>
      <c r="AI21" s="110"/>
      <c r="AJ21" s="111"/>
      <c r="AK21" s="229"/>
      <c r="AL21" s="211"/>
      <c r="AM21" s="217"/>
      <c r="AN21" s="559"/>
      <c r="AO21" s="260" t="s">
        <v>68</v>
      </c>
      <c r="AP21" s="115">
        <v>91.25</v>
      </c>
      <c r="AQ21" s="147"/>
      <c r="AR21" s="117">
        <f>AG21-AP21</f>
        <v>-78.906576985400122</v>
      </c>
      <c r="AS21" s="139">
        <f>AR21/AP21</f>
        <v>-0.86472961079890542</v>
      </c>
      <c r="AT21" s="118">
        <f>SQRT(-AS21)*10</f>
        <v>9.2990838839043999</v>
      </c>
      <c r="AU21" s="118">
        <v>-78.597362004541935</v>
      </c>
      <c r="AV21" s="119">
        <v>-0.86134095347443218</v>
      </c>
      <c r="AW21" s="120"/>
      <c r="AX21" s="241"/>
      <c r="AY21" s="559"/>
      <c r="AZ21" s="211" t="s">
        <v>68</v>
      </c>
      <c r="BA21" s="242">
        <v>2113393271</v>
      </c>
      <c r="BB21" s="113">
        <f>(AP21*BA21)/1000000000</f>
        <v>192.84713597875</v>
      </c>
      <c r="BC21" s="122"/>
      <c r="BD21" s="238">
        <f>BB21*1.3</f>
        <v>250.70127677237502</v>
      </c>
      <c r="BE21" s="257"/>
      <c r="BF21" s="70"/>
      <c r="BG21" s="261"/>
      <c r="BH21" s="211"/>
      <c r="BI21" s="211"/>
      <c r="BJ21" s="211"/>
      <c r="BK21" s="211"/>
      <c r="BL21" s="161"/>
      <c r="BM21" s="70"/>
      <c r="BN21" s="211"/>
      <c r="BO21" s="211"/>
      <c r="BP21" s="211"/>
      <c r="BQ21" s="262"/>
      <c r="BR21" s="229"/>
      <c r="BS21" s="229"/>
      <c r="BT21" s="229"/>
      <c r="BU21" s="229"/>
    </row>
    <row r="22" spans="1:73" ht="12.75">
      <c r="A22" s="155"/>
      <c r="B22" s="155"/>
      <c r="C22" s="284"/>
      <c r="D22" s="155"/>
      <c r="E22" s="155"/>
      <c r="F22" s="60"/>
      <c r="G22" s="60"/>
      <c r="H22" s="60"/>
      <c r="I22" s="60"/>
      <c r="J22" s="60"/>
      <c r="K22" s="37"/>
      <c r="L22" s="559"/>
      <c r="M22" s="230" t="s">
        <v>70</v>
      </c>
      <c r="N22" s="253">
        <f>'NUMBERS-DM'!F14</f>
        <v>0.43748043620583388</v>
      </c>
      <c r="O22" s="265">
        <v>0.4375</v>
      </c>
      <c r="P22" s="132">
        <f t="shared" si="4"/>
        <v>1.9563794166121973E-5</v>
      </c>
      <c r="Q22" s="132">
        <f>G$10*N22</f>
        <v>92.745852475636781</v>
      </c>
      <c r="R22" s="100">
        <v>92.75</v>
      </c>
      <c r="S22" s="133">
        <f>Q22</f>
        <v>92.745852475636781</v>
      </c>
      <c r="T22" s="100">
        <f>R22</f>
        <v>92.75</v>
      </c>
      <c r="U22" s="134"/>
      <c r="V22" s="68"/>
      <c r="W22" s="68"/>
      <c r="X22" s="68"/>
      <c r="Y22" s="68"/>
      <c r="Z22" s="96"/>
      <c r="AA22" s="144"/>
      <c r="AB22" s="145"/>
      <c r="AC22" s="559"/>
      <c r="AD22" s="230" t="s">
        <v>70</v>
      </c>
      <c r="AE22" s="235">
        <f t="shared" si="5"/>
        <v>43.884805420882209</v>
      </c>
      <c r="AF22" s="236">
        <v>43.886767916183075</v>
      </c>
      <c r="AG22" s="122">
        <f>AE22</f>
        <v>43.884805420882209</v>
      </c>
      <c r="AH22" s="109">
        <v>43.886767916183075</v>
      </c>
      <c r="AI22" s="110"/>
      <c r="AJ22" s="111"/>
      <c r="AK22" s="250"/>
      <c r="AL22" s="230"/>
      <c r="AM22" s="270"/>
      <c r="AN22" s="559"/>
      <c r="AO22" s="240" t="s">
        <v>70</v>
      </c>
      <c r="AP22" s="115">
        <v>5.1100000000000003</v>
      </c>
      <c r="AQ22" s="147"/>
      <c r="AR22" s="117">
        <f>AG22-AP22</f>
        <v>38.77480542088221</v>
      </c>
      <c r="AS22" s="139">
        <f>AR22/AP22</f>
        <v>7.5880245442039547</v>
      </c>
      <c r="AT22" s="118">
        <f>SQRT(AS22)*10</f>
        <v>27.546369169463976</v>
      </c>
      <c r="AU22" s="118">
        <v>38.776767916183076</v>
      </c>
      <c r="AV22" s="119">
        <v>7.588408594164985</v>
      </c>
      <c r="AW22" s="120"/>
      <c r="AX22" s="241"/>
      <c r="AY22" s="559"/>
      <c r="AZ22" s="230" t="s">
        <v>70</v>
      </c>
      <c r="BA22" s="242">
        <v>2113393271</v>
      </c>
      <c r="BB22" s="113">
        <f>(AP22*BA22)/1000000000</f>
        <v>10.799439614810002</v>
      </c>
      <c r="BC22" s="122"/>
      <c r="BD22" s="238">
        <f>BB22*1.3</f>
        <v>14.039271499253003</v>
      </c>
      <c r="BE22" s="201"/>
      <c r="BF22" s="88"/>
      <c r="BG22" s="271"/>
      <c r="BH22" s="230"/>
      <c r="BI22" s="230"/>
      <c r="BJ22" s="230"/>
      <c r="BK22" s="230"/>
      <c r="BL22" s="100"/>
      <c r="BM22" s="88"/>
      <c r="BN22" s="230"/>
      <c r="BO22" s="230"/>
      <c r="BP22" s="230"/>
      <c r="BQ22" s="227"/>
      <c r="BR22" s="228" t="s">
        <v>82</v>
      </c>
      <c r="BS22" s="250"/>
      <c r="BT22" s="250"/>
      <c r="BU22" s="250"/>
    </row>
    <row r="23" spans="1:73" ht="15">
      <c r="A23" s="285" t="s">
        <v>107</v>
      </c>
      <c r="B23" s="286"/>
      <c r="C23" s="286"/>
      <c r="D23" s="230"/>
      <c r="E23" s="230"/>
      <c r="F23" s="189"/>
      <c r="G23" s="189"/>
      <c r="H23" s="189"/>
      <c r="I23" s="33"/>
      <c r="J23" s="33"/>
      <c r="K23" s="37"/>
      <c r="L23" s="559"/>
      <c r="M23" s="275" t="s">
        <v>71</v>
      </c>
      <c r="N23" s="253">
        <f>'NUMBERS-DM'!F16</f>
        <v>0.29148287940845347</v>
      </c>
      <c r="O23" s="265">
        <v>0.29149999999999998</v>
      </c>
      <c r="P23" s="132">
        <f t="shared" si="4"/>
        <v>1.7120591546515573E-5</v>
      </c>
      <c r="Q23" s="132">
        <f>G$11*N23</f>
        <v>39.058705840732763</v>
      </c>
      <c r="R23" s="100">
        <v>39.06</v>
      </c>
      <c r="S23" s="133">
        <f>Q23+Q25+Q24</f>
        <v>182.05431489092712</v>
      </c>
      <c r="T23" s="100">
        <f>R23+R24+R25</f>
        <v>182.06</v>
      </c>
      <c r="U23" s="134"/>
      <c r="V23" s="68"/>
      <c r="W23" s="68"/>
      <c r="X23" s="68"/>
      <c r="Y23" s="68"/>
      <c r="Z23" s="96"/>
      <c r="AA23" s="144"/>
      <c r="AB23" s="145"/>
      <c r="AC23" s="559"/>
      <c r="AD23" s="275" t="s">
        <v>71</v>
      </c>
      <c r="AE23" s="235">
        <f t="shared" si="5"/>
        <v>18.48151329745232</v>
      </c>
      <c r="AF23" s="236">
        <v>18.482125658286911</v>
      </c>
      <c r="AG23" s="122">
        <f>AE23+AE25+AE24</f>
        <v>86.143131706283896</v>
      </c>
      <c r="AH23" s="109">
        <v>86.145821744693166</v>
      </c>
      <c r="AI23" s="110"/>
      <c r="AJ23" s="111"/>
      <c r="AK23" s="229"/>
      <c r="AL23" s="211"/>
      <c r="AM23" s="217"/>
      <c r="AN23" s="559"/>
      <c r="AO23" s="276" t="s">
        <v>71</v>
      </c>
      <c r="AP23" s="115">
        <v>25.55</v>
      </c>
      <c r="AQ23" s="147"/>
      <c r="AR23" s="117">
        <f>AG23-AP23</f>
        <v>60.593131706283899</v>
      </c>
      <c r="AS23" s="139">
        <f>AR23/AP23</f>
        <v>2.3715511431030878</v>
      </c>
      <c r="AT23" s="118">
        <f>SQRT(AS23)*10</f>
        <v>15.399841372894358</v>
      </c>
      <c r="AU23" s="118">
        <v>60.595821744693168</v>
      </c>
      <c r="AV23" s="119">
        <v>2.3716564283637247</v>
      </c>
      <c r="AW23" s="120"/>
      <c r="AX23" s="241"/>
      <c r="AY23" s="559"/>
      <c r="AZ23" s="275" t="s">
        <v>71</v>
      </c>
      <c r="BA23" s="242">
        <v>2113393271</v>
      </c>
      <c r="BB23" s="113">
        <f>(AP23*BA23)/1000000000</f>
        <v>53.997198074050004</v>
      </c>
      <c r="BC23" s="122"/>
      <c r="BD23" s="238">
        <f>BB23*1.3</f>
        <v>70.196357496265009</v>
      </c>
      <c r="BE23" s="257"/>
      <c r="BF23" s="70"/>
      <c r="BG23" s="261"/>
      <c r="BH23" s="211"/>
      <c r="BI23" s="211"/>
      <c r="BJ23" s="211"/>
      <c r="BK23" s="211"/>
      <c r="BL23" s="161"/>
      <c r="BM23" s="70"/>
      <c r="BN23" s="211"/>
      <c r="BO23" s="211"/>
      <c r="BP23" s="211"/>
      <c r="BQ23" s="262"/>
      <c r="BR23" s="229" t="s">
        <v>83</v>
      </c>
      <c r="BS23" s="229" t="s">
        <v>84</v>
      </c>
      <c r="BT23" s="229" t="s">
        <v>85</v>
      </c>
      <c r="BU23" s="229" t="s">
        <v>86</v>
      </c>
    </row>
    <row r="24" spans="1:73" ht="12.75">
      <c r="A24" s="287" t="s">
        <v>108</v>
      </c>
      <c r="B24" s="287" t="s">
        <v>109</v>
      </c>
      <c r="C24" s="287" t="s">
        <v>110</v>
      </c>
      <c r="D24" s="287" t="s">
        <v>111</v>
      </c>
      <c r="E24" s="224" t="s">
        <v>112</v>
      </c>
      <c r="F24" s="213" t="s">
        <v>113</v>
      </c>
      <c r="H24" s="191" t="s">
        <v>22</v>
      </c>
      <c r="I24" s="33"/>
      <c r="J24" s="33"/>
      <c r="K24" s="37"/>
      <c r="L24" s="559"/>
      <c r="M24" s="275" t="s">
        <v>72</v>
      </c>
      <c r="N24" s="253">
        <f>'NUMBERS-DM'!F18</f>
        <v>0.62658209596947734</v>
      </c>
      <c r="O24" s="265">
        <v>0.62660000000000005</v>
      </c>
      <c r="P24" s="132">
        <f t="shared" si="4"/>
        <v>1.7904030522708503E-5</v>
      </c>
      <c r="Q24" s="132">
        <f>G$12*N24</f>
        <v>97.120224875268988</v>
      </c>
      <c r="R24" s="100">
        <v>97.12</v>
      </c>
      <c r="S24" s="133"/>
      <c r="T24" s="100"/>
      <c r="U24" s="134"/>
      <c r="V24" s="68"/>
      <c r="W24" s="68"/>
      <c r="X24" s="68"/>
      <c r="Y24" s="68"/>
      <c r="Z24" s="96"/>
      <c r="AA24" s="144"/>
      <c r="AB24" s="145"/>
      <c r="AC24" s="559"/>
      <c r="AD24" s="275" t="s">
        <v>72</v>
      </c>
      <c r="AE24" s="235">
        <f t="shared" si="5"/>
        <v>45.954639019605821</v>
      </c>
      <c r="AF24" s="236">
        <v>45.954532614767658</v>
      </c>
      <c r="AG24" s="61"/>
      <c r="AH24" s="109"/>
      <c r="AI24" s="110"/>
      <c r="AJ24" s="111"/>
      <c r="AK24" s="229"/>
      <c r="AL24" s="211"/>
      <c r="AM24" s="217"/>
      <c r="AN24" s="559"/>
      <c r="AO24" s="276" t="s">
        <v>72</v>
      </c>
      <c r="AP24" s="115"/>
      <c r="AQ24" s="147"/>
      <c r="AR24" s="117"/>
      <c r="AS24" s="117"/>
      <c r="AT24" s="118"/>
      <c r="AU24" s="118">
        <v>0</v>
      </c>
      <c r="AV24" s="119"/>
      <c r="AW24" s="120"/>
      <c r="AX24" s="241"/>
      <c r="AY24" s="559"/>
      <c r="AZ24" s="275" t="s">
        <v>72</v>
      </c>
      <c r="BA24" s="242">
        <v>2113393271</v>
      </c>
      <c r="BB24" s="113"/>
      <c r="BC24" s="122"/>
      <c r="BD24" s="238"/>
      <c r="BE24" s="257"/>
      <c r="BF24" s="70"/>
      <c r="BG24" s="261"/>
      <c r="BH24" s="211"/>
      <c r="BI24" s="211"/>
      <c r="BJ24" s="211"/>
      <c r="BK24" s="211"/>
      <c r="BL24" s="161"/>
      <c r="BM24" s="70"/>
      <c r="BN24" s="211"/>
      <c r="BO24" s="211"/>
      <c r="BP24" s="211"/>
      <c r="BQ24" s="262"/>
      <c r="BR24" s="229" t="s">
        <v>87</v>
      </c>
      <c r="BS24" s="288">
        <v>50</v>
      </c>
      <c r="BT24" s="288">
        <v>18250</v>
      </c>
      <c r="BU24" s="289">
        <v>18.25</v>
      </c>
    </row>
    <row r="25" spans="1:73" ht="12.75">
      <c r="A25" s="222" t="s">
        <v>114</v>
      </c>
      <c r="B25" s="222" t="s">
        <v>115</v>
      </c>
      <c r="C25" s="290">
        <f>S29</f>
        <v>201.24549326079836</v>
      </c>
      <c r="D25" s="222">
        <v>0</v>
      </c>
      <c r="E25" s="222">
        <v>2</v>
      </c>
      <c r="F25" s="213">
        <v>29</v>
      </c>
      <c r="G25" s="189"/>
      <c r="H25" s="191" t="s">
        <v>115</v>
      </c>
      <c r="I25" s="291">
        <f t="shared" ref="I25:I31" si="6">C25+C32+C39+C46+C53+C60+C67</f>
        <v>504.26084161100368</v>
      </c>
      <c r="J25" s="33"/>
      <c r="K25" s="37"/>
      <c r="L25" s="559"/>
      <c r="M25" s="275" t="s">
        <v>73</v>
      </c>
      <c r="N25" s="253">
        <f>'NUMBERS-DM'!F20</f>
        <v>0.55338219752624096</v>
      </c>
      <c r="O25" s="265">
        <v>0.5534</v>
      </c>
      <c r="P25" s="132">
        <f t="shared" si="4"/>
        <v>1.7802473759043203E-5</v>
      </c>
      <c r="Q25" s="132">
        <f>G$13*N25</f>
        <v>45.875384174925379</v>
      </c>
      <c r="R25" s="100">
        <v>45.88</v>
      </c>
      <c r="S25" s="133"/>
      <c r="T25" s="100"/>
      <c r="U25" s="134"/>
      <c r="V25" s="68"/>
      <c r="W25" s="68"/>
      <c r="X25" s="68"/>
      <c r="Y25" s="68"/>
      <c r="Z25" s="96"/>
      <c r="AA25" s="144"/>
      <c r="AB25" s="145"/>
      <c r="AC25" s="559"/>
      <c r="AD25" s="275" t="s">
        <v>73</v>
      </c>
      <c r="AE25" s="235">
        <f t="shared" si="5"/>
        <v>21.706979389225747</v>
      </c>
      <c r="AF25" s="236">
        <v>21.709163471638593</v>
      </c>
      <c r="AG25" s="61"/>
      <c r="AH25" s="109"/>
      <c r="AI25" s="110"/>
      <c r="AJ25" s="111"/>
      <c r="AK25" s="229"/>
      <c r="AL25" s="211"/>
      <c r="AM25" s="217"/>
      <c r="AN25" s="559"/>
      <c r="AO25" s="276" t="s">
        <v>73</v>
      </c>
      <c r="AP25" s="115"/>
      <c r="AQ25" s="147"/>
      <c r="AR25" s="117"/>
      <c r="AS25" s="117"/>
      <c r="AT25" s="118"/>
      <c r="AU25" s="118">
        <v>0</v>
      </c>
      <c r="AV25" s="119"/>
      <c r="AW25" s="120"/>
      <c r="AX25" s="241"/>
      <c r="AY25" s="559"/>
      <c r="AZ25" s="275" t="s">
        <v>73</v>
      </c>
      <c r="BA25" s="242">
        <v>2113393271</v>
      </c>
      <c r="BB25" s="113"/>
      <c r="BC25" s="122"/>
      <c r="BD25" s="238"/>
      <c r="BE25" s="257"/>
      <c r="BF25" s="70"/>
      <c r="BG25" s="261"/>
      <c r="BH25" s="211"/>
      <c r="BI25" s="211"/>
      <c r="BJ25" s="211"/>
      <c r="BK25" s="211"/>
      <c r="BL25" s="161"/>
      <c r="BM25" s="70"/>
      <c r="BN25" s="211"/>
      <c r="BO25" s="211"/>
      <c r="BP25" s="211"/>
      <c r="BQ25" s="262"/>
      <c r="BR25" s="229" t="s">
        <v>88</v>
      </c>
      <c r="BS25" s="288">
        <v>232</v>
      </c>
      <c r="BT25" s="288">
        <v>84680</v>
      </c>
      <c r="BU25" s="289">
        <v>84.68</v>
      </c>
    </row>
    <row r="26" spans="1:73" ht="12.75">
      <c r="A26" s="222" t="s">
        <v>114</v>
      </c>
      <c r="B26" s="222" t="s">
        <v>95</v>
      </c>
      <c r="C26" s="290">
        <f>S41</f>
        <v>29.023102965181295</v>
      </c>
      <c r="D26" s="222">
        <v>0</v>
      </c>
      <c r="E26" s="222">
        <v>2</v>
      </c>
      <c r="F26" s="215">
        <v>41</v>
      </c>
      <c r="G26" s="189"/>
      <c r="H26" s="191" t="s">
        <v>95</v>
      </c>
      <c r="I26" s="291">
        <f t="shared" si="6"/>
        <v>320.36261819566573</v>
      </c>
      <c r="J26" s="33"/>
      <c r="K26" s="37"/>
      <c r="L26" s="559"/>
      <c r="M26" s="282" t="s">
        <v>75</v>
      </c>
      <c r="N26" s="253">
        <f>'NUMBERS-DM'!F22</f>
        <v>0.31926586536202933</v>
      </c>
      <c r="O26" s="265">
        <v>0.31929999999999997</v>
      </c>
      <c r="P26" s="132">
        <f t="shared" si="4"/>
        <v>3.4134637970639758E-5</v>
      </c>
      <c r="Q26" s="132">
        <f>G$14*N26</f>
        <v>131.34597700993888</v>
      </c>
      <c r="R26" s="100">
        <v>142.67999999999998</v>
      </c>
      <c r="S26" s="133">
        <f>Q26+Q27</f>
        <v>133.54902020445786</v>
      </c>
      <c r="T26" s="100">
        <f>R26</f>
        <v>142.67999999999998</v>
      </c>
      <c r="U26" s="134"/>
      <c r="V26" s="68"/>
      <c r="W26" s="68"/>
      <c r="X26" s="68"/>
      <c r="Y26" s="68"/>
      <c r="Z26" s="96"/>
      <c r="AA26" s="144"/>
      <c r="AB26" s="145"/>
      <c r="AC26" s="559"/>
      <c r="AD26" s="282" t="s">
        <v>75</v>
      </c>
      <c r="AE26" s="235">
        <f t="shared" si="5"/>
        <v>62.149330563444799</v>
      </c>
      <c r="AF26" s="236">
        <v>67.512280822436651</v>
      </c>
      <c r="AG26" s="122">
        <f>AE26+AE27</f>
        <v>63.191750459802549</v>
      </c>
      <c r="AH26" s="109">
        <v>67.512280822436651</v>
      </c>
      <c r="AI26" s="110"/>
      <c r="AJ26" s="111"/>
      <c r="AK26" s="229"/>
      <c r="AL26" s="211"/>
      <c r="AM26" s="217"/>
      <c r="AN26" s="559"/>
      <c r="AO26" s="282" t="s">
        <v>75</v>
      </c>
      <c r="AP26" s="115">
        <v>45.625</v>
      </c>
      <c r="AQ26" s="147"/>
      <c r="AR26" s="117">
        <f>AG26-AP26</f>
        <v>17.566750459802549</v>
      </c>
      <c r="AS26" s="139">
        <f>AR26/AP26</f>
        <v>0.38502466761211068</v>
      </c>
      <c r="AT26" s="118">
        <f>SQRT(AS26)*10</f>
        <v>6.2050355970945947</v>
      </c>
      <c r="AU26" s="118">
        <v>21.887280822436651</v>
      </c>
      <c r="AV26" s="119">
        <v>0.47972122350546081</v>
      </c>
      <c r="AW26" s="120"/>
      <c r="AX26" s="241"/>
      <c r="AY26" s="559"/>
      <c r="AZ26" s="211" t="s">
        <v>75</v>
      </c>
      <c r="BA26" s="242">
        <v>2113393271</v>
      </c>
      <c r="BB26" s="113">
        <f>(AP26*BA26)/1000000000</f>
        <v>96.423567989375002</v>
      </c>
      <c r="BC26" s="122"/>
      <c r="BD26" s="238">
        <f>BB26*1.3</f>
        <v>125.35063838618751</v>
      </c>
      <c r="BE26" s="257"/>
      <c r="BF26" s="70"/>
      <c r="BG26" s="261"/>
      <c r="BH26" s="211"/>
      <c r="BI26" s="211"/>
      <c r="BJ26" s="211"/>
      <c r="BK26" s="211"/>
      <c r="BL26" s="161"/>
      <c r="BM26" s="70"/>
      <c r="BN26" s="211"/>
      <c r="BO26" s="211"/>
      <c r="BP26" s="211"/>
      <c r="BQ26" s="262"/>
      <c r="BR26" s="229" t="s">
        <v>89</v>
      </c>
      <c r="BS26" s="288">
        <v>500</v>
      </c>
      <c r="BT26" s="288">
        <v>182500</v>
      </c>
      <c r="BU26" s="289">
        <v>182.5</v>
      </c>
    </row>
    <row r="27" spans="1:73" ht="12.75">
      <c r="A27" s="222" t="s">
        <v>114</v>
      </c>
      <c r="B27" s="222" t="s">
        <v>116</v>
      </c>
      <c r="C27" s="290">
        <f>S5</f>
        <v>85.974179449160786</v>
      </c>
      <c r="D27" s="222">
        <v>0</v>
      </c>
      <c r="E27" s="222">
        <v>2</v>
      </c>
      <c r="F27" s="215">
        <v>5</v>
      </c>
      <c r="G27" s="189"/>
      <c r="H27" s="191" t="s">
        <v>116</v>
      </c>
      <c r="I27" s="291">
        <f t="shared" si="6"/>
        <v>860.29622224453556</v>
      </c>
      <c r="J27" s="33"/>
      <c r="K27" s="37"/>
      <c r="L27" s="189"/>
      <c r="M27" s="283" t="s">
        <v>77</v>
      </c>
      <c r="N27" s="253">
        <f>'NUMBERS-DM'!F24</f>
        <v>0.4156685272677344</v>
      </c>
      <c r="O27" s="265">
        <v>0.41570000000000001</v>
      </c>
      <c r="P27" s="132">
        <f t="shared" si="4"/>
        <v>3.1472732265613867E-5</v>
      </c>
      <c r="Q27" s="132">
        <f>G$15*N27</f>
        <v>2.2030431945189921</v>
      </c>
      <c r="R27" s="100"/>
      <c r="S27" s="101"/>
      <c r="T27" s="100"/>
      <c r="U27" s="134"/>
      <c r="V27" s="68"/>
      <c r="W27" s="68"/>
      <c r="X27" s="68"/>
      <c r="Y27" s="68"/>
      <c r="Z27" s="96"/>
      <c r="AA27" s="144"/>
      <c r="AB27" s="145"/>
      <c r="AC27" s="189"/>
      <c r="AD27" s="283" t="s">
        <v>77</v>
      </c>
      <c r="AE27" s="235">
        <f t="shared" si="5"/>
        <v>1.0424198963577527</v>
      </c>
      <c r="AF27" s="236"/>
      <c r="AG27" s="109"/>
      <c r="AH27" s="109"/>
      <c r="AI27" s="110"/>
      <c r="AJ27" s="111"/>
      <c r="AK27" s="237"/>
      <c r="AL27" s="238"/>
      <c r="AM27" s="239"/>
      <c r="AN27" s="193"/>
      <c r="AO27" s="283" t="s">
        <v>77</v>
      </c>
      <c r="AP27" s="115"/>
      <c r="AQ27" s="116"/>
      <c r="AR27" s="117"/>
      <c r="AS27" s="117"/>
      <c r="AT27" s="118"/>
      <c r="AU27" s="118"/>
      <c r="AV27" s="119"/>
      <c r="AW27" s="120"/>
      <c r="AX27" s="241"/>
      <c r="AY27" s="193"/>
      <c r="AZ27" s="230"/>
      <c r="BA27" s="242">
        <v>2113393271</v>
      </c>
      <c r="BB27" s="113"/>
      <c r="BC27" s="122"/>
      <c r="BD27" s="238"/>
      <c r="BE27" s="243"/>
      <c r="BF27" s="113"/>
      <c r="BG27" s="244"/>
      <c r="BH27" s="211"/>
      <c r="BI27" s="211"/>
      <c r="BJ27" s="211"/>
      <c r="BK27" s="211"/>
      <c r="BL27" s="161"/>
      <c r="BM27" s="70"/>
      <c r="BN27" s="211"/>
      <c r="BO27" s="211"/>
      <c r="BP27" s="211"/>
      <c r="BQ27" s="262"/>
      <c r="BR27" s="229"/>
      <c r="BS27" s="229"/>
      <c r="BT27" s="229"/>
      <c r="BU27" s="229"/>
    </row>
    <row r="28" spans="1:73" ht="12.75">
      <c r="A28" s="222" t="s">
        <v>114</v>
      </c>
      <c r="B28" s="222" t="s">
        <v>103</v>
      </c>
      <c r="C28" s="290">
        <f>S53</f>
        <v>152.05174080854863</v>
      </c>
      <c r="D28" s="222">
        <v>0</v>
      </c>
      <c r="E28" s="222">
        <v>2</v>
      </c>
      <c r="F28" s="215">
        <v>53</v>
      </c>
      <c r="G28" s="189"/>
      <c r="H28" s="191" t="s">
        <v>103</v>
      </c>
      <c r="I28" s="291">
        <f t="shared" si="6"/>
        <v>1169.389354109549</v>
      </c>
      <c r="J28" s="33"/>
      <c r="K28" s="37"/>
      <c r="L28" s="189"/>
      <c r="M28" s="230"/>
      <c r="N28" s="100"/>
      <c r="O28" s="100"/>
      <c r="P28" s="100"/>
      <c r="Q28" s="100"/>
      <c r="R28" s="100"/>
      <c r="S28" s="133"/>
      <c r="T28" s="100"/>
      <c r="U28" s="134"/>
      <c r="V28" s="68"/>
      <c r="W28" s="68"/>
      <c r="X28" s="68"/>
      <c r="Y28" s="68"/>
      <c r="Z28" s="96"/>
      <c r="AA28" s="144"/>
      <c r="AB28" s="145"/>
      <c r="AC28" s="189"/>
      <c r="AD28" s="230"/>
      <c r="AE28" s="235"/>
      <c r="AF28" s="236"/>
      <c r="AG28" s="109"/>
      <c r="AH28" s="109"/>
      <c r="AI28" s="110"/>
      <c r="AJ28" s="111"/>
      <c r="AK28" s="237"/>
      <c r="AL28" s="238"/>
      <c r="AM28" s="239"/>
      <c r="AN28" s="193"/>
      <c r="AO28" s="240"/>
      <c r="AP28" s="115"/>
      <c r="AQ28" s="116"/>
      <c r="AR28" s="117"/>
      <c r="AS28" s="117"/>
      <c r="AT28" s="118"/>
      <c r="AU28" s="118"/>
      <c r="AV28" s="119"/>
      <c r="AW28" s="120"/>
      <c r="AX28" s="241"/>
      <c r="AY28" s="193"/>
      <c r="AZ28" s="230"/>
      <c r="BA28" s="242"/>
      <c r="BB28" s="113"/>
      <c r="BC28" s="122"/>
      <c r="BD28" s="238"/>
      <c r="BE28" s="243"/>
      <c r="BF28" s="113"/>
      <c r="BG28" s="244"/>
      <c r="BH28" s="211"/>
      <c r="BI28" s="211"/>
      <c r="BJ28" s="211"/>
      <c r="BK28" s="211"/>
      <c r="BL28" s="161"/>
      <c r="BM28" s="70"/>
      <c r="BN28" s="211"/>
      <c r="BO28" s="211"/>
      <c r="BP28" s="211"/>
      <c r="BQ28" s="262"/>
      <c r="BR28" s="229"/>
      <c r="BS28" s="229"/>
      <c r="BT28" s="229"/>
      <c r="BU28" s="229"/>
    </row>
    <row r="29" spans="1:73" ht="12.75">
      <c r="A29" s="222" t="s">
        <v>114</v>
      </c>
      <c r="B29" s="222" t="s">
        <v>117</v>
      </c>
      <c r="C29" s="290">
        <f>S77</f>
        <v>42.274421402734397</v>
      </c>
      <c r="D29" s="222">
        <v>0</v>
      </c>
      <c r="E29" s="222">
        <v>2</v>
      </c>
      <c r="F29" s="215">
        <v>77</v>
      </c>
      <c r="G29" s="189"/>
      <c r="H29" s="191" t="s">
        <v>118</v>
      </c>
      <c r="I29" s="291">
        <f t="shared" si="6"/>
        <v>398.90068832623319</v>
      </c>
      <c r="J29" s="33"/>
      <c r="K29" s="37"/>
      <c r="L29" s="565" t="s">
        <v>90</v>
      </c>
      <c r="M29" s="230" t="s">
        <v>62</v>
      </c>
      <c r="N29" s="265">
        <f>'NUMBERS-DM'!G4</f>
        <v>0.24109918924260015</v>
      </c>
      <c r="O29" s="265">
        <v>0.13539999999999999</v>
      </c>
      <c r="P29" s="132">
        <f t="shared" ref="P29:P39" si="7">O29-N29</f>
        <v>-0.10569918924260016</v>
      </c>
      <c r="Q29" s="132">
        <f>G$5*N29</f>
        <v>201.24549326079836</v>
      </c>
      <c r="R29" s="100">
        <v>112.99</v>
      </c>
      <c r="S29" s="133">
        <f>Q29</f>
        <v>201.24549326079836</v>
      </c>
      <c r="T29" s="100">
        <f>R29</f>
        <v>112.99</v>
      </c>
      <c r="U29" s="134">
        <f>SUM(S29:S39)</f>
        <v>504.26084161100374</v>
      </c>
      <c r="V29" s="104"/>
      <c r="W29" s="104"/>
      <c r="X29" s="104">
        <f>U29/U$4</f>
        <v>8.4473443428887005E-2</v>
      </c>
      <c r="Y29" s="68">
        <v>524.33000000000004</v>
      </c>
      <c r="Z29" s="136">
        <f>BA29/BA$4</f>
        <v>0.10033304789569761</v>
      </c>
      <c r="AA29" s="144"/>
      <c r="AB29" s="145"/>
      <c r="AC29" s="565" t="s">
        <v>90</v>
      </c>
      <c r="AD29" s="230" t="s">
        <v>62</v>
      </c>
      <c r="AE29" s="235">
        <f t="shared" ref="AE29:AE39" si="8">SUM(Q29*1000000)/BA29*1000</f>
        <v>312.59836896575541</v>
      </c>
      <c r="AF29" s="236">
        <v>175.50946924147075</v>
      </c>
      <c r="AG29" s="122">
        <f>AE29</f>
        <v>312.59836896575541</v>
      </c>
      <c r="AH29" s="109">
        <v>175.50946924147075</v>
      </c>
      <c r="AI29" s="110">
        <f>SUM(AG29:AG39)</f>
        <v>783.27774732635305</v>
      </c>
      <c r="AJ29" s="111">
        <v>814.45154444977754</v>
      </c>
      <c r="AK29" s="254">
        <f>AI29/20</f>
        <v>39.163887366317653</v>
      </c>
      <c r="AL29" s="238"/>
      <c r="AM29" s="239"/>
      <c r="AN29" s="566" t="s">
        <v>90</v>
      </c>
      <c r="AO29" s="240" t="s">
        <v>62</v>
      </c>
      <c r="AP29" s="115">
        <v>18.25</v>
      </c>
      <c r="AQ29" s="116">
        <v>452.96500000000003</v>
      </c>
      <c r="AR29" s="117">
        <f>AG29-AP29</f>
        <v>294.34836896575541</v>
      </c>
      <c r="AS29" s="139">
        <f>AR29/AP29</f>
        <v>16.128677751548242</v>
      </c>
      <c r="AT29" s="118">
        <f>SQRT(AS29)*10</f>
        <v>40.160525085646277</v>
      </c>
      <c r="AU29" s="118">
        <v>157.25946924147075</v>
      </c>
      <c r="AV29" s="119">
        <v>8.6169572187107271</v>
      </c>
      <c r="AW29" s="120"/>
      <c r="AX29" s="241"/>
      <c r="AY29" s="566" t="s">
        <v>90</v>
      </c>
      <c r="AZ29" s="230" t="s">
        <v>62</v>
      </c>
      <c r="BA29" s="242">
        <v>643782928</v>
      </c>
      <c r="BB29" s="113">
        <f>(AP29*BA29)/1000000000</f>
        <v>11.749038435999999</v>
      </c>
      <c r="BC29" s="122">
        <f>SUM(BB29:BB38)</f>
        <v>291.61113398152003</v>
      </c>
      <c r="BD29" s="238">
        <f>BB29*1.3</f>
        <v>15.273749966799999</v>
      </c>
      <c r="BE29" s="243">
        <f>SUM(BD29:BD39)</f>
        <v>379.09447417597602</v>
      </c>
      <c r="BF29" s="113"/>
      <c r="BG29" s="244"/>
      <c r="BH29" s="211"/>
      <c r="BI29" s="211"/>
      <c r="BJ29" s="211"/>
      <c r="BK29" s="211"/>
      <c r="BL29" s="161"/>
      <c r="BM29" s="70"/>
      <c r="BN29" s="211"/>
      <c r="BO29" s="211"/>
      <c r="BP29" s="211"/>
      <c r="BQ29" s="262"/>
      <c r="BR29" s="229"/>
      <c r="BS29" s="229"/>
      <c r="BT29" s="229"/>
      <c r="BU29" s="229"/>
    </row>
    <row r="30" spans="1:73" ht="12.75">
      <c r="A30" s="222" t="s">
        <v>114</v>
      </c>
      <c r="B30" s="222" t="s">
        <v>119</v>
      </c>
      <c r="C30" s="290">
        <f>S17</f>
        <v>265.96115316000493</v>
      </c>
      <c r="D30" s="222">
        <v>0</v>
      </c>
      <c r="E30" s="222">
        <v>2</v>
      </c>
      <c r="F30" s="215">
        <v>17</v>
      </c>
      <c r="G30" s="189"/>
      <c r="H30" s="191" t="s">
        <v>120</v>
      </c>
      <c r="I30" s="291">
        <f t="shared" si="6"/>
        <v>2193.2947419351499</v>
      </c>
      <c r="J30" s="33"/>
      <c r="K30" s="37"/>
      <c r="L30" s="559"/>
      <c r="M30" s="211" t="s">
        <v>65</v>
      </c>
      <c r="N30" s="265">
        <f>'NUMBERS-DM'!G6</f>
        <v>7.4628524236824728E-2</v>
      </c>
      <c r="O30" s="265">
        <v>7.46E-2</v>
      </c>
      <c r="P30" s="132">
        <f t="shared" si="7"/>
        <v>-2.8524236824728488E-5</v>
      </c>
      <c r="Q30" s="132">
        <f>G$6*N30</f>
        <v>95.536451587013531</v>
      </c>
      <c r="R30" s="100">
        <v>199.03</v>
      </c>
      <c r="S30" s="133">
        <f>Q30</f>
        <v>95.536451587013531</v>
      </c>
      <c r="T30" s="100">
        <f>R30</f>
        <v>199.03</v>
      </c>
      <c r="U30" s="134"/>
      <c r="V30" s="68"/>
      <c r="W30" s="68"/>
      <c r="X30" s="68"/>
      <c r="Y30" s="68"/>
      <c r="Z30" s="96"/>
      <c r="AA30" s="144"/>
      <c r="AB30" s="145"/>
      <c r="AC30" s="559"/>
      <c r="AD30" s="211" t="s">
        <v>65</v>
      </c>
      <c r="AE30" s="235">
        <f t="shared" si="8"/>
        <v>148.39854775865311</v>
      </c>
      <c r="AF30" s="236">
        <v>309.15700206327932</v>
      </c>
      <c r="AG30" s="122">
        <f>AE30</f>
        <v>148.39854775865311</v>
      </c>
      <c r="AH30" s="109">
        <v>309.15700206327932</v>
      </c>
      <c r="AI30" s="110"/>
      <c r="AJ30" s="111"/>
      <c r="AK30" s="229"/>
      <c r="AL30" s="211"/>
      <c r="AM30" s="217"/>
      <c r="AN30" s="559"/>
      <c r="AO30" s="260" t="s">
        <v>65</v>
      </c>
      <c r="AP30" s="115">
        <v>84.68</v>
      </c>
      <c r="AQ30" s="147"/>
      <c r="AR30" s="117">
        <f>AG30-AP30</f>
        <v>63.718547758653102</v>
      </c>
      <c r="AS30" s="139">
        <f>AR30/AP30</f>
        <v>0.7524627746652468</v>
      </c>
      <c r="AT30" s="118">
        <f>SQRT(AS30)*10</f>
        <v>8.6744612205326437</v>
      </c>
      <c r="AU30" s="118">
        <v>224.47700206327931</v>
      </c>
      <c r="AV30" s="119">
        <v>2.650885711658943</v>
      </c>
      <c r="AW30" s="120"/>
      <c r="AX30" s="241"/>
      <c r="AY30" s="559"/>
      <c r="AZ30" s="211" t="s">
        <v>65</v>
      </c>
      <c r="BA30" s="242">
        <v>643782928</v>
      </c>
      <c r="BB30" s="113">
        <f>(AP30*BA30)/1000000000</f>
        <v>54.515538343039999</v>
      </c>
      <c r="BC30" s="122"/>
      <c r="BD30" s="238">
        <f>BB30*1.3</f>
        <v>70.870199845952001</v>
      </c>
      <c r="BE30" s="257"/>
      <c r="BF30" s="70"/>
      <c r="BG30" s="261"/>
      <c r="BH30" s="211"/>
      <c r="BI30" s="211"/>
      <c r="BJ30" s="211"/>
      <c r="BK30" s="211"/>
      <c r="BL30" s="161"/>
      <c r="BM30" s="70"/>
      <c r="BN30" s="211"/>
      <c r="BO30" s="211"/>
      <c r="BP30" s="211"/>
      <c r="BQ30" s="262"/>
      <c r="BR30" s="229" t="s">
        <v>91</v>
      </c>
      <c r="BS30" s="288">
        <v>250</v>
      </c>
      <c r="BT30" s="288">
        <v>91250</v>
      </c>
      <c r="BU30" s="289">
        <v>91.25</v>
      </c>
    </row>
    <row r="31" spans="1:73" ht="12.75">
      <c r="A31" s="222" t="s">
        <v>114</v>
      </c>
      <c r="B31" s="222" t="s">
        <v>121</v>
      </c>
      <c r="C31" s="290">
        <f>S65</f>
        <v>58.169908953571706</v>
      </c>
      <c r="D31" s="222">
        <v>0</v>
      </c>
      <c r="E31" s="222">
        <v>2</v>
      </c>
      <c r="F31" s="215">
        <v>65</v>
      </c>
      <c r="G31" s="189"/>
      <c r="H31" s="191" t="s">
        <v>122</v>
      </c>
      <c r="I31" s="291">
        <f t="shared" si="6"/>
        <v>522.95553357786275</v>
      </c>
      <c r="J31" s="33"/>
      <c r="K31" s="37"/>
      <c r="L31" s="559"/>
      <c r="M31" s="264" t="s">
        <v>66</v>
      </c>
      <c r="N31" s="265">
        <f>'NUMBERS-DM'!G8</f>
        <v>3.0786872474324933E-2</v>
      </c>
      <c r="O31" s="265">
        <v>3.0800000000000001E-2</v>
      </c>
      <c r="P31" s="132">
        <f t="shared" si="7"/>
        <v>1.3127525675067642E-5</v>
      </c>
      <c r="Q31" s="132">
        <f>G$7*N31</f>
        <v>34.789165895987175</v>
      </c>
      <c r="R31" s="100">
        <v>34.79</v>
      </c>
      <c r="S31" s="133">
        <f>Q31+Q32</f>
        <v>98.507472851835956</v>
      </c>
      <c r="T31" s="100">
        <f>R31+R32</f>
        <v>98.509999999999991</v>
      </c>
      <c r="U31" s="134"/>
      <c r="V31" s="68"/>
      <c r="W31" s="68"/>
      <c r="X31" s="68"/>
      <c r="Y31" s="68"/>
      <c r="Z31" s="96"/>
      <c r="AA31" s="144"/>
      <c r="AB31" s="145"/>
      <c r="AC31" s="559"/>
      <c r="AD31" s="264" t="s">
        <v>66</v>
      </c>
      <c r="AE31" s="235">
        <f t="shared" si="8"/>
        <v>54.038658657918269</v>
      </c>
      <c r="AF31" s="236">
        <v>54.039954287200352</v>
      </c>
      <c r="AG31" s="122">
        <f>AE31+AE32</f>
        <v>153.01349036679639</v>
      </c>
      <c r="AH31" s="109">
        <v>153.01741583305855</v>
      </c>
      <c r="AI31" s="110"/>
      <c r="AJ31" s="111"/>
      <c r="AK31" s="229"/>
      <c r="AL31" s="211"/>
      <c r="AM31" s="217"/>
      <c r="AN31" s="559"/>
      <c r="AO31" s="266" t="s">
        <v>66</v>
      </c>
      <c r="AP31" s="115">
        <v>182.5</v>
      </c>
      <c r="AQ31" s="147"/>
      <c r="AR31" s="117">
        <f>AG31-AP31</f>
        <v>-29.48650963320361</v>
      </c>
      <c r="AS31" s="139">
        <f>AR31/AP31</f>
        <v>-0.16156991579837596</v>
      </c>
      <c r="AT31" s="118">
        <f>SQRT(-AS31)*10</f>
        <v>4.0195760447885043</v>
      </c>
      <c r="AU31" s="118">
        <v>-29.48258416694145</v>
      </c>
      <c r="AV31" s="119">
        <v>-0.16154840639419973</v>
      </c>
      <c r="AW31" s="120"/>
      <c r="AX31" s="241"/>
      <c r="AY31" s="559"/>
      <c r="AZ31" s="264" t="s">
        <v>66</v>
      </c>
      <c r="BA31" s="242">
        <v>643782928</v>
      </c>
      <c r="BB31" s="113">
        <f>(AP31*BA31)/1000000000</f>
        <v>117.49038435999999</v>
      </c>
      <c r="BC31" s="122"/>
      <c r="BD31" s="238">
        <f>BB31*1.3</f>
        <v>152.737499668</v>
      </c>
      <c r="BE31" s="257"/>
      <c r="BF31" s="70"/>
      <c r="BG31" s="261"/>
      <c r="BH31" s="211"/>
      <c r="BI31" s="211"/>
      <c r="BJ31" s="211"/>
      <c r="BK31" s="211"/>
      <c r="BL31" s="161"/>
      <c r="BM31" s="70"/>
      <c r="BN31" s="211"/>
      <c r="BO31" s="211"/>
      <c r="BP31" s="211"/>
      <c r="BQ31" s="262"/>
      <c r="BR31" s="229" t="s">
        <v>92</v>
      </c>
      <c r="BS31" s="288">
        <v>14</v>
      </c>
      <c r="BT31" s="288">
        <v>5110</v>
      </c>
      <c r="BU31" s="289">
        <v>5.1100000000000003</v>
      </c>
    </row>
    <row r="32" spans="1:73" ht="12.75">
      <c r="A32" s="222" t="s">
        <v>123</v>
      </c>
      <c r="B32" s="222" t="s">
        <v>115</v>
      </c>
      <c r="C32" s="290">
        <f>S34</f>
        <v>6.0703702192644569</v>
      </c>
      <c r="D32" s="222">
        <v>0</v>
      </c>
      <c r="E32" s="222">
        <v>2</v>
      </c>
      <c r="F32" s="215">
        <v>34</v>
      </c>
      <c r="G32" s="189"/>
      <c r="H32" s="189"/>
      <c r="I32" s="33"/>
      <c r="J32" s="33"/>
      <c r="K32" s="37"/>
      <c r="L32" s="559"/>
      <c r="M32" s="264" t="s">
        <v>67</v>
      </c>
      <c r="N32" s="265">
        <f>'NUMBERS-DM'!G10</f>
        <v>7.2161163030406331E-2</v>
      </c>
      <c r="O32" s="265">
        <v>7.22E-2</v>
      </c>
      <c r="P32" s="132">
        <f t="shared" si="7"/>
        <v>3.8836969593669668E-5</v>
      </c>
      <c r="Q32" s="132">
        <f>G$8*N32</f>
        <v>63.718306955848789</v>
      </c>
      <c r="R32" s="100">
        <v>63.72</v>
      </c>
      <c r="S32" s="133"/>
      <c r="T32" s="100"/>
      <c r="U32" s="134"/>
      <c r="V32" s="68"/>
      <c r="W32" s="68"/>
      <c r="X32" s="68"/>
      <c r="Y32" s="68"/>
      <c r="Z32" s="96"/>
      <c r="AA32" s="144"/>
      <c r="AB32" s="145"/>
      <c r="AC32" s="559"/>
      <c r="AD32" s="264" t="s">
        <v>67</v>
      </c>
      <c r="AE32" s="235">
        <f t="shared" si="8"/>
        <v>98.974831708878114</v>
      </c>
      <c r="AF32" s="236">
        <v>98.977461545858191</v>
      </c>
      <c r="AG32" s="61"/>
      <c r="AH32" s="109"/>
      <c r="AI32" s="110"/>
      <c r="AJ32" s="111"/>
      <c r="AK32" s="229"/>
      <c r="AL32" s="211"/>
      <c r="AM32" s="217"/>
      <c r="AN32" s="559"/>
      <c r="AO32" s="266" t="s">
        <v>67</v>
      </c>
      <c r="AP32" s="115"/>
      <c r="AQ32" s="147"/>
      <c r="AR32" s="117"/>
      <c r="AS32" s="139"/>
      <c r="AT32" s="118"/>
      <c r="AU32" s="118">
        <v>0</v>
      </c>
      <c r="AV32" s="119"/>
      <c r="AW32" s="120"/>
      <c r="AX32" s="241"/>
      <c r="AY32" s="559"/>
      <c r="AZ32" s="264" t="s">
        <v>67</v>
      </c>
      <c r="BA32" s="242">
        <v>643782928</v>
      </c>
      <c r="BB32" s="113"/>
      <c r="BC32" s="122"/>
      <c r="BD32" s="238"/>
      <c r="BE32" s="257"/>
      <c r="BF32" s="70"/>
      <c r="BG32" s="261"/>
      <c r="BH32" s="211"/>
      <c r="BI32" s="211"/>
      <c r="BJ32" s="211"/>
      <c r="BK32" s="211"/>
      <c r="BL32" s="161"/>
      <c r="BM32" s="70"/>
      <c r="BN32" s="211"/>
      <c r="BO32" s="211"/>
      <c r="BP32" s="211"/>
      <c r="BQ32" s="262"/>
      <c r="BR32" s="229" t="s">
        <v>93</v>
      </c>
      <c r="BS32" s="288">
        <v>70</v>
      </c>
      <c r="BT32" s="288">
        <v>25550</v>
      </c>
      <c r="BU32" s="289">
        <v>25.55</v>
      </c>
    </row>
    <row r="33" spans="1:73" ht="12.75">
      <c r="A33" s="222" t="s">
        <v>123</v>
      </c>
      <c r="B33" s="222" t="s">
        <v>95</v>
      </c>
      <c r="C33" s="290">
        <f>S46</f>
        <v>4.6709860235780285</v>
      </c>
      <c r="D33" s="222">
        <v>0</v>
      </c>
      <c r="E33" s="222">
        <v>2</v>
      </c>
      <c r="F33" s="215">
        <v>46</v>
      </c>
      <c r="G33" s="189"/>
      <c r="H33" s="189"/>
      <c r="I33" s="33"/>
      <c r="J33" s="33"/>
      <c r="K33" s="37"/>
      <c r="L33" s="559"/>
      <c r="M33" s="211" t="s">
        <v>68</v>
      </c>
      <c r="N33" s="265">
        <f>'NUMBERS-DM'!G12</f>
        <v>3.8785339306124253E-2</v>
      </c>
      <c r="O33" s="265">
        <v>3.9800000000000002E-2</v>
      </c>
      <c r="P33" s="132">
        <f t="shared" si="7"/>
        <v>1.0146606938757491E-3</v>
      </c>
      <c r="Q33" s="132">
        <f>G$9*N33</f>
        <v>32.618470356450494</v>
      </c>
      <c r="R33" s="100">
        <v>33.43</v>
      </c>
      <c r="S33" s="133">
        <f>Q33</f>
        <v>32.618470356450494</v>
      </c>
      <c r="T33" s="100">
        <f>R33</f>
        <v>33.43</v>
      </c>
      <c r="U33" s="134"/>
      <c r="V33" s="68"/>
      <c r="W33" s="68"/>
      <c r="X33" s="68"/>
      <c r="Y33" s="68"/>
      <c r="Z33" s="96"/>
      <c r="AA33" s="144"/>
      <c r="AB33" s="145"/>
      <c r="AC33" s="559"/>
      <c r="AD33" s="211" t="s">
        <v>68</v>
      </c>
      <c r="AE33" s="235">
        <f t="shared" si="8"/>
        <v>50.666876889364318</v>
      </c>
      <c r="AF33" s="236">
        <v>51.927440983647827</v>
      </c>
      <c r="AG33" s="122">
        <f>AE33</f>
        <v>50.666876889364318</v>
      </c>
      <c r="AH33" s="109">
        <v>51.927440983647827</v>
      </c>
      <c r="AI33" s="110"/>
      <c r="AJ33" s="111"/>
      <c r="AK33" s="229"/>
      <c r="AL33" s="211"/>
      <c r="AM33" s="217"/>
      <c r="AN33" s="559"/>
      <c r="AO33" s="260" t="s">
        <v>68</v>
      </c>
      <c r="AP33" s="115">
        <v>91.25</v>
      </c>
      <c r="AQ33" s="147"/>
      <c r="AR33" s="117">
        <f>AG33-AP33</f>
        <v>-40.583123110635682</v>
      </c>
      <c r="AS33" s="139">
        <f>AR33/AP33</f>
        <v>-0.44474655463710339</v>
      </c>
      <c r="AT33" s="118">
        <f>SQRT(-AS33)*10</f>
        <v>6.6689321081947099</v>
      </c>
      <c r="AU33" s="118">
        <v>-39.322559016352173</v>
      </c>
      <c r="AV33" s="119">
        <v>-0.43093215360385945</v>
      </c>
      <c r="AW33" s="120"/>
      <c r="AX33" s="241"/>
      <c r="AY33" s="559"/>
      <c r="AZ33" s="211" t="s">
        <v>68</v>
      </c>
      <c r="BA33" s="242">
        <v>643782928</v>
      </c>
      <c r="BB33" s="113">
        <f>(AP33*BA33)/1000000000</f>
        <v>58.745192179999997</v>
      </c>
      <c r="BC33" s="122"/>
      <c r="BD33" s="238">
        <f>BB33*1.3</f>
        <v>76.368749833999999</v>
      </c>
      <c r="BE33" s="257"/>
      <c r="BF33" s="70"/>
      <c r="BG33" s="261"/>
      <c r="BH33" s="211"/>
      <c r="BI33" s="211"/>
      <c r="BJ33" s="211"/>
      <c r="BK33" s="211"/>
      <c r="BL33" s="161"/>
      <c r="BM33" s="70"/>
      <c r="BN33" s="211"/>
      <c r="BO33" s="211"/>
      <c r="BP33" s="211"/>
      <c r="BQ33" s="262"/>
      <c r="BR33" s="229"/>
      <c r="BS33" s="229"/>
      <c r="BT33" s="229"/>
      <c r="BU33" s="229"/>
    </row>
    <row r="34" spans="1:73" ht="12.75">
      <c r="A34" s="222" t="s">
        <v>123</v>
      </c>
      <c r="B34" s="222" t="s">
        <v>116</v>
      </c>
      <c r="C34" s="290">
        <f>S10</f>
        <v>4.7938458745761254</v>
      </c>
      <c r="D34" s="222">
        <v>0</v>
      </c>
      <c r="E34" s="222">
        <v>2</v>
      </c>
      <c r="F34" s="215">
        <v>10</v>
      </c>
      <c r="G34" s="189"/>
      <c r="H34" s="189"/>
      <c r="I34" s="33"/>
      <c r="J34" s="33"/>
      <c r="K34" s="37"/>
      <c r="L34" s="559"/>
      <c r="M34" s="230" t="s">
        <v>70</v>
      </c>
      <c r="N34" s="265">
        <f>'NUMBERS-DM'!G14</f>
        <v>2.8633821788983285E-2</v>
      </c>
      <c r="O34" s="265">
        <v>2.86E-2</v>
      </c>
      <c r="P34" s="132">
        <f t="shared" si="7"/>
        <v>-3.3821788983284806E-5</v>
      </c>
      <c r="Q34" s="132">
        <f>G$10*N34</f>
        <v>6.0703702192644569</v>
      </c>
      <c r="R34" s="100">
        <v>6.07</v>
      </c>
      <c r="S34" s="133">
        <f>Q34</f>
        <v>6.0703702192644569</v>
      </c>
      <c r="T34" s="100">
        <f>R34</f>
        <v>6.07</v>
      </c>
      <c r="U34" s="134"/>
      <c r="V34" s="68"/>
      <c r="W34" s="68"/>
      <c r="X34" s="68"/>
      <c r="Y34" s="68"/>
      <c r="Z34" s="96"/>
      <c r="AA34" s="144"/>
      <c r="AB34" s="145"/>
      <c r="AC34" s="559"/>
      <c r="AD34" s="230" t="s">
        <v>70</v>
      </c>
      <c r="AE34" s="235">
        <f t="shared" si="8"/>
        <v>9.4292190041803305</v>
      </c>
      <c r="AF34" s="236">
        <v>9.4286439357087151</v>
      </c>
      <c r="AG34" s="122">
        <f>AE34</f>
        <v>9.4292190041803305</v>
      </c>
      <c r="AH34" s="109">
        <v>9.4286439357087151</v>
      </c>
      <c r="AI34" s="110"/>
      <c r="AJ34" s="111"/>
      <c r="AK34" s="250"/>
      <c r="AL34" s="230"/>
      <c r="AM34" s="270"/>
      <c r="AN34" s="559"/>
      <c r="AO34" s="240" t="s">
        <v>70</v>
      </c>
      <c r="AP34" s="115">
        <v>5.1100000000000003</v>
      </c>
      <c r="AQ34" s="147"/>
      <c r="AR34" s="117">
        <f>AG34-AP34</f>
        <v>4.3192190041803302</v>
      </c>
      <c r="AS34" s="139">
        <f>AR34/AP34</f>
        <v>0.84524833741298044</v>
      </c>
      <c r="AT34" s="118">
        <f>SQRT(AS34)*10</f>
        <v>9.1937388336464103</v>
      </c>
      <c r="AU34" s="118">
        <v>4.3186439357087147</v>
      </c>
      <c r="AV34" s="119">
        <v>0.84513579955160756</v>
      </c>
      <c r="AW34" s="120"/>
      <c r="AX34" s="241"/>
      <c r="AY34" s="559"/>
      <c r="AZ34" s="230" t="s">
        <v>70</v>
      </c>
      <c r="BA34" s="242">
        <v>643782928</v>
      </c>
      <c r="BB34" s="113">
        <f>(AP34*BA34)/1000000000</f>
        <v>3.2897307620800005</v>
      </c>
      <c r="BC34" s="122"/>
      <c r="BD34" s="238">
        <f>BB34*1.3</f>
        <v>4.2766499907040005</v>
      </c>
      <c r="BE34" s="201"/>
      <c r="BF34" s="88"/>
      <c r="BG34" s="271"/>
      <c r="BH34" s="230"/>
      <c r="BI34" s="230"/>
      <c r="BJ34" s="230"/>
      <c r="BK34" s="230"/>
      <c r="BL34" s="100"/>
      <c r="BM34" s="88"/>
      <c r="BN34" s="230"/>
      <c r="BO34" s="230"/>
      <c r="BP34" s="230"/>
      <c r="BQ34" s="249"/>
      <c r="BR34" s="250"/>
      <c r="BS34" s="250"/>
      <c r="BT34" s="250"/>
      <c r="BU34" s="250"/>
    </row>
    <row r="35" spans="1:73" ht="12.75">
      <c r="A35" s="222" t="s">
        <v>123</v>
      </c>
      <c r="B35" s="222" t="s">
        <v>103</v>
      </c>
      <c r="C35" s="290">
        <f>S58</f>
        <v>54.146302111789808</v>
      </c>
      <c r="D35" s="222">
        <v>0</v>
      </c>
      <c r="E35" s="222">
        <v>2</v>
      </c>
      <c r="F35" s="215">
        <v>58</v>
      </c>
      <c r="G35" s="189"/>
      <c r="H35" s="189"/>
      <c r="I35" s="33"/>
      <c r="J35" s="33"/>
      <c r="K35" s="37"/>
      <c r="L35" s="559"/>
      <c r="M35" s="275" t="s">
        <v>71</v>
      </c>
      <c r="N35" s="265">
        <f>'NUMBERS-DM'!G16</f>
        <v>3.2035257912963987E-2</v>
      </c>
      <c r="O35" s="265">
        <v>3.2000000000000001E-2</v>
      </c>
      <c r="P35" s="132">
        <f t="shared" si="7"/>
        <v>-3.5257912963986004E-5</v>
      </c>
      <c r="Q35" s="132">
        <f>G$11*N35</f>
        <v>4.2927245603371746</v>
      </c>
      <c r="R35" s="100">
        <v>4.29</v>
      </c>
      <c r="S35" s="133">
        <f>Q35+Q37+Q36</f>
        <v>12.356674670436348</v>
      </c>
      <c r="T35" s="100">
        <f>R35+R36+R37</f>
        <v>12.36</v>
      </c>
      <c r="U35" s="134"/>
      <c r="V35" s="68"/>
      <c r="W35" s="68"/>
      <c r="X35" s="68"/>
      <c r="Y35" s="68"/>
      <c r="Z35" s="96"/>
      <c r="AA35" s="144"/>
      <c r="AB35" s="145"/>
      <c r="AC35" s="559"/>
      <c r="AD35" s="275" t="s">
        <v>71</v>
      </c>
      <c r="AE35" s="235">
        <f t="shared" si="8"/>
        <v>6.6679689280874728</v>
      </c>
      <c r="AF35" s="236">
        <v>6.6637368178237866</v>
      </c>
      <c r="AG35" s="122">
        <f>AE35+AE37+AE36</f>
        <v>19.193852668358346</v>
      </c>
      <c r="AH35" s="109">
        <v>19.199017964639161</v>
      </c>
      <c r="AI35" s="110"/>
      <c r="AJ35" s="111"/>
      <c r="AK35" s="229"/>
      <c r="AL35" s="211"/>
      <c r="AM35" s="217"/>
      <c r="AN35" s="559"/>
      <c r="AO35" s="276" t="s">
        <v>71</v>
      </c>
      <c r="AP35" s="115">
        <v>25.55</v>
      </c>
      <c r="AQ35" s="147"/>
      <c r="AR35" s="117">
        <f>AG35-AP35</f>
        <v>-6.3561473316416546</v>
      </c>
      <c r="AS35" s="139">
        <f>AR35/AP35</f>
        <v>-0.24877288969243266</v>
      </c>
      <c r="AT35" s="118">
        <f>SQRT(-AS35)*10</f>
        <v>4.987713801857848</v>
      </c>
      <c r="AU35" s="118">
        <v>-6.3509820353608397</v>
      </c>
      <c r="AV35" s="119">
        <v>-0.24857072545443598</v>
      </c>
      <c r="AW35" s="120"/>
      <c r="AX35" s="241"/>
      <c r="AY35" s="559"/>
      <c r="AZ35" s="275" t="s">
        <v>71</v>
      </c>
      <c r="BA35" s="242">
        <v>643782928</v>
      </c>
      <c r="BB35" s="113">
        <f>(AP35*BA35)/1000000000</f>
        <v>16.4486538104</v>
      </c>
      <c r="BC35" s="122"/>
      <c r="BD35" s="238">
        <f>BB35*1.3</f>
        <v>21.38324995352</v>
      </c>
      <c r="BE35" s="257"/>
      <c r="BF35" s="70"/>
      <c r="BG35" s="261"/>
      <c r="BH35" s="211"/>
      <c r="BI35" s="211"/>
      <c r="BJ35" s="211"/>
      <c r="BK35" s="211"/>
      <c r="BL35" s="161"/>
      <c r="BM35" s="70"/>
      <c r="BN35" s="211"/>
      <c r="BO35" s="211"/>
      <c r="BP35" s="211"/>
      <c r="BQ35" s="262"/>
      <c r="BR35" s="229" t="s">
        <v>94</v>
      </c>
      <c r="BS35" s="288">
        <v>125</v>
      </c>
      <c r="BT35" s="288">
        <v>45625</v>
      </c>
      <c r="BU35" s="289">
        <v>45.625</v>
      </c>
    </row>
    <row r="36" spans="1:73" ht="12.75">
      <c r="A36" s="222" t="s">
        <v>123</v>
      </c>
      <c r="B36" s="222" t="s">
        <v>117</v>
      </c>
      <c r="C36" s="290">
        <f>S82</f>
        <v>24.429518952132277</v>
      </c>
      <c r="D36" s="222">
        <v>0</v>
      </c>
      <c r="E36" s="222">
        <v>2</v>
      </c>
      <c r="F36" s="215">
        <v>82</v>
      </c>
      <c r="G36" s="189"/>
      <c r="H36" s="189"/>
      <c r="I36" s="33"/>
      <c r="J36" s="33"/>
      <c r="K36" s="37"/>
      <c r="L36" s="559"/>
      <c r="M36" s="275" t="s">
        <v>72</v>
      </c>
      <c r="N36" s="265">
        <f>'NUMBERS-DM'!G18</f>
        <v>4.3336749542266975E-2</v>
      </c>
      <c r="O36" s="265">
        <v>4.3299999999999998E-2</v>
      </c>
      <c r="P36" s="132">
        <f t="shared" si="7"/>
        <v>-3.6749542266976964E-5</v>
      </c>
      <c r="Q36" s="132">
        <f>G$12*N36</f>
        <v>6.7171961790513812</v>
      </c>
      <c r="R36" s="100">
        <v>6.72</v>
      </c>
      <c r="S36" s="133"/>
      <c r="T36" s="100"/>
      <c r="U36" s="134"/>
      <c r="V36" s="68"/>
      <c r="W36" s="68"/>
      <c r="X36" s="68"/>
      <c r="Y36" s="68"/>
      <c r="Z36" s="96"/>
      <c r="AA36" s="144"/>
      <c r="AB36" s="145"/>
      <c r="AC36" s="559"/>
      <c r="AD36" s="275" t="s">
        <v>72</v>
      </c>
      <c r="AE36" s="235">
        <f t="shared" si="8"/>
        <v>10.43394580207225</v>
      </c>
      <c r="AF36" s="236">
        <v>10.438301029318378</v>
      </c>
      <c r="AG36" s="61"/>
      <c r="AH36" s="109"/>
      <c r="AI36" s="110"/>
      <c r="AJ36" s="111"/>
      <c r="AK36" s="229"/>
      <c r="AL36" s="211"/>
      <c r="AM36" s="217"/>
      <c r="AN36" s="559"/>
      <c r="AO36" s="276" t="s">
        <v>72</v>
      </c>
      <c r="AP36" s="115"/>
      <c r="AQ36" s="147"/>
      <c r="AR36" s="117"/>
      <c r="AS36" s="117"/>
      <c r="AT36" s="118"/>
      <c r="AU36" s="118">
        <v>0</v>
      </c>
      <c r="AV36" s="119"/>
      <c r="AW36" s="120"/>
      <c r="AX36" s="241"/>
      <c r="AY36" s="559"/>
      <c r="AZ36" s="275" t="s">
        <v>72</v>
      </c>
      <c r="BA36" s="242">
        <v>643782928</v>
      </c>
      <c r="BB36" s="113"/>
      <c r="BC36" s="122"/>
      <c r="BD36" s="238"/>
      <c r="BE36" s="257"/>
      <c r="BF36" s="70"/>
      <c r="BG36" s="261"/>
      <c r="BH36" s="211"/>
      <c r="BI36" s="211"/>
      <c r="BJ36" s="211"/>
      <c r="BK36" s="211"/>
      <c r="BL36" s="161"/>
      <c r="BM36" s="70"/>
      <c r="BN36" s="211"/>
      <c r="BO36" s="211"/>
      <c r="BP36" s="211"/>
      <c r="BQ36" s="262"/>
      <c r="BR36" s="229"/>
      <c r="BS36" s="229"/>
      <c r="BT36" s="229"/>
      <c r="BU36" s="292">
        <v>452.96500000000003</v>
      </c>
    </row>
    <row r="37" spans="1:73" ht="12.75">
      <c r="A37" s="222" t="s">
        <v>123</v>
      </c>
      <c r="B37" s="222" t="s">
        <v>119</v>
      </c>
      <c r="C37" s="290">
        <f>S22</f>
        <v>92.745852475636781</v>
      </c>
      <c r="D37" s="222">
        <v>0</v>
      </c>
      <c r="E37" s="222">
        <v>2</v>
      </c>
      <c r="F37" s="215">
        <v>22</v>
      </c>
      <c r="G37" s="189"/>
      <c r="H37" s="189"/>
      <c r="I37" s="33"/>
      <c r="J37" s="33"/>
      <c r="K37" s="37"/>
      <c r="L37" s="559"/>
      <c r="M37" s="275" t="s">
        <v>73</v>
      </c>
      <c r="N37" s="265">
        <f>'NUMBERS-DM'!G20</f>
        <v>1.6245523896837054E-2</v>
      </c>
      <c r="O37" s="265">
        <v>1.6199999999999999E-2</v>
      </c>
      <c r="P37" s="132">
        <f t="shared" si="7"/>
        <v>-4.5523896837054711E-5</v>
      </c>
      <c r="Q37" s="132">
        <f>G$13*N37</f>
        <v>1.3467539310477918</v>
      </c>
      <c r="R37" s="100">
        <v>1.35</v>
      </c>
      <c r="S37" s="133"/>
      <c r="T37" s="100"/>
      <c r="U37" s="134"/>
      <c r="V37" s="68"/>
      <c r="W37" s="68"/>
      <c r="X37" s="68"/>
      <c r="Y37" s="68"/>
      <c r="Z37" s="96"/>
      <c r="AA37" s="144"/>
      <c r="AB37" s="145"/>
      <c r="AC37" s="559"/>
      <c r="AD37" s="275" t="s">
        <v>73</v>
      </c>
      <c r="AE37" s="235">
        <f t="shared" si="8"/>
        <v>2.0919379381986221</v>
      </c>
      <c r="AF37" s="236">
        <v>2.096980117496996</v>
      </c>
      <c r="AG37" s="61"/>
      <c r="AH37" s="109"/>
      <c r="AI37" s="110"/>
      <c r="AJ37" s="111"/>
      <c r="AK37" s="229"/>
      <c r="AL37" s="211"/>
      <c r="AM37" s="217"/>
      <c r="AN37" s="559"/>
      <c r="AO37" s="276" t="s">
        <v>73</v>
      </c>
      <c r="AP37" s="115"/>
      <c r="AQ37" s="147"/>
      <c r="AR37" s="117"/>
      <c r="AS37" s="117"/>
      <c r="AT37" s="118"/>
      <c r="AU37" s="118">
        <v>0</v>
      </c>
      <c r="AV37" s="119"/>
      <c r="AW37" s="120"/>
      <c r="AX37" s="241"/>
      <c r="AY37" s="559"/>
      <c r="AZ37" s="275" t="s">
        <v>73</v>
      </c>
      <c r="BA37" s="242">
        <v>643782928</v>
      </c>
      <c r="BB37" s="113"/>
      <c r="BC37" s="122"/>
      <c r="BD37" s="238"/>
      <c r="BE37" s="257"/>
      <c r="BF37" s="70"/>
      <c r="BG37" s="261"/>
      <c r="BH37" s="211"/>
      <c r="BI37" s="211"/>
      <c r="BJ37" s="211"/>
      <c r="BK37" s="211"/>
      <c r="BL37" s="161"/>
      <c r="BM37" s="70"/>
      <c r="BN37" s="211"/>
      <c r="BO37" s="211"/>
      <c r="BP37" s="211"/>
      <c r="BQ37" s="262"/>
      <c r="BR37" s="229"/>
      <c r="BS37" s="229"/>
      <c r="BT37" s="229"/>
      <c r="BU37" s="229"/>
    </row>
    <row r="38" spans="1:73" ht="12.75">
      <c r="A38" s="222" t="s">
        <v>123</v>
      </c>
      <c r="B38" s="222" t="s">
        <v>121</v>
      </c>
      <c r="C38" s="290">
        <f>S70</f>
        <v>25.143124343022517</v>
      </c>
      <c r="D38" s="222">
        <v>0</v>
      </c>
      <c r="E38" s="222">
        <v>2</v>
      </c>
      <c r="F38" s="215">
        <v>30</v>
      </c>
      <c r="G38" s="189"/>
      <c r="H38" s="189"/>
      <c r="I38" s="33"/>
      <c r="J38" s="33"/>
      <c r="K38" s="37"/>
      <c r="L38" s="559"/>
      <c r="M38" s="282" t="s">
        <v>75</v>
      </c>
      <c r="N38" s="265">
        <f>'NUMBERS-DM'!G22</f>
        <v>0.14040590857540525</v>
      </c>
      <c r="O38" s="265">
        <v>0.1404</v>
      </c>
      <c r="P38" s="132">
        <f t="shared" si="7"/>
        <v>-5.9085754052501382E-6</v>
      </c>
      <c r="Q38" s="132">
        <f>G$14*N38</f>
        <v>57.762990787921723</v>
      </c>
      <c r="R38" s="100">
        <v>61.94</v>
      </c>
      <c r="S38" s="133">
        <f>Q38+Q39</f>
        <v>57.925908665204574</v>
      </c>
      <c r="T38" s="100">
        <f>R38</f>
        <v>61.94</v>
      </c>
      <c r="U38" s="134"/>
      <c r="V38" s="68"/>
      <c r="W38" s="68"/>
      <c r="X38" s="68"/>
      <c r="Y38" s="68"/>
      <c r="Z38" s="96"/>
      <c r="AA38" s="144"/>
      <c r="AB38" s="145"/>
      <c r="AC38" s="559"/>
      <c r="AD38" s="282" t="s">
        <v>75</v>
      </c>
      <c r="AE38" s="235">
        <f t="shared" si="8"/>
        <v>89.724328303284437</v>
      </c>
      <c r="AF38" s="236">
        <v>96.212554427973274</v>
      </c>
      <c r="AG38" s="122">
        <f>AE38+AE39</f>
        <v>89.977391673245151</v>
      </c>
      <c r="AH38" s="109">
        <v>96.212554427973274</v>
      </c>
      <c r="AI38" s="110"/>
      <c r="AJ38" s="111"/>
      <c r="AK38" s="229"/>
      <c r="AL38" s="211"/>
      <c r="AM38" s="217"/>
      <c r="AN38" s="559"/>
      <c r="AO38" s="282" t="s">
        <v>75</v>
      </c>
      <c r="AP38" s="115">
        <v>45.625</v>
      </c>
      <c r="AQ38" s="147"/>
      <c r="AR38" s="117">
        <f>AG38-AP38</f>
        <v>44.352391673245151</v>
      </c>
      <c r="AS38" s="139">
        <f>AR38/AP38</f>
        <v>0.9721072147560581</v>
      </c>
      <c r="AT38" s="118">
        <f>SQRT(AS38)*10</f>
        <v>9.8595497602885409</v>
      </c>
      <c r="AU38" s="118">
        <v>50.587554427973274</v>
      </c>
      <c r="AV38" s="119">
        <v>1.1087683162295512</v>
      </c>
      <c r="AW38" s="120"/>
      <c r="AX38" s="241"/>
      <c r="AY38" s="559"/>
      <c r="AZ38" s="211" t="s">
        <v>75</v>
      </c>
      <c r="BA38" s="242">
        <v>643782928</v>
      </c>
      <c r="BB38" s="113">
        <f>(AP38*BA38)/1000000000</f>
        <v>29.372596089999998</v>
      </c>
      <c r="BC38" s="122"/>
      <c r="BD38" s="238">
        <f>BB38*1.3</f>
        <v>38.184374917</v>
      </c>
      <c r="BE38" s="257"/>
      <c r="BF38" s="70"/>
      <c r="BG38" s="261"/>
      <c r="BH38" s="211"/>
      <c r="BI38" s="211"/>
      <c r="BJ38" s="211"/>
      <c r="BK38" s="211"/>
      <c r="BL38" s="161"/>
      <c r="BM38" s="70"/>
      <c r="BN38" s="211"/>
      <c r="BO38" s="211"/>
      <c r="BP38" s="211"/>
      <c r="BQ38" s="262"/>
      <c r="BR38" s="229"/>
      <c r="BS38" s="229"/>
      <c r="BT38" s="229"/>
      <c r="BU38" s="229"/>
    </row>
    <row r="39" spans="1:73" ht="12.75">
      <c r="A39" s="222" t="s">
        <v>124</v>
      </c>
      <c r="B39" s="222" t="s">
        <v>115</v>
      </c>
      <c r="C39" s="290">
        <f>S31</f>
        <v>98.507472851835956</v>
      </c>
      <c r="D39" s="222">
        <v>0</v>
      </c>
      <c r="E39" s="222">
        <v>2</v>
      </c>
      <c r="F39" s="215">
        <v>31</v>
      </c>
      <c r="G39" s="189"/>
      <c r="H39" s="189"/>
      <c r="I39" s="33"/>
      <c r="J39" s="33"/>
      <c r="K39" s="37"/>
      <c r="L39" s="189"/>
      <c r="M39" s="283" t="s">
        <v>77</v>
      </c>
      <c r="N39" s="265">
        <f>'NUMBERS-DM'!G24</f>
        <v>3.0739222128840355E-2</v>
      </c>
      <c r="O39" s="265">
        <v>3.0700000000000002E-2</v>
      </c>
      <c r="P39" s="132">
        <f t="shared" si="7"/>
        <v>-3.9222128840353532E-5</v>
      </c>
      <c r="Q39" s="132">
        <f>G$15*N39</f>
        <v>0.16291787728285387</v>
      </c>
      <c r="R39" s="100"/>
      <c r="S39" s="101"/>
      <c r="T39" s="100"/>
      <c r="U39" s="134"/>
      <c r="V39" s="68"/>
      <c r="W39" s="68"/>
      <c r="X39" s="68"/>
      <c r="Y39" s="68"/>
      <c r="Z39" s="96"/>
      <c r="AA39" s="144"/>
      <c r="AB39" s="145"/>
      <c r="AC39" s="189"/>
      <c r="AD39" s="283" t="s">
        <v>77</v>
      </c>
      <c r="AE39" s="235">
        <f t="shared" si="8"/>
        <v>0.25306336996071116</v>
      </c>
      <c r="AF39" s="236"/>
      <c r="AG39" s="109"/>
      <c r="AH39" s="109"/>
      <c r="AI39" s="110"/>
      <c r="AJ39" s="111"/>
      <c r="AK39" s="237"/>
      <c r="AL39" s="238"/>
      <c r="AM39" s="239"/>
      <c r="AN39" s="193"/>
      <c r="AO39" s="283" t="s">
        <v>77</v>
      </c>
      <c r="AP39" s="115"/>
      <c r="AQ39" s="116"/>
      <c r="AR39" s="117"/>
      <c r="AS39" s="117"/>
      <c r="AT39" s="118"/>
      <c r="AU39" s="118"/>
      <c r="AV39" s="119"/>
      <c r="AW39" s="120"/>
      <c r="AX39" s="241"/>
      <c r="AY39" s="193"/>
      <c r="AZ39" s="230"/>
      <c r="BA39" s="242">
        <v>643782928</v>
      </c>
      <c r="BB39" s="113"/>
      <c r="BC39" s="122"/>
      <c r="BD39" s="238"/>
      <c r="BE39" s="243"/>
      <c r="BF39" s="113"/>
      <c r="BG39" s="244"/>
      <c r="BH39" s="211"/>
      <c r="BI39" s="211"/>
      <c r="BJ39" s="211"/>
      <c r="BK39" s="211"/>
      <c r="BL39" s="161"/>
      <c r="BM39" s="70"/>
      <c r="BN39" s="211"/>
      <c r="BO39" s="211"/>
      <c r="BP39" s="211"/>
      <c r="BQ39" s="262"/>
      <c r="BR39" s="229"/>
      <c r="BS39" s="229"/>
      <c r="BT39" s="229"/>
      <c r="BU39" s="229"/>
    </row>
    <row r="40" spans="1:73" ht="12.75">
      <c r="A40" s="222" t="s">
        <v>124</v>
      </c>
      <c r="B40" s="222" t="s">
        <v>95</v>
      </c>
      <c r="C40" s="290">
        <f>S43</f>
        <v>120.41367562599753</v>
      </c>
      <c r="D40" s="222">
        <v>0</v>
      </c>
      <c r="E40" s="222">
        <v>2</v>
      </c>
      <c r="F40" s="215">
        <v>43</v>
      </c>
      <c r="G40" s="189"/>
      <c r="H40" s="189"/>
      <c r="I40" s="33"/>
      <c r="J40" s="33"/>
      <c r="K40" s="37"/>
      <c r="L40" s="189"/>
      <c r="M40" s="230"/>
      <c r="N40" s="100"/>
      <c r="O40" s="100"/>
      <c r="P40" s="100"/>
      <c r="Q40" s="100"/>
      <c r="R40" s="100"/>
      <c r="S40" s="133"/>
      <c r="T40" s="100"/>
      <c r="U40" s="134"/>
      <c r="V40" s="68"/>
      <c r="W40" s="68"/>
      <c r="X40" s="68"/>
      <c r="Y40" s="68"/>
      <c r="Z40" s="96"/>
      <c r="AA40" s="144"/>
      <c r="AB40" s="145"/>
      <c r="AC40" s="189"/>
      <c r="AD40" s="230"/>
      <c r="AE40" s="235"/>
      <c r="AF40" s="236"/>
      <c r="AG40" s="109"/>
      <c r="AH40" s="109"/>
      <c r="AI40" s="110"/>
      <c r="AJ40" s="111"/>
      <c r="AK40" s="237"/>
      <c r="AL40" s="238"/>
      <c r="AM40" s="239"/>
      <c r="AN40" s="193"/>
      <c r="AO40" s="240"/>
      <c r="AP40" s="115"/>
      <c r="AQ40" s="116"/>
      <c r="AR40" s="117"/>
      <c r="AS40" s="117"/>
      <c r="AT40" s="118"/>
      <c r="AU40" s="118"/>
      <c r="AV40" s="119"/>
      <c r="AW40" s="120"/>
      <c r="AX40" s="241"/>
      <c r="AY40" s="193"/>
      <c r="AZ40" s="230"/>
      <c r="BA40" s="242"/>
      <c r="BB40" s="113"/>
      <c r="BC40" s="122"/>
      <c r="BD40" s="238"/>
      <c r="BE40" s="243"/>
      <c r="BF40" s="113"/>
      <c r="BG40" s="244"/>
      <c r="BH40" s="211"/>
      <c r="BI40" s="211"/>
      <c r="BJ40" s="211"/>
      <c r="BK40" s="211"/>
      <c r="BL40" s="161"/>
      <c r="BM40" s="70"/>
      <c r="BN40" s="211"/>
      <c r="BO40" s="211"/>
      <c r="BP40" s="211"/>
      <c r="BQ40" s="262"/>
      <c r="BR40" s="229"/>
      <c r="BS40" s="229"/>
      <c r="BT40" s="229"/>
      <c r="BU40" s="229"/>
    </row>
    <row r="41" spans="1:73" ht="12.75">
      <c r="A41" s="222" t="s">
        <v>124</v>
      </c>
      <c r="B41" s="222" t="s">
        <v>116</v>
      </c>
      <c r="C41" s="290">
        <f>S7</f>
        <v>236.48929168134336</v>
      </c>
      <c r="D41" s="222">
        <v>0</v>
      </c>
      <c r="E41" s="222">
        <v>2</v>
      </c>
      <c r="F41" s="215">
        <v>7</v>
      </c>
      <c r="G41" s="189"/>
      <c r="H41" s="189"/>
      <c r="I41" s="33"/>
      <c r="J41" s="33"/>
      <c r="K41" s="37"/>
      <c r="L41" s="565" t="s">
        <v>95</v>
      </c>
      <c r="M41" s="230" t="s">
        <v>62</v>
      </c>
      <c r="N41" s="265">
        <f>'NUMBERS-DM'!H4</f>
        <v>3.477069961085575E-2</v>
      </c>
      <c r="O41" s="265">
        <v>1.95E-2</v>
      </c>
      <c r="P41" s="132">
        <f t="shared" ref="P41:P51" si="9">O41-N41</f>
        <v>-1.527069961085575E-2</v>
      </c>
      <c r="Q41" s="132">
        <f>G$5*N41</f>
        <v>29.023102965181295</v>
      </c>
      <c r="R41" s="100">
        <v>16.29</v>
      </c>
      <c r="S41" s="133">
        <f>Q41</f>
        <v>29.023102965181295</v>
      </c>
      <c r="T41" s="100">
        <f>R41</f>
        <v>16.29</v>
      </c>
      <c r="U41" s="134">
        <f>SUM(S41:S51)</f>
        <v>320.36261819566573</v>
      </c>
      <c r="V41" s="104"/>
      <c r="W41" s="104"/>
      <c r="X41" s="104">
        <f>U41/U$4</f>
        <v>5.3666934395349961E-2</v>
      </c>
      <c r="Y41" s="68">
        <v>406.28000000000009</v>
      </c>
      <c r="Z41" s="136">
        <f>BA41/BA$4</f>
        <v>6.0696380496397924E-2</v>
      </c>
      <c r="AA41" s="144"/>
      <c r="AB41" s="145"/>
      <c r="AC41" s="565" t="s">
        <v>95</v>
      </c>
      <c r="AD41" s="230" t="s">
        <v>62</v>
      </c>
      <c r="AE41" s="235">
        <f t="shared" ref="AE41:AE51" si="10">SUM(Q41*1000000)/BA41*1000</f>
        <v>74.522188190104799</v>
      </c>
      <c r="AF41" s="236">
        <v>41.827589802275433</v>
      </c>
      <c r="AG41" s="122">
        <f>AE41</f>
        <v>74.522188190104799</v>
      </c>
      <c r="AH41" s="109">
        <v>41.827589802275433</v>
      </c>
      <c r="AI41" s="110">
        <f>SUM(AG41:AG51)</f>
        <v>822.59031196263265</v>
      </c>
      <c r="AJ41" s="111">
        <v>1043.1990905382727</v>
      </c>
      <c r="AK41" s="254">
        <f>AI41/20</f>
        <v>41.129515598131633</v>
      </c>
      <c r="AL41" s="238"/>
      <c r="AM41" s="239"/>
      <c r="AN41" s="566" t="s">
        <v>95</v>
      </c>
      <c r="AO41" s="240" t="s">
        <v>62</v>
      </c>
      <c r="AP41" s="115">
        <v>18.25</v>
      </c>
      <c r="AQ41" s="116">
        <v>452.96500000000003</v>
      </c>
      <c r="AR41" s="117">
        <f>AG41-AP41</f>
        <v>56.272188190104799</v>
      </c>
      <c r="AS41" s="139">
        <f>AR41/AP41</f>
        <v>3.0834075720605369</v>
      </c>
      <c r="AT41" s="118">
        <f>SQRT(AS41)*10</f>
        <v>17.559634312993357</v>
      </c>
      <c r="AU41" s="118">
        <v>23.577589802275433</v>
      </c>
      <c r="AV41" s="119">
        <v>1.2919227288918045</v>
      </c>
      <c r="AW41" s="120"/>
      <c r="AX41" s="241"/>
      <c r="AY41" s="566" t="s">
        <v>95</v>
      </c>
      <c r="AZ41" s="230" t="s">
        <v>62</v>
      </c>
      <c r="BA41" s="242">
        <v>389455861</v>
      </c>
      <c r="BB41" s="113">
        <f>(AP41*BA41)/1000000000</f>
        <v>7.1075694632499999</v>
      </c>
      <c r="BC41" s="122">
        <f>SUM(BB41:BB50)</f>
        <v>176.409874077865</v>
      </c>
      <c r="BD41" s="238">
        <f>BB41*1.3</f>
        <v>9.2398403022249997</v>
      </c>
      <c r="BE41" s="243">
        <f>SUM(BD41:BD51)</f>
        <v>229.33283630122452</v>
      </c>
      <c r="BF41" s="113"/>
      <c r="BG41" s="244"/>
      <c r="BH41" s="211"/>
      <c r="BI41" s="211"/>
      <c r="BJ41" s="211"/>
      <c r="BK41" s="211"/>
      <c r="BL41" s="161"/>
      <c r="BM41" s="70"/>
      <c r="BN41" s="211"/>
      <c r="BO41" s="211"/>
      <c r="BP41" s="211"/>
      <c r="BQ41" s="262"/>
      <c r="BR41" s="229"/>
      <c r="BS41" s="229"/>
      <c r="BT41" s="229"/>
      <c r="BU41" s="229"/>
    </row>
    <row r="42" spans="1:73" ht="12.75">
      <c r="A42" s="222" t="s">
        <v>124</v>
      </c>
      <c r="B42" s="222" t="s">
        <v>103</v>
      </c>
      <c r="C42" s="290">
        <f>S55</f>
        <v>339.81882148403474</v>
      </c>
      <c r="D42" s="222">
        <v>0</v>
      </c>
      <c r="E42" s="222">
        <v>2</v>
      </c>
      <c r="F42" s="215">
        <v>55</v>
      </c>
      <c r="G42" s="189"/>
      <c r="H42" s="189"/>
      <c r="I42" s="33"/>
      <c r="J42" s="33"/>
      <c r="K42" s="37"/>
      <c r="L42" s="559"/>
      <c r="M42" s="211" t="s">
        <v>65</v>
      </c>
      <c r="N42" s="265">
        <f>'NUMBERS-DM'!H6</f>
        <v>6.9514038464151356E-2</v>
      </c>
      <c r="O42" s="265">
        <v>6.9500000000000006E-2</v>
      </c>
      <c r="P42" s="132">
        <f t="shared" si="9"/>
        <v>-1.4038464151350238E-5</v>
      </c>
      <c r="Q42" s="132">
        <f>G$6*N42</f>
        <v>88.989091480267987</v>
      </c>
      <c r="R42" s="100">
        <v>185.39</v>
      </c>
      <c r="S42" s="133">
        <f>Q42</f>
        <v>88.989091480267987</v>
      </c>
      <c r="T42" s="100">
        <f>R42</f>
        <v>185.39</v>
      </c>
      <c r="U42" s="134"/>
      <c r="V42" s="68"/>
      <c r="W42" s="68"/>
      <c r="X42" s="68"/>
      <c r="Y42" s="68"/>
      <c r="Z42" s="96"/>
      <c r="AA42" s="144"/>
      <c r="AB42" s="145"/>
      <c r="AC42" s="559"/>
      <c r="AD42" s="211" t="s">
        <v>65</v>
      </c>
      <c r="AE42" s="235">
        <f t="shared" si="10"/>
        <v>228.49596165216778</v>
      </c>
      <c r="AF42" s="236">
        <v>476.02313526358762</v>
      </c>
      <c r="AG42" s="122">
        <f>AE42</f>
        <v>228.49596165216778</v>
      </c>
      <c r="AH42" s="109">
        <v>476.02313526358762</v>
      </c>
      <c r="AI42" s="110"/>
      <c r="AJ42" s="111"/>
      <c r="AK42" s="229"/>
      <c r="AL42" s="211"/>
      <c r="AM42" s="217"/>
      <c r="AN42" s="559"/>
      <c r="AO42" s="260" t="s">
        <v>65</v>
      </c>
      <c r="AP42" s="115">
        <v>84.68</v>
      </c>
      <c r="AQ42" s="147"/>
      <c r="AR42" s="117">
        <f>AG42-AP42</f>
        <v>143.81596165216777</v>
      </c>
      <c r="AS42" s="139">
        <f>AR42/AP42</f>
        <v>1.6983462641965961</v>
      </c>
      <c r="AT42" s="118">
        <f>SQRT(AS42)*10</f>
        <v>13.032061480044499</v>
      </c>
      <c r="AU42" s="118">
        <v>391.34313526358761</v>
      </c>
      <c r="AV42" s="119">
        <v>4.6214352298486965</v>
      </c>
      <c r="AW42" s="120"/>
      <c r="AX42" s="241"/>
      <c r="AY42" s="559"/>
      <c r="AZ42" s="211" t="s">
        <v>65</v>
      </c>
      <c r="BA42" s="242">
        <v>389455861</v>
      </c>
      <c r="BB42" s="113">
        <f>(AP42*BA42)/1000000000</f>
        <v>32.979122309480005</v>
      </c>
      <c r="BC42" s="122"/>
      <c r="BD42" s="238">
        <f>BB42*1.3</f>
        <v>42.872859002324006</v>
      </c>
      <c r="BE42" s="257"/>
      <c r="BF42" s="70"/>
      <c r="BG42" s="261"/>
      <c r="BH42" s="211"/>
      <c r="BI42" s="211"/>
      <c r="BJ42" s="211"/>
      <c r="BK42" s="211"/>
      <c r="BL42" s="161"/>
      <c r="BM42" s="70"/>
      <c r="BN42" s="211"/>
      <c r="BO42" s="211"/>
      <c r="BP42" s="211"/>
      <c r="BQ42" s="227"/>
      <c r="BR42" s="228" t="s">
        <v>42</v>
      </c>
      <c r="BS42" s="229"/>
      <c r="BT42" s="229"/>
      <c r="BU42" s="229"/>
    </row>
    <row r="43" spans="1:73" ht="12.75">
      <c r="A43" s="222" t="s">
        <v>124</v>
      </c>
      <c r="B43" s="222" t="s">
        <v>117</v>
      </c>
      <c r="C43" s="290">
        <f>S79</f>
        <v>90.919427242991588</v>
      </c>
      <c r="D43" s="222">
        <v>0</v>
      </c>
      <c r="E43" s="222">
        <v>2</v>
      </c>
      <c r="F43" s="215">
        <v>79</v>
      </c>
      <c r="G43" s="189"/>
      <c r="H43" s="189"/>
      <c r="I43" s="33"/>
      <c r="J43" s="33"/>
      <c r="K43" s="37"/>
      <c r="L43" s="559"/>
      <c r="M43" s="264" t="s">
        <v>66</v>
      </c>
      <c r="N43" s="265">
        <f>'NUMBERS-DM'!H8</f>
        <v>5.0714962717448742E-2</v>
      </c>
      <c r="O43" s="265">
        <v>5.0700000000000002E-2</v>
      </c>
      <c r="P43" s="132">
        <f t="shared" si="9"/>
        <v>-1.4962717448739615E-5</v>
      </c>
      <c r="Q43" s="132">
        <f>G$7*N43</f>
        <v>57.307907870717081</v>
      </c>
      <c r="R43" s="100">
        <v>57.31</v>
      </c>
      <c r="S43" s="133">
        <f>Q43+Q44</f>
        <v>120.41367562599753</v>
      </c>
      <c r="T43" s="100">
        <f>R43+R44</f>
        <v>120.42</v>
      </c>
      <c r="U43" s="134"/>
      <c r="V43" s="68"/>
      <c r="W43" s="68"/>
      <c r="X43" s="68"/>
      <c r="Y43" s="68"/>
      <c r="Z43" s="96"/>
      <c r="AA43" s="144"/>
      <c r="AB43" s="145"/>
      <c r="AC43" s="559"/>
      <c r="AD43" s="264" t="s">
        <v>66</v>
      </c>
      <c r="AE43" s="235">
        <f t="shared" si="10"/>
        <v>147.14865947470508</v>
      </c>
      <c r="AF43" s="236">
        <v>147.15403140383088</v>
      </c>
      <c r="AG43" s="122">
        <f>AE43+AE44</f>
        <v>309.18439721721768</v>
      </c>
      <c r="AH43" s="109">
        <v>309.20063621792559</v>
      </c>
      <c r="AI43" s="110"/>
      <c r="AJ43" s="111"/>
      <c r="AK43" s="229"/>
      <c r="AL43" s="211"/>
      <c r="AM43" s="217"/>
      <c r="AN43" s="559"/>
      <c r="AO43" s="266" t="s">
        <v>66</v>
      </c>
      <c r="AP43" s="115">
        <v>182.5</v>
      </c>
      <c r="AQ43" s="147"/>
      <c r="AR43" s="117">
        <f>AG43-AP43</f>
        <v>126.68439721721768</v>
      </c>
      <c r="AS43" s="139">
        <f>AR43/AP43</f>
        <v>0.69416108064228865</v>
      </c>
      <c r="AT43" s="118">
        <f>SQRT(AS43)*10</f>
        <v>8.3316329770477076</v>
      </c>
      <c r="AU43" s="118">
        <v>126.70063621792559</v>
      </c>
      <c r="AV43" s="119">
        <v>0.69425006146808543</v>
      </c>
      <c r="AW43" s="120"/>
      <c r="AX43" s="241"/>
      <c r="AY43" s="559"/>
      <c r="AZ43" s="264" t="s">
        <v>66</v>
      </c>
      <c r="BA43" s="242">
        <v>389455861</v>
      </c>
      <c r="BB43" s="113">
        <f>(AP43*BA43)/1000000000</f>
        <v>71.075694632500003</v>
      </c>
      <c r="BC43" s="122"/>
      <c r="BD43" s="238">
        <f>BB43*1.3</f>
        <v>92.398403022250008</v>
      </c>
      <c r="BE43" s="257"/>
      <c r="BF43" s="70"/>
      <c r="BG43" s="261"/>
      <c r="BH43" s="211"/>
      <c r="BI43" s="211"/>
      <c r="BJ43" s="211"/>
      <c r="BK43" s="211"/>
      <c r="BL43" s="161"/>
      <c r="BM43" s="70"/>
      <c r="BN43" s="211"/>
      <c r="BO43" s="211"/>
      <c r="BP43" s="211"/>
      <c r="BQ43" s="227"/>
      <c r="BR43" s="228" t="s">
        <v>96</v>
      </c>
      <c r="BS43" s="293">
        <v>643782928</v>
      </c>
      <c r="BT43" s="229"/>
      <c r="BU43" s="229"/>
    </row>
    <row r="44" spans="1:73" ht="12.75">
      <c r="A44" s="222" t="s">
        <v>124</v>
      </c>
      <c r="B44" s="222" t="s">
        <v>119</v>
      </c>
      <c r="C44" s="290">
        <f>S19</f>
        <v>987.29582779347675</v>
      </c>
      <c r="D44" s="222">
        <v>0</v>
      </c>
      <c r="E44" s="222">
        <v>2</v>
      </c>
      <c r="F44" s="215">
        <v>19</v>
      </c>
      <c r="G44" s="189"/>
      <c r="H44" s="189"/>
      <c r="I44" s="33"/>
      <c r="J44" s="33"/>
      <c r="K44" s="37"/>
      <c r="L44" s="559"/>
      <c r="M44" s="264" t="s">
        <v>67</v>
      </c>
      <c r="N44" s="265">
        <f>'NUMBERS-DM'!H10</f>
        <v>7.1467460651506734E-2</v>
      </c>
      <c r="O44" s="265">
        <v>7.1499999999999994E-2</v>
      </c>
      <c r="P44" s="132">
        <f t="shared" si="9"/>
        <v>3.2539348493260123E-5</v>
      </c>
      <c r="Q44" s="132">
        <f>G$8*N44</f>
        <v>63.105767755280446</v>
      </c>
      <c r="R44" s="100">
        <v>63.11</v>
      </c>
      <c r="S44" s="133"/>
      <c r="T44" s="100"/>
      <c r="U44" s="134"/>
      <c r="V44" s="68"/>
      <c r="W44" s="68"/>
      <c r="X44" s="68"/>
      <c r="Y44" s="68"/>
      <c r="Z44" s="96"/>
      <c r="AA44" s="144"/>
      <c r="AB44" s="145"/>
      <c r="AC44" s="559"/>
      <c r="AD44" s="264" t="s">
        <v>67</v>
      </c>
      <c r="AE44" s="235">
        <f t="shared" si="10"/>
        <v>162.03573774251262</v>
      </c>
      <c r="AF44" s="236">
        <v>162.04660481409471</v>
      </c>
      <c r="AG44" s="61"/>
      <c r="AH44" s="109"/>
      <c r="AI44" s="110"/>
      <c r="AJ44" s="111"/>
      <c r="AK44" s="229"/>
      <c r="AL44" s="211"/>
      <c r="AM44" s="217"/>
      <c r="AN44" s="559"/>
      <c r="AO44" s="266" t="s">
        <v>67</v>
      </c>
      <c r="AP44" s="115"/>
      <c r="AQ44" s="147"/>
      <c r="AR44" s="117"/>
      <c r="AS44" s="139"/>
      <c r="AT44" s="118"/>
      <c r="AU44" s="118">
        <v>0</v>
      </c>
      <c r="AV44" s="119"/>
      <c r="AW44" s="120"/>
      <c r="AX44" s="241"/>
      <c r="AY44" s="559"/>
      <c r="AZ44" s="264" t="s">
        <v>67</v>
      </c>
      <c r="BA44" s="242">
        <v>389455861</v>
      </c>
      <c r="BB44" s="113"/>
      <c r="BC44" s="122"/>
      <c r="BD44" s="238"/>
      <c r="BE44" s="257"/>
      <c r="BF44" s="70"/>
      <c r="BG44" s="261"/>
      <c r="BH44" s="211"/>
      <c r="BI44" s="211"/>
      <c r="BJ44" s="211"/>
      <c r="BK44" s="211"/>
      <c r="BL44" s="161"/>
      <c r="BM44" s="70"/>
      <c r="BN44" s="211"/>
      <c r="BO44" s="211"/>
      <c r="BP44" s="211"/>
      <c r="BQ44" s="227"/>
      <c r="BR44" s="228" t="s">
        <v>97</v>
      </c>
      <c r="BS44" s="293">
        <v>389455861</v>
      </c>
      <c r="BT44" s="229"/>
      <c r="BU44" s="229"/>
    </row>
    <row r="45" spans="1:73" ht="12.75">
      <c r="A45" s="222" t="s">
        <v>124</v>
      </c>
      <c r="B45" s="222" t="s">
        <v>121</v>
      </c>
      <c r="C45" s="290">
        <f>S67</f>
        <v>139.55548332032001</v>
      </c>
      <c r="D45" s="222">
        <v>0</v>
      </c>
      <c r="E45" s="222">
        <v>2</v>
      </c>
      <c r="F45" s="215">
        <v>67</v>
      </c>
      <c r="G45" s="189"/>
      <c r="H45" s="189"/>
      <c r="I45" s="33"/>
      <c r="J45" s="33"/>
      <c r="K45" s="37"/>
      <c r="L45" s="559"/>
      <c r="M45" s="211" t="s">
        <v>68</v>
      </c>
      <c r="N45" s="265">
        <f>'NUMBERS-DM'!H12</f>
        <v>5.1924489054770782E-2</v>
      </c>
      <c r="O45" s="265">
        <v>5.3199999999999997E-2</v>
      </c>
      <c r="P45" s="132">
        <f t="shared" si="9"/>
        <v>1.2755109452292149E-3</v>
      </c>
      <c r="Q45" s="132">
        <f>G$9*N45</f>
        <v>43.668495295062229</v>
      </c>
      <c r="R45" s="100">
        <v>44.76</v>
      </c>
      <c r="S45" s="133">
        <f>Q45</f>
        <v>43.668495295062229</v>
      </c>
      <c r="T45" s="100">
        <f>R45</f>
        <v>44.76</v>
      </c>
      <c r="U45" s="134"/>
      <c r="V45" s="68"/>
      <c r="W45" s="68"/>
      <c r="X45" s="68"/>
      <c r="Y45" s="68"/>
      <c r="Z45" s="96"/>
      <c r="AA45" s="144"/>
      <c r="AB45" s="145"/>
      <c r="AC45" s="559"/>
      <c r="AD45" s="211" t="s">
        <v>68</v>
      </c>
      <c r="AE45" s="235">
        <f t="shared" si="10"/>
        <v>112.12694343059901</v>
      </c>
      <c r="AF45" s="236">
        <v>114.92958376610487</v>
      </c>
      <c r="AG45" s="122">
        <f>AE45</f>
        <v>112.12694343059901</v>
      </c>
      <c r="AH45" s="109">
        <v>114.92958376610487</v>
      </c>
      <c r="AI45" s="110"/>
      <c r="AJ45" s="111"/>
      <c r="AK45" s="229"/>
      <c r="AL45" s="211"/>
      <c r="AM45" s="217"/>
      <c r="AN45" s="559"/>
      <c r="AO45" s="260" t="s">
        <v>68</v>
      </c>
      <c r="AP45" s="115">
        <v>91.25</v>
      </c>
      <c r="AQ45" s="147"/>
      <c r="AR45" s="117">
        <f>AG45-AP45</f>
        <v>20.876943430599013</v>
      </c>
      <c r="AS45" s="139">
        <f>AR45/AP45</f>
        <v>0.22878842115724946</v>
      </c>
      <c r="AT45" s="118">
        <f>SQRT(AS45)*10</f>
        <v>4.7831832617750436</v>
      </c>
      <c r="AU45" s="118">
        <v>23.679583766104869</v>
      </c>
      <c r="AV45" s="119">
        <v>0.25950228784772461</v>
      </c>
      <c r="AW45" s="120"/>
      <c r="AX45" s="241"/>
      <c r="AY45" s="559"/>
      <c r="AZ45" s="211" t="s">
        <v>68</v>
      </c>
      <c r="BA45" s="242">
        <v>389455861</v>
      </c>
      <c r="BB45" s="113">
        <f>(AP45*BA45)/1000000000</f>
        <v>35.537847316250001</v>
      </c>
      <c r="BC45" s="122"/>
      <c r="BD45" s="238">
        <f>BB45*1.3</f>
        <v>46.199201511125004</v>
      </c>
      <c r="BE45" s="257"/>
      <c r="BF45" s="70"/>
      <c r="BG45" s="261"/>
      <c r="BH45" s="211"/>
      <c r="BI45" s="211"/>
      <c r="BJ45" s="211"/>
      <c r="BK45" s="211"/>
      <c r="BL45" s="161"/>
      <c r="BM45" s="70"/>
      <c r="BN45" s="211"/>
      <c r="BO45" s="211"/>
      <c r="BP45" s="211"/>
      <c r="BQ45" s="227"/>
      <c r="BR45" s="228" t="s">
        <v>98</v>
      </c>
      <c r="BS45" s="293">
        <v>1310898890</v>
      </c>
      <c r="BT45" s="229"/>
      <c r="BU45" s="229"/>
    </row>
    <row r="46" spans="1:73" ht="12.75">
      <c r="A46" s="222" t="s">
        <v>125</v>
      </c>
      <c r="B46" s="222" t="s">
        <v>115</v>
      </c>
      <c r="C46" s="290">
        <f>S33</f>
        <v>32.618470356450494</v>
      </c>
      <c r="D46" s="222">
        <v>0</v>
      </c>
      <c r="E46" s="222">
        <v>2</v>
      </c>
      <c r="F46" s="213">
        <v>33</v>
      </c>
      <c r="G46" s="189"/>
      <c r="H46" s="189"/>
      <c r="I46" s="33"/>
      <c r="J46" s="33"/>
      <c r="K46" s="37"/>
      <c r="L46" s="559"/>
      <c r="M46" s="230" t="s">
        <v>70</v>
      </c>
      <c r="N46" s="265">
        <f>'NUMBERS-DM'!H14</f>
        <v>2.2032952941405795E-2</v>
      </c>
      <c r="O46" s="265">
        <v>2.1999999999999999E-2</v>
      </c>
      <c r="P46" s="132">
        <f t="shared" si="9"/>
        <v>-3.2952941405796354E-5</v>
      </c>
      <c r="Q46" s="132">
        <f>G$10*N46</f>
        <v>4.6709860235780285</v>
      </c>
      <c r="R46" s="100">
        <v>4.67</v>
      </c>
      <c r="S46" s="133">
        <f>Q46</f>
        <v>4.6709860235780285</v>
      </c>
      <c r="T46" s="100">
        <f>R46</f>
        <v>4.67</v>
      </c>
      <c r="U46" s="134"/>
      <c r="V46" s="68"/>
      <c r="W46" s="68"/>
      <c r="X46" s="68"/>
      <c r="Y46" s="68"/>
      <c r="Z46" s="96"/>
      <c r="AA46" s="144"/>
      <c r="AB46" s="145"/>
      <c r="AC46" s="559"/>
      <c r="AD46" s="230" t="s">
        <v>70</v>
      </c>
      <c r="AE46" s="235">
        <f t="shared" si="10"/>
        <v>11.993621078353803</v>
      </c>
      <c r="AF46" s="236">
        <v>11.991089280333105</v>
      </c>
      <c r="AG46" s="122">
        <f>AE46</f>
        <v>11.993621078353803</v>
      </c>
      <c r="AH46" s="109">
        <v>11.991089280333105</v>
      </c>
      <c r="AI46" s="110"/>
      <c r="AJ46" s="111"/>
      <c r="AK46" s="250"/>
      <c r="AL46" s="230"/>
      <c r="AM46" s="270"/>
      <c r="AN46" s="559"/>
      <c r="AO46" s="240" t="s">
        <v>70</v>
      </c>
      <c r="AP46" s="115">
        <v>5.1100000000000003</v>
      </c>
      <c r="AQ46" s="147"/>
      <c r="AR46" s="117">
        <f>AG46-AP46</f>
        <v>6.8836210783538023</v>
      </c>
      <c r="AS46" s="139">
        <f>AR46/AP46</f>
        <v>1.3470882736504504</v>
      </c>
      <c r="AT46" s="118">
        <f>SQRT(AS46)*10</f>
        <v>11.606413199823839</v>
      </c>
      <c r="AU46" s="118">
        <v>6.8810892803331045</v>
      </c>
      <c r="AV46" s="119">
        <v>1.3465928141552064</v>
      </c>
      <c r="AW46" s="120"/>
      <c r="AX46" s="241"/>
      <c r="AY46" s="559"/>
      <c r="AZ46" s="230" t="s">
        <v>70</v>
      </c>
      <c r="BA46" s="242">
        <v>389455861</v>
      </c>
      <c r="BB46" s="113">
        <f>(AP46*BA46)/1000000000</f>
        <v>1.9901194497100001</v>
      </c>
      <c r="BC46" s="122"/>
      <c r="BD46" s="238">
        <f>BB46*1.3</f>
        <v>2.5871552846230004</v>
      </c>
      <c r="BE46" s="201"/>
      <c r="BF46" s="88"/>
      <c r="BG46" s="271"/>
      <c r="BH46" s="230"/>
      <c r="BI46" s="230"/>
      <c r="BJ46" s="230"/>
      <c r="BK46" s="230"/>
      <c r="BL46" s="100"/>
      <c r="BM46" s="88"/>
      <c r="BN46" s="230"/>
      <c r="BO46" s="230"/>
      <c r="BP46" s="230"/>
      <c r="BQ46" s="227"/>
      <c r="BR46" s="228" t="s">
        <v>99</v>
      </c>
      <c r="BS46" s="293">
        <v>1046254720</v>
      </c>
      <c r="BT46" s="250"/>
      <c r="BU46" s="250"/>
    </row>
    <row r="47" spans="1:73" ht="12.75">
      <c r="A47" s="222" t="s">
        <v>125</v>
      </c>
      <c r="B47" s="222" t="s">
        <v>95</v>
      </c>
      <c r="C47" s="290">
        <f>S45</f>
        <v>43.668495295062229</v>
      </c>
      <c r="D47" s="222">
        <v>0</v>
      </c>
      <c r="E47" s="222">
        <v>2</v>
      </c>
      <c r="F47" s="213">
        <v>45</v>
      </c>
      <c r="G47" s="189"/>
      <c r="H47" s="189"/>
      <c r="I47" s="33"/>
      <c r="J47" s="33"/>
      <c r="K47" s="37"/>
      <c r="L47" s="559"/>
      <c r="M47" s="275" t="s">
        <v>71</v>
      </c>
      <c r="N47" s="265">
        <f>'NUMBERS-DM'!H16</f>
        <v>6.4615869431677353E-2</v>
      </c>
      <c r="O47" s="265">
        <v>6.4600000000000005E-2</v>
      </c>
      <c r="P47" s="132">
        <f t="shared" si="9"/>
        <v>-1.5869431677348333E-5</v>
      </c>
      <c r="Q47" s="132">
        <f>G$11*N47</f>
        <v>8.6585265038447652</v>
      </c>
      <c r="R47" s="100">
        <v>8.66</v>
      </c>
      <c r="S47" s="133">
        <f>Q47+Q49+Q48</f>
        <v>16.50994890926443</v>
      </c>
      <c r="T47" s="100">
        <f>R47+R48+R49</f>
        <v>16.509999999999998</v>
      </c>
      <c r="U47" s="134"/>
      <c r="V47" s="68"/>
      <c r="W47" s="68"/>
      <c r="X47" s="68"/>
      <c r="Y47" s="68"/>
      <c r="Z47" s="96"/>
      <c r="AA47" s="144"/>
      <c r="AB47" s="145"/>
      <c r="AC47" s="559"/>
      <c r="AD47" s="275" t="s">
        <v>71</v>
      </c>
      <c r="AE47" s="235">
        <f t="shared" si="10"/>
        <v>22.232369238486736</v>
      </c>
      <c r="AF47" s="236">
        <v>22.236152712566316</v>
      </c>
      <c r="AG47" s="122">
        <f>AE47+AE49+AE48</f>
        <v>42.392349332918201</v>
      </c>
      <c r="AH47" s="109">
        <v>42.392480517837164</v>
      </c>
      <c r="AI47" s="110"/>
      <c r="AJ47" s="111"/>
      <c r="AK47" s="229"/>
      <c r="AL47" s="211"/>
      <c r="AM47" s="217"/>
      <c r="AN47" s="559"/>
      <c r="AO47" s="276" t="s">
        <v>71</v>
      </c>
      <c r="AP47" s="115">
        <v>25.55</v>
      </c>
      <c r="AQ47" s="147"/>
      <c r="AR47" s="117">
        <f>AG47-AP47</f>
        <v>16.8423493329182</v>
      </c>
      <c r="AS47" s="139">
        <f>AR47/AP47</f>
        <v>0.65919175471304103</v>
      </c>
      <c r="AT47" s="118">
        <f>SQRT(AS47)*10</f>
        <v>8.1190624748984472</v>
      </c>
      <c r="AU47" s="118">
        <v>16.842480517837163</v>
      </c>
      <c r="AV47" s="119">
        <v>0.65919688915213948</v>
      </c>
      <c r="AW47" s="120"/>
      <c r="AX47" s="241"/>
      <c r="AY47" s="559"/>
      <c r="AZ47" s="275" t="s">
        <v>71</v>
      </c>
      <c r="BA47" s="242">
        <v>389455861</v>
      </c>
      <c r="BB47" s="113">
        <f>(AP47*BA47)/1000000000</f>
        <v>9.9505972485500003</v>
      </c>
      <c r="BC47" s="122"/>
      <c r="BD47" s="238">
        <f>BB47*1.3</f>
        <v>12.935776423115001</v>
      </c>
      <c r="BE47" s="257"/>
      <c r="BF47" s="70"/>
      <c r="BG47" s="261"/>
      <c r="BH47" s="211"/>
      <c r="BI47" s="211"/>
      <c r="BJ47" s="211"/>
      <c r="BK47" s="211"/>
      <c r="BL47" s="161"/>
      <c r="BM47" s="70"/>
      <c r="BN47" s="211"/>
      <c r="BO47" s="211"/>
      <c r="BP47" s="211"/>
      <c r="BQ47" s="227"/>
      <c r="BR47" s="228" t="s">
        <v>100</v>
      </c>
      <c r="BS47" s="293">
        <v>331543147</v>
      </c>
      <c r="BT47" s="229"/>
      <c r="BU47" s="229"/>
    </row>
    <row r="48" spans="1:73" ht="12.75">
      <c r="A48" s="222" t="s">
        <v>125</v>
      </c>
      <c r="B48" s="222" t="s">
        <v>116</v>
      </c>
      <c r="C48" s="290">
        <f>S9</f>
        <v>125.76022161386187</v>
      </c>
      <c r="D48" s="222">
        <v>0</v>
      </c>
      <c r="E48" s="222">
        <v>2</v>
      </c>
      <c r="F48" s="213">
        <v>9</v>
      </c>
      <c r="G48" s="189"/>
      <c r="H48" s="189"/>
      <c r="I48" s="33"/>
      <c r="J48" s="33"/>
      <c r="K48" s="37"/>
      <c r="L48" s="559"/>
      <c r="M48" s="275" t="s">
        <v>72</v>
      </c>
      <c r="N48" s="265">
        <f>'NUMBERS-DM'!H18</f>
        <v>3.4273762115495564E-2</v>
      </c>
      <c r="O48" s="265">
        <v>3.4299999999999997E-2</v>
      </c>
      <c r="P48" s="132">
        <f t="shared" si="9"/>
        <v>2.6237884504433373E-5</v>
      </c>
      <c r="Q48" s="132">
        <f>G$12*N48</f>
        <v>5.3124331279018122</v>
      </c>
      <c r="R48" s="100">
        <v>5.31</v>
      </c>
      <c r="S48" s="133"/>
      <c r="T48" s="100"/>
      <c r="U48" s="134"/>
      <c r="V48" s="68"/>
      <c r="W48" s="68"/>
      <c r="X48" s="68"/>
      <c r="Y48" s="68"/>
      <c r="Z48" s="96"/>
      <c r="AA48" s="144"/>
      <c r="AB48" s="145"/>
      <c r="AC48" s="559"/>
      <c r="AD48" s="275" t="s">
        <v>72</v>
      </c>
      <c r="AE48" s="235">
        <f t="shared" si="10"/>
        <v>13.640655231792268</v>
      </c>
      <c r="AF48" s="236">
        <v>13.634407725603594</v>
      </c>
      <c r="AG48" s="61"/>
      <c r="AH48" s="109"/>
      <c r="AI48" s="110"/>
      <c r="AJ48" s="111"/>
      <c r="AK48" s="229"/>
      <c r="AL48" s="211"/>
      <c r="AM48" s="217"/>
      <c r="AN48" s="559"/>
      <c r="AO48" s="276" t="s">
        <v>72</v>
      </c>
      <c r="AP48" s="115"/>
      <c r="AQ48" s="147"/>
      <c r="AR48" s="117"/>
      <c r="AS48" s="117"/>
      <c r="AT48" s="118"/>
      <c r="AU48" s="118">
        <v>0</v>
      </c>
      <c r="AV48" s="119"/>
      <c r="AW48" s="120"/>
      <c r="AX48" s="241"/>
      <c r="AY48" s="559"/>
      <c r="AZ48" s="275" t="s">
        <v>72</v>
      </c>
      <c r="BA48" s="242">
        <v>389455861</v>
      </c>
      <c r="BB48" s="113"/>
      <c r="BC48" s="122"/>
      <c r="BD48" s="238"/>
      <c r="BE48" s="257"/>
      <c r="BF48" s="70"/>
      <c r="BG48" s="261"/>
      <c r="BH48" s="211"/>
      <c r="BI48" s="211"/>
      <c r="BJ48" s="211"/>
      <c r="BK48" s="211"/>
      <c r="BL48" s="161"/>
      <c r="BM48" s="70"/>
      <c r="BN48" s="211"/>
      <c r="BO48" s="211"/>
      <c r="BP48" s="211"/>
      <c r="BQ48" s="227"/>
      <c r="BR48" s="228" t="s">
        <v>101</v>
      </c>
      <c r="BS48" s="293">
        <v>2113393271</v>
      </c>
      <c r="BT48" s="229"/>
      <c r="BU48" s="229"/>
    </row>
    <row r="49" spans="1:73" ht="12.75">
      <c r="A49" s="222" t="s">
        <v>125</v>
      </c>
      <c r="B49" s="222" t="s">
        <v>103</v>
      </c>
      <c r="C49" s="290">
        <f>S57</f>
        <v>347.89557639544029</v>
      </c>
      <c r="D49" s="222">
        <v>0</v>
      </c>
      <c r="E49" s="222">
        <v>2</v>
      </c>
      <c r="F49" s="213">
        <v>57</v>
      </c>
      <c r="G49" s="189"/>
      <c r="H49" s="189"/>
      <c r="I49" s="33"/>
      <c r="J49" s="33"/>
      <c r="K49" s="37"/>
      <c r="L49" s="559"/>
      <c r="M49" s="275" t="s">
        <v>73</v>
      </c>
      <c r="N49" s="265">
        <f>'NUMBERS-DM'!H20</f>
        <v>3.0627132418791975E-2</v>
      </c>
      <c r="O49" s="265">
        <v>3.0599999999999999E-2</v>
      </c>
      <c r="P49" s="132">
        <f t="shared" si="9"/>
        <v>-2.7132418791975949E-5</v>
      </c>
      <c r="Q49" s="132">
        <f>G$13*N49</f>
        <v>2.5389892775178549</v>
      </c>
      <c r="R49" s="100">
        <v>2.54</v>
      </c>
      <c r="S49" s="133"/>
      <c r="T49" s="100"/>
      <c r="U49" s="134"/>
      <c r="V49" s="68"/>
      <c r="W49" s="68"/>
      <c r="X49" s="68"/>
      <c r="Y49" s="68"/>
      <c r="Z49" s="96"/>
      <c r="AA49" s="144"/>
      <c r="AB49" s="145"/>
      <c r="AC49" s="559"/>
      <c r="AD49" s="275" t="s">
        <v>73</v>
      </c>
      <c r="AE49" s="235">
        <f t="shared" si="10"/>
        <v>6.5193248626391958</v>
      </c>
      <c r="AF49" s="236">
        <v>6.5219200796672565</v>
      </c>
      <c r="AG49" s="61"/>
      <c r="AH49" s="109"/>
      <c r="AI49" s="110"/>
      <c r="AJ49" s="111"/>
      <c r="AK49" s="229"/>
      <c r="AL49" s="211"/>
      <c r="AM49" s="217"/>
      <c r="AN49" s="559"/>
      <c r="AO49" s="276" t="s">
        <v>73</v>
      </c>
      <c r="AP49" s="115"/>
      <c r="AQ49" s="147"/>
      <c r="AR49" s="117"/>
      <c r="AS49" s="117"/>
      <c r="AT49" s="118"/>
      <c r="AU49" s="118">
        <v>0</v>
      </c>
      <c r="AV49" s="119"/>
      <c r="AW49" s="120"/>
      <c r="AX49" s="241"/>
      <c r="AY49" s="559"/>
      <c r="AZ49" s="275" t="s">
        <v>73</v>
      </c>
      <c r="BA49" s="242">
        <v>389455861</v>
      </c>
      <c r="BB49" s="113"/>
      <c r="BC49" s="122"/>
      <c r="BD49" s="238"/>
      <c r="BE49" s="257"/>
      <c r="BF49" s="70"/>
      <c r="BG49" s="261"/>
      <c r="BH49" s="211"/>
      <c r="BI49" s="211"/>
      <c r="BJ49" s="211"/>
      <c r="BK49" s="211"/>
      <c r="BL49" s="161"/>
      <c r="BM49" s="70"/>
      <c r="BN49" s="211"/>
      <c r="BO49" s="211"/>
      <c r="BP49" s="211"/>
      <c r="BQ49" s="227"/>
      <c r="BR49" s="228" t="s">
        <v>102</v>
      </c>
      <c r="BS49" s="293">
        <v>581130580</v>
      </c>
      <c r="BT49" s="229"/>
      <c r="BU49" s="229"/>
    </row>
    <row r="50" spans="1:73" ht="12.75">
      <c r="A50" s="222" t="s">
        <v>125</v>
      </c>
      <c r="B50" s="222" t="s">
        <v>117</v>
      </c>
      <c r="C50" s="290">
        <f>S81</f>
        <v>139.83601449652642</v>
      </c>
      <c r="D50" s="222">
        <v>0</v>
      </c>
      <c r="E50" s="222">
        <v>2</v>
      </c>
      <c r="F50" s="213">
        <v>81</v>
      </c>
      <c r="G50" s="189"/>
      <c r="H50" s="189"/>
      <c r="I50" s="33"/>
      <c r="J50" s="33"/>
      <c r="K50" s="37"/>
      <c r="L50" s="559"/>
      <c r="M50" s="282" t="s">
        <v>75</v>
      </c>
      <c r="N50" s="265">
        <f>'NUMBERS-DM'!H22</f>
        <v>4.0438604088149074E-2</v>
      </c>
      <c r="O50" s="265">
        <v>4.0399999999999998E-2</v>
      </c>
      <c r="P50" s="132">
        <f t="shared" si="9"/>
        <v>-3.8604088149075955E-5</v>
      </c>
      <c r="Q50" s="132">
        <f>G$14*N50</f>
        <v>16.636441721864532</v>
      </c>
      <c r="R50" s="100">
        <v>18.239999999999998</v>
      </c>
      <c r="S50" s="133">
        <f>Q50+Q51</f>
        <v>17.087317896314204</v>
      </c>
      <c r="T50" s="100">
        <f>R50</f>
        <v>18.239999999999998</v>
      </c>
      <c r="U50" s="134"/>
      <c r="V50" s="68"/>
      <c r="W50" s="68"/>
      <c r="X50" s="68"/>
      <c r="Y50" s="68"/>
      <c r="Z50" s="96"/>
      <c r="AA50" s="144"/>
      <c r="AB50" s="145"/>
      <c r="AC50" s="559"/>
      <c r="AD50" s="282" t="s">
        <v>75</v>
      </c>
      <c r="AE50" s="235">
        <f t="shared" si="10"/>
        <v>42.717143039386769</v>
      </c>
      <c r="AF50" s="236">
        <v>46.834575690208958</v>
      </c>
      <c r="AG50" s="122">
        <f>AE50+AE51</f>
        <v>43.874851061271364</v>
      </c>
      <c r="AH50" s="109">
        <v>46.834575690208958</v>
      </c>
      <c r="AI50" s="110"/>
      <c r="AJ50" s="111"/>
      <c r="AK50" s="229"/>
      <c r="AL50" s="211"/>
      <c r="AM50" s="217"/>
      <c r="AN50" s="559"/>
      <c r="AO50" s="282" t="s">
        <v>75</v>
      </c>
      <c r="AP50" s="115">
        <v>45.625</v>
      </c>
      <c r="AQ50" s="147"/>
      <c r="AR50" s="117">
        <f>AG50-AP50</f>
        <v>-1.7501489387286355</v>
      </c>
      <c r="AS50" s="139">
        <f>AR50/AP50</f>
        <v>-3.8359428794052283E-2</v>
      </c>
      <c r="AT50" s="118">
        <f>SQRT(-AS50)*10</f>
        <v>1.9585563253083196</v>
      </c>
      <c r="AU50" s="118">
        <v>1.2095756902089576</v>
      </c>
      <c r="AV50" s="119">
        <v>2.6511248004579893E-2</v>
      </c>
      <c r="AW50" s="120"/>
      <c r="AX50" s="241"/>
      <c r="AY50" s="559"/>
      <c r="AZ50" s="211" t="s">
        <v>75</v>
      </c>
      <c r="BA50" s="242">
        <v>389455861</v>
      </c>
      <c r="BB50" s="113">
        <f>(AP50*BA50)/1000000000</f>
        <v>17.768923658125001</v>
      </c>
      <c r="BC50" s="122"/>
      <c r="BD50" s="238">
        <f>BB50*1.3</f>
        <v>23.099600755562502</v>
      </c>
      <c r="BE50" s="257"/>
      <c r="BF50" s="70"/>
      <c r="BG50" s="261"/>
      <c r="BH50" s="211"/>
      <c r="BI50" s="211"/>
      <c r="BJ50" s="211"/>
      <c r="BK50" s="211"/>
      <c r="BL50" s="161"/>
      <c r="BM50" s="70"/>
      <c r="BN50" s="211"/>
      <c r="BO50" s="211"/>
      <c r="BP50" s="211"/>
      <c r="BQ50" s="262"/>
      <c r="BR50" s="229"/>
      <c r="BS50" s="229"/>
      <c r="BT50" s="229"/>
      <c r="BU50" s="229"/>
    </row>
    <row r="51" spans="1:73" ht="12.75">
      <c r="A51" s="222" t="s">
        <v>125</v>
      </c>
      <c r="B51" s="222" t="s">
        <v>119</v>
      </c>
      <c r="C51" s="290">
        <f>S21</f>
        <v>26.086507140161917</v>
      </c>
      <c r="D51" s="222">
        <v>0</v>
      </c>
      <c r="E51" s="222">
        <v>2</v>
      </c>
      <c r="F51" s="213">
        <v>21</v>
      </c>
      <c r="G51" s="189"/>
      <c r="H51" s="189"/>
      <c r="I51" s="33"/>
      <c r="J51" s="33"/>
      <c r="K51" s="37"/>
      <c r="L51" s="189"/>
      <c r="M51" s="283" t="s">
        <v>77</v>
      </c>
      <c r="N51" s="265">
        <f>'NUMBERS-DM'!H24</f>
        <v>8.5070976311258983E-2</v>
      </c>
      <c r="O51" s="265">
        <v>8.5099999999999995E-2</v>
      </c>
      <c r="P51" s="132">
        <f t="shared" si="9"/>
        <v>2.9023688741011688E-5</v>
      </c>
      <c r="Q51" s="132">
        <f>G$15*N51</f>
        <v>0.4508761744496726</v>
      </c>
      <c r="R51" s="100"/>
      <c r="S51" s="101"/>
      <c r="T51" s="100"/>
      <c r="U51" s="134"/>
      <c r="V51" s="68"/>
      <c r="W51" s="68"/>
      <c r="X51" s="68"/>
      <c r="Y51" s="68"/>
      <c r="Z51" s="96"/>
      <c r="AA51" s="144"/>
      <c r="AB51" s="145"/>
      <c r="AC51" s="189"/>
      <c r="AD51" s="283" t="s">
        <v>77</v>
      </c>
      <c r="AE51" s="235">
        <f t="shared" si="10"/>
        <v>1.157708021884597</v>
      </c>
      <c r="AF51" s="236"/>
      <c r="AG51" s="109"/>
      <c r="AH51" s="109"/>
      <c r="AI51" s="110"/>
      <c r="AJ51" s="111"/>
      <c r="AK51" s="237"/>
      <c r="AL51" s="238"/>
      <c r="AM51" s="239"/>
      <c r="AN51" s="193"/>
      <c r="AO51" s="283" t="s">
        <v>77</v>
      </c>
      <c r="AP51" s="115"/>
      <c r="AQ51" s="116"/>
      <c r="AR51" s="117"/>
      <c r="AS51" s="117"/>
      <c r="AT51" s="118"/>
      <c r="AU51" s="118"/>
      <c r="AV51" s="119"/>
      <c r="AW51" s="120"/>
      <c r="AX51" s="241"/>
      <c r="AY51" s="193"/>
      <c r="AZ51" s="230"/>
      <c r="BA51" s="242">
        <v>389455861</v>
      </c>
      <c r="BB51" s="113"/>
      <c r="BC51" s="122"/>
      <c r="BD51" s="238"/>
      <c r="BE51" s="243"/>
      <c r="BF51" s="113"/>
      <c r="BG51" s="244"/>
      <c r="BH51" s="211"/>
      <c r="BI51" s="211"/>
      <c r="BJ51" s="211"/>
      <c r="BK51" s="211"/>
      <c r="BL51" s="161"/>
      <c r="BM51" s="70"/>
      <c r="BN51" s="211"/>
      <c r="BO51" s="211"/>
      <c r="BP51" s="211"/>
      <c r="BQ51" s="262"/>
      <c r="BR51" s="229"/>
      <c r="BS51" s="229"/>
      <c r="BT51" s="229"/>
      <c r="BU51" s="229"/>
    </row>
    <row r="52" spans="1:73" ht="12.75">
      <c r="A52" s="222" t="s">
        <v>125</v>
      </c>
      <c r="B52" s="222" t="s">
        <v>121</v>
      </c>
      <c r="C52" s="290">
        <f>S69</f>
        <v>125.13471470249678</v>
      </c>
      <c r="D52" s="222">
        <v>0</v>
      </c>
      <c r="E52" s="222">
        <v>2</v>
      </c>
      <c r="F52" s="213">
        <v>29</v>
      </c>
      <c r="G52" s="189"/>
      <c r="H52" s="189"/>
      <c r="I52" s="33"/>
      <c r="J52" s="33"/>
      <c r="K52" s="37"/>
      <c r="L52" s="189"/>
      <c r="M52" s="230"/>
      <c r="N52" s="100"/>
      <c r="O52" s="100"/>
      <c r="P52" s="100"/>
      <c r="Q52" s="100"/>
      <c r="R52" s="100"/>
      <c r="S52" s="133"/>
      <c r="T52" s="100"/>
      <c r="U52" s="134"/>
      <c r="V52" s="68"/>
      <c r="W52" s="68"/>
      <c r="X52" s="68"/>
      <c r="Y52" s="68"/>
      <c r="Z52" s="96"/>
      <c r="AA52" s="144"/>
      <c r="AB52" s="145"/>
      <c r="AC52" s="189"/>
      <c r="AD52" s="230"/>
      <c r="AE52" s="235"/>
      <c r="AF52" s="236"/>
      <c r="AG52" s="109"/>
      <c r="AH52" s="109"/>
      <c r="AI52" s="110"/>
      <c r="AJ52" s="111"/>
      <c r="AK52" s="237"/>
      <c r="AL52" s="238"/>
      <c r="AM52" s="239"/>
      <c r="AN52" s="193"/>
      <c r="AO52" s="240"/>
      <c r="AP52" s="115"/>
      <c r="AQ52" s="116"/>
      <c r="AR52" s="117"/>
      <c r="AS52" s="117"/>
      <c r="AT52" s="118"/>
      <c r="AU52" s="118"/>
      <c r="AV52" s="119"/>
      <c r="AW52" s="120"/>
      <c r="AX52" s="241"/>
      <c r="AY52" s="193"/>
      <c r="AZ52" s="230"/>
      <c r="BA52" s="242"/>
      <c r="BB52" s="113"/>
      <c r="BC52" s="122"/>
      <c r="BD52" s="238"/>
      <c r="BE52" s="243"/>
      <c r="BF52" s="113"/>
      <c r="BG52" s="244"/>
      <c r="BH52" s="211"/>
      <c r="BI52" s="211"/>
      <c r="BJ52" s="211"/>
      <c r="BK52" s="211"/>
      <c r="BL52" s="161"/>
      <c r="BM52" s="70"/>
      <c r="BN52" s="211"/>
      <c r="BO52" s="211"/>
      <c r="BP52" s="211"/>
      <c r="BQ52" s="262"/>
      <c r="BR52" s="229"/>
      <c r="BS52" s="229"/>
      <c r="BT52" s="229"/>
      <c r="BU52" s="229"/>
    </row>
    <row r="53" spans="1:73" ht="12.75">
      <c r="A53" s="222" t="s">
        <v>65</v>
      </c>
      <c r="B53" s="222" t="s">
        <v>115</v>
      </c>
      <c r="C53" s="290">
        <f>S30</f>
        <v>95.536451587013531</v>
      </c>
      <c r="D53" s="222">
        <v>0</v>
      </c>
      <c r="E53" s="222">
        <v>2</v>
      </c>
      <c r="F53" s="215">
        <v>30</v>
      </c>
      <c r="G53" s="189"/>
      <c r="H53" s="189"/>
      <c r="I53" s="33"/>
      <c r="J53" s="33"/>
      <c r="K53" s="37"/>
      <c r="L53" s="565" t="s">
        <v>103</v>
      </c>
      <c r="M53" s="230" t="s">
        <v>62</v>
      </c>
      <c r="N53" s="265">
        <f>'NUMBERS-DM'!I4</f>
        <v>0.18216334109086932</v>
      </c>
      <c r="O53" s="265">
        <v>0.1023</v>
      </c>
      <c r="P53" s="132">
        <f t="shared" ref="P53:P63" si="11">O53-N53</f>
        <v>-7.9863341090869316E-2</v>
      </c>
      <c r="Q53" s="132">
        <f>G$5*N53</f>
        <v>152.05174080854863</v>
      </c>
      <c r="R53" s="100">
        <v>85.37</v>
      </c>
      <c r="S53" s="133">
        <f>Q53</f>
        <v>152.05174080854863</v>
      </c>
      <c r="T53" s="100">
        <f>R53</f>
        <v>85.37</v>
      </c>
      <c r="U53" s="134">
        <f>SUM(S53:S63)</f>
        <v>1169.389354109549</v>
      </c>
      <c r="V53" s="104"/>
      <c r="W53" s="104"/>
      <c r="X53" s="104">
        <f>U53/U$4</f>
        <v>0.1958953329295362</v>
      </c>
      <c r="Y53" s="68">
        <v>1312.6899999999998</v>
      </c>
      <c r="Z53" s="136">
        <f>BA53/BA$4</f>
        <v>0.16305795069616957</v>
      </c>
      <c r="AA53" s="144"/>
      <c r="AB53" s="145"/>
      <c r="AC53" s="565" t="s">
        <v>103</v>
      </c>
      <c r="AD53" s="230" t="s">
        <v>62</v>
      </c>
      <c r="AE53" s="235">
        <f t="shared" ref="AE53:AE63" si="12">SUM(Q53*1000000)/BA53*1000</f>
        <v>145.32956258352519</v>
      </c>
      <c r="AF53" s="236">
        <v>81.595808714726758</v>
      </c>
      <c r="AG53" s="122">
        <f>AE53</f>
        <v>145.32956258352519</v>
      </c>
      <c r="AH53" s="109">
        <v>81.595808714726758</v>
      </c>
      <c r="AI53" s="110">
        <f>SUM(AG53:AG63)</f>
        <v>1117.6908756115806</v>
      </c>
      <c r="AJ53" s="111">
        <v>1254.6562275006986</v>
      </c>
      <c r="AK53" s="254">
        <f>AI53/20</f>
        <v>55.88454378057903</v>
      </c>
      <c r="AL53" s="238"/>
      <c r="AM53" s="239"/>
      <c r="AN53" s="566" t="s">
        <v>103</v>
      </c>
      <c r="AO53" s="240" t="s">
        <v>62</v>
      </c>
      <c r="AP53" s="115">
        <v>18.25</v>
      </c>
      <c r="AQ53" s="116">
        <v>452.96500000000003</v>
      </c>
      <c r="AR53" s="117">
        <f>AG53-AP53</f>
        <v>127.07956258352519</v>
      </c>
      <c r="AS53" s="139">
        <f>AR53/AP53</f>
        <v>6.9632637032068594</v>
      </c>
      <c r="AT53" s="118">
        <f>SQRT(AS53)*10</f>
        <v>26.387996709122991</v>
      </c>
      <c r="AU53" s="118">
        <v>63.345808714726758</v>
      </c>
      <c r="AV53" s="119">
        <v>3.4710032172453018</v>
      </c>
      <c r="AW53" s="120"/>
      <c r="AX53" s="241"/>
      <c r="AY53" s="566" t="s">
        <v>103</v>
      </c>
      <c r="AZ53" s="230" t="s">
        <v>62</v>
      </c>
      <c r="BA53" s="242">
        <v>1046254720</v>
      </c>
      <c r="BB53" s="113">
        <f>(AP53*BA53)/1000000000</f>
        <v>19.09414864</v>
      </c>
      <c r="BC53" s="122">
        <f>SUM(BB53:BB62)</f>
        <v>473.91676924480009</v>
      </c>
      <c r="BD53" s="238">
        <f>BB53*1.3</f>
        <v>24.822393232</v>
      </c>
      <c r="BE53" s="243">
        <f>SUM(BD53:BD63)</f>
        <v>616.09180001824018</v>
      </c>
      <c r="BF53" s="113"/>
      <c r="BG53" s="244"/>
      <c r="BH53" s="211"/>
      <c r="BI53" s="211"/>
      <c r="BJ53" s="211"/>
      <c r="BK53" s="211"/>
      <c r="BL53" s="161"/>
      <c r="BM53" s="70"/>
      <c r="BN53" s="211"/>
      <c r="BO53" s="211"/>
      <c r="BP53" s="211"/>
      <c r="BQ53" s="262"/>
      <c r="BR53" s="229"/>
      <c r="BS53" s="229"/>
      <c r="BT53" s="229"/>
      <c r="BU53" s="229"/>
    </row>
    <row r="54" spans="1:73" ht="12.75">
      <c r="A54" s="222" t="s">
        <v>65</v>
      </c>
      <c r="B54" s="222" t="s">
        <v>95</v>
      </c>
      <c r="C54" s="290">
        <f>S42</f>
        <v>88.989091480267987</v>
      </c>
      <c r="D54" s="222">
        <v>0</v>
      </c>
      <c r="E54" s="222">
        <v>2</v>
      </c>
      <c r="F54" s="215">
        <v>42</v>
      </c>
      <c r="G54" s="189"/>
      <c r="H54" s="189"/>
      <c r="I54" s="33"/>
      <c r="J54" s="33"/>
      <c r="K54" s="37"/>
      <c r="L54" s="559"/>
      <c r="M54" s="211" t="s">
        <v>65</v>
      </c>
      <c r="N54" s="265">
        <f>'NUMBERS-DM'!I6</f>
        <v>0.1411950902262028</v>
      </c>
      <c r="O54" s="265">
        <v>0.14119999999999999</v>
      </c>
      <c r="P54" s="132">
        <f t="shared" si="11"/>
        <v>4.9097737971903754E-6</v>
      </c>
      <c r="Q54" s="132">
        <f>G$6*N54</f>
        <v>180.75230670397576</v>
      </c>
      <c r="R54" s="100">
        <v>376.57</v>
      </c>
      <c r="S54" s="133">
        <f>Q54</f>
        <v>180.75230670397576</v>
      </c>
      <c r="T54" s="100">
        <f>R54</f>
        <v>376.57</v>
      </c>
      <c r="U54" s="134"/>
      <c r="V54" s="68"/>
      <c r="W54" s="68"/>
      <c r="X54" s="68"/>
      <c r="Y54" s="68"/>
      <c r="Z54" s="96"/>
      <c r="AA54" s="144"/>
      <c r="AB54" s="145"/>
      <c r="AC54" s="559"/>
      <c r="AD54" s="211" t="s">
        <v>65</v>
      </c>
      <c r="AE54" s="235">
        <f t="shared" si="12"/>
        <v>172.7612819791874</v>
      </c>
      <c r="AF54" s="236">
        <v>359.92191270592303</v>
      </c>
      <c r="AG54" s="122">
        <f>AE54</f>
        <v>172.7612819791874</v>
      </c>
      <c r="AH54" s="109">
        <v>359.92191270592303</v>
      </c>
      <c r="AI54" s="110"/>
      <c r="AJ54" s="111"/>
      <c r="AK54" s="229"/>
      <c r="AL54" s="211"/>
      <c r="AM54" s="217"/>
      <c r="AN54" s="559"/>
      <c r="AO54" s="260" t="s">
        <v>65</v>
      </c>
      <c r="AP54" s="115">
        <v>84.68</v>
      </c>
      <c r="AQ54" s="147"/>
      <c r="AR54" s="117">
        <f>AG54-AP54</f>
        <v>88.081281979187395</v>
      </c>
      <c r="AS54" s="139">
        <f>AR54/AP54</f>
        <v>1.0401662964004179</v>
      </c>
      <c r="AT54" s="118">
        <f>SQRT(AS54)*10</f>
        <v>10.198854329778506</v>
      </c>
      <c r="AU54" s="118">
        <v>275.24191270592303</v>
      </c>
      <c r="AV54" s="119">
        <v>3.2503768623750946</v>
      </c>
      <c r="AW54" s="120"/>
      <c r="AX54" s="241"/>
      <c r="AY54" s="559"/>
      <c r="AZ54" s="211" t="s">
        <v>65</v>
      </c>
      <c r="BA54" s="242">
        <v>1046254720</v>
      </c>
      <c r="BB54" s="113">
        <f>(AP54*BA54)/1000000000</f>
        <v>88.596849689600006</v>
      </c>
      <c r="BC54" s="122"/>
      <c r="BD54" s="238">
        <f>BB54*1.3</f>
        <v>115.17590459648001</v>
      </c>
      <c r="BE54" s="257"/>
      <c r="BF54" s="70"/>
      <c r="BG54" s="261"/>
      <c r="BH54" s="211"/>
      <c r="BI54" s="211"/>
      <c r="BJ54" s="211"/>
      <c r="BK54" s="211"/>
      <c r="BL54" s="161"/>
      <c r="BM54" s="70"/>
      <c r="BN54" s="211"/>
      <c r="BO54" s="211"/>
      <c r="BP54" s="211"/>
      <c r="BQ54" s="262"/>
      <c r="BR54" s="229"/>
      <c r="BS54" s="229"/>
      <c r="BT54" s="229"/>
      <c r="BU54" s="229"/>
    </row>
    <row r="55" spans="1:73" ht="12.75">
      <c r="A55" s="222" t="s">
        <v>65</v>
      </c>
      <c r="B55" s="222" t="s">
        <v>116</v>
      </c>
      <c r="C55" s="290">
        <f>S6</f>
        <v>267.94495570912909</v>
      </c>
      <c r="D55" s="222">
        <v>0</v>
      </c>
      <c r="E55" s="222">
        <v>2</v>
      </c>
      <c r="F55" s="215">
        <v>6</v>
      </c>
      <c r="G55" s="189"/>
      <c r="H55" s="189"/>
      <c r="I55" s="33"/>
      <c r="J55" s="33"/>
      <c r="K55" s="37"/>
      <c r="L55" s="559"/>
      <c r="M55" s="264" t="s">
        <v>66</v>
      </c>
      <c r="N55" s="265">
        <f>'NUMBERS-DM'!I8</f>
        <v>0.14436662857348737</v>
      </c>
      <c r="O55" s="265">
        <v>0.1444</v>
      </c>
      <c r="P55" s="132">
        <f t="shared" si="11"/>
        <v>3.3371426512635027E-5</v>
      </c>
      <c r="Q55" s="132">
        <f>G$7*N55</f>
        <v>163.13429028804072</v>
      </c>
      <c r="R55" s="100">
        <v>163.13</v>
      </c>
      <c r="S55" s="133">
        <f>Q55+Q56</f>
        <v>339.81882148403474</v>
      </c>
      <c r="T55" s="100">
        <f>R55+R56</f>
        <v>339.81</v>
      </c>
      <c r="U55" s="134"/>
      <c r="V55" s="68"/>
      <c r="W55" s="68"/>
      <c r="X55" s="68"/>
      <c r="Y55" s="68"/>
      <c r="Z55" s="96"/>
      <c r="AA55" s="144"/>
      <c r="AB55" s="145"/>
      <c r="AC55" s="559"/>
      <c r="AD55" s="264" t="s">
        <v>66</v>
      </c>
      <c r="AE55" s="235">
        <f t="shared" si="12"/>
        <v>155.92215468145341</v>
      </c>
      <c r="AF55" s="236">
        <v>155.91805406622203</v>
      </c>
      <c r="AG55" s="122">
        <f>AE55+AE56</f>
        <v>324.79549672572534</v>
      </c>
      <c r="AH55" s="109">
        <v>324.78706523780363</v>
      </c>
      <c r="AI55" s="110"/>
      <c r="AJ55" s="111"/>
      <c r="AK55" s="229"/>
      <c r="AL55" s="211"/>
      <c r="AM55" s="217"/>
      <c r="AN55" s="559"/>
      <c r="AO55" s="266" t="s">
        <v>66</v>
      </c>
      <c r="AP55" s="115">
        <v>182.5</v>
      </c>
      <c r="AQ55" s="147"/>
      <c r="AR55" s="117">
        <f>AG55-AP55</f>
        <v>142.29549672572534</v>
      </c>
      <c r="AS55" s="139">
        <f>AR55/AP55</f>
        <v>0.77970135192178269</v>
      </c>
      <c r="AT55" s="118">
        <f>SQRT(AS55)*10</f>
        <v>8.8300699426549443</v>
      </c>
      <c r="AU55" s="118">
        <v>142.28706523780363</v>
      </c>
      <c r="AV55" s="119">
        <v>0.77965515198796509</v>
      </c>
      <c r="AW55" s="120"/>
      <c r="AX55" s="241"/>
      <c r="AY55" s="559"/>
      <c r="AZ55" s="264" t="s">
        <v>66</v>
      </c>
      <c r="BA55" s="242">
        <v>1046254720</v>
      </c>
      <c r="BB55" s="113">
        <f>(AP55*BA55)/1000000000</f>
        <v>190.9414864</v>
      </c>
      <c r="BC55" s="122"/>
      <c r="BD55" s="238">
        <f>BB55*1.3</f>
        <v>248.22393232000002</v>
      </c>
      <c r="BE55" s="257"/>
      <c r="BF55" s="70"/>
      <c r="BG55" s="261"/>
      <c r="BH55" s="211"/>
      <c r="BI55" s="211"/>
      <c r="BJ55" s="211"/>
      <c r="BK55" s="211"/>
      <c r="BL55" s="161"/>
      <c r="BM55" s="70"/>
      <c r="BN55" s="211"/>
      <c r="BO55" s="211"/>
      <c r="BP55" s="211"/>
      <c r="BQ55" s="262"/>
      <c r="BR55" s="229"/>
      <c r="BS55" s="229"/>
      <c r="BT55" s="229"/>
      <c r="BU55" s="229"/>
    </row>
    <row r="56" spans="1:73" ht="12.75">
      <c r="A56" s="222" t="s">
        <v>65</v>
      </c>
      <c r="B56" s="222" t="s">
        <v>103</v>
      </c>
      <c r="C56" s="290">
        <f>S54</f>
        <v>180.75230670397576</v>
      </c>
      <c r="D56" s="222">
        <v>0</v>
      </c>
      <c r="E56" s="222">
        <v>2</v>
      </c>
      <c r="F56" s="215">
        <v>54</v>
      </c>
      <c r="G56" s="189"/>
      <c r="H56" s="189"/>
      <c r="I56" s="33"/>
      <c r="J56" s="33"/>
      <c r="K56" s="37"/>
      <c r="L56" s="559"/>
      <c r="M56" s="264" t="s">
        <v>67</v>
      </c>
      <c r="N56" s="265">
        <f>'NUMBERS-DM'!I10</f>
        <v>0.20009573181879275</v>
      </c>
      <c r="O56" s="265">
        <v>0.2001</v>
      </c>
      <c r="P56" s="132">
        <f t="shared" si="11"/>
        <v>4.2681812072453695E-6</v>
      </c>
      <c r="Q56" s="132">
        <f>G$8*N56</f>
        <v>176.684531195994</v>
      </c>
      <c r="R56" s="100">
        <v>176.68</v>
      </c>
      <c r="S56" s="133"/>
      <c r="T56" s="100"/>
      <c r="U56" s="134"/>
      <c r="V56" s="68"/>
      <c r="W56" s="68"/>
      <c r="X56" s="68"/>
      <c r="Y56" s="68"/>
      <c r="Z56" s="96"/>
      <c r="AA56" s="144"/>
      <c r="AB56" s="145"/>
      <c r="AC56" s="559"/>
      <c r="AD56" s="264" t="s">
        <v>67</v>
      </c>
      <c r="AE56" s="235">
        <f t="shared" si="12"/>
        <v>168.87334204427196</v>
      </c>
      <c r="AF56" s="236">
        <v>168.8690111715816</v>
      </c>
      <c r="AG56" s="61"/>
      <c r="AH56" s="109"/>
      <c r="AI56" s="110"/>
      <c r="AJ56" s="111"/>
      <c r="AK56" s="229"/>
      <c r="AL56" s="211"/>
      <c r="AM56" s="217"/>
      <c r="AN56" s="559"/>
      <c r="AO56" s="266" t="s">
        <v>67</v>
      </c>
      <c r="AP56" s="115"/>
      <c r="AQ56" s="147"/>
      <c r="AR56" s="117"/>
      <c r="AS56" s="139"/>
      <c r="AT56" s="118"/>
      <c r="AU56" s="118">
        <v>0</v>
      </c>
      <c r="AV56" s="119"/>
      <c r="AW56" s="120"/>
      <c r="AX56" s="241"/>
      <c r="AY56" s="559"/>
      <c r="AZ56" s="264" t="s">
        <v>67</v>
      </c>
      <c r="BA56" s="242">
        <v>1046254720</v>
      </c>
      <c r="BB56" s="113"/>
      <c r="BC56" s="122"/>
      <c r="BD56" s="238"/>
      <c r="BE56" s="257"/>
      <c r="BF56" s="70"/>
      <c r="BG56" s="261"/>
      <c r="BH56" s="211"/>
      <c r="BI56" s="211"/>
      <c r="BJ56" s="211"/>
      <c r="BK56" s="211"/>
      <c r="BL56" s="161"/>
      <c r="BM56" s="70"/>
      <c r="BN56" s="211"/>
      <c r="BO56" s="211"/>
      <c r="BP56" s="211"/>
      <c r="BQ56" s="262"/>
      <c r="BR56" s="229"/>
      <c r="BS56" s="229"/>
      <c r="BT56" s="229"/>
      <c r="BU56" s="229"/>
    </row>
    <row r="57" spans="1:73" ht="12.75">
      <c r="A57" s="222" t="s">
        <v>65</v>
      </c>
      <c r="B57" s="222" t="s">
        <v>117</v>
      </c>
      <c r="C57" s="290">
        <f>S78</f>
        <v>43.790168848908586</v>
      </c>
      <c r="D57" s="222">
        <v>0</v>
      </c>
      <c r="E57" s="222">
        <v>2</v>
      </c>
      <c r="F57" s="215">
        <v>78</v>
      </c>
      <c r="G57" s="189"/>
      <c r="H57" s="189"/>
      <c r="I57" s="33"/>
      <c r="J57" s="33"/>
      <c r="K57" s="37"/>
      <c r="L57" s="559"/>
      <c r="M57" s="211" t="s">
        <v>68</v>
      </c>
      <c r="N57" s="265">
        <f>'NUMBERS-DM'!I12</f>
        <v>0.41366893744998845</v>
      </c>
      <c r="O57" s="265">
        <v>0.4279</v>
      </c>
      <c r="P57" s="132">
        <f t="shared" si="11"/>
        <v>1.4231062550011553E-2</v>
      </c>
      <c r="Q57" s="132">
        <f>G$9*N57</f>
        <v>347.89557639544029</v>
      </c>
      <c r="R57" s="100">
        <v>359.87</v>
      </c>
      <c r="S57" s="133">
        <f>Q57</f>
        <v>347.89557639544029</v>
      </c>
      <c r="T57" s="100">
        <f>R57</f>
        <v>359.87</v>
      </c>
      <c r="U57" s="134"/>
      <c r="V57" s="68"/>
      <c r="W57" s="68"/>
      <c r="X57" s="68"/>
      <c r="Y57" s="68"/>
      <c r="Z57" s="96"/>
      <c r="AA57" s="144"/>
      <c r="AB57" s="145"/>
      <c r="AC57" s="559"/>
      <c r="AD57" s="211" t="s">
        <v>68</v>
      </c>
      <c r="AE57" s="235">
        <f t="shared" si="12"/>
        <v>332.51517985547565</v>
      </c>
      <c r="AF57" s="236">
        <v>343.96021649488949</v>
      </c>
      <c r="AG57" s="122">
        <f>AE57</f>
        <v>332.51517985547565</v>
      </c>
      <c r="AH57" s="109">
        <v>343.96021649488949</v>
      </c>
      <c r="AI57" s="110"/>
      <c r="AJ57" s="111"/>
      <c r="AK57" s="229"/>
      <c r="AL57" s="211"/>
      <c r="AM57" s="217"/>
      <c r="AN57" s="559"/>
      <c r="AO57" s="260" t="s">
        <v>68</v>
      </c>
      <c r="AP57" s="115">
        <v>91.25</v>
      </c>
      <c r="AQ57" s="147"/>
      <c r="AR57" s="117">
        <f>AG57-AP57</f>
        <v>241.26517985547565</v>
      </c>
      <c r="AS57" s="139">
        <f>AR57/AP57</f>
        <v>2.6440019710189113</v>
      </c>
      <c r="AT57" s="118">
        <f>SQRT(AS57)*10</f>
        <v>16.260387360142779</v>
      </c>
      <c r="AU57" s="118">
        <v>252.71021649488949</v>
      </c>
      <c r="AV57" s="119">
        <v>2.7694270300809807</v>
      </c>
      <c r="AW57" s="120"/>
      <c r="AX57" s="241"/>
      <c r="AY57" s="559"/>
      <c r="AZ57" s="211" t="s">
        <v>68</v>
      </c>
      <c r="BA57" s="242">
        <v>1046254720</v>
      </c>
      <c r="BB57" s="113">
        <f>(AP57*BA57)/1000000000</f>
        <v>95.470743200000001</v>
      </c>
      <c r="BC57" s="122"/>
      <c r="BD57" s="238">
        <f>BB57*1.3</f>
        <v>124.11196616000001</v>
      </c>
      <c r="BE57" s="257"/>
      <c r="BF57" s="70"/>
      <c r="BG57" s="261"/>
      <c r="BH57" s="211"/>
      <c r="BI57" s="211"/>
      <c r="BJ57" s="211"/>
      <c r="BK57" s="211"/>
      <c r="BL57" s="161"/>
      <c r="BM57" s="70"/>
      <c r="BN57" s="211"/>
      <c r="BO57" s="211"/>
      <c r="BP57" s="211"/>
      <c r="BQ57" s="262"/>
      <c r="BR57" s="229"/>
      <c r="BS57" s="229"/>
      <c r="BT57" s="229"/>
      <c r="BU57" s="229"/>
    </row>
    <row r="58" spans="1:73" ht="12.75">
      <c r="A58" s="222" t="s">
        <v>65</v>
      </c>
      <c r="B58" s="222" t="s">
        <v>119</v>
      </c>
      <c r="C58" s="290">
        <f>S18</f>
        <v>505.60206627048456</v>
      </c>
      <c r="D58" s="222">
        <v>0</v>
      </c>
      <c r="E58" s="222">
        <v>2</v>
      </c>
      <c r="F58" s="215">
        <v>18</v>
      </c>
      <c r="G58" s="189"/>
      <c r="H58" s="189"/>
      <c r="I58" s="33"/>
      <c r="J58" s="33"/>
      <c r="K58" s="37"/>
      <c r="L58" s="559"/>
      <c r="M58" s="230" t="s">
        <v>70</v>
      </c>
      <c r="N58" s="265">
        <f>'NUMBERS-DM'!I14</f>
        <v>0.2554070854329708</v>
      </c>
      <c r="O58" s="265">
        <v>0.25540000000000002</v>
      </c>
      <c r="P58" s="132">
        <f t="shared" si="11"/>
        <v>-7.0854329707881192E-6</v>
      </c>
      <c r="Q58" s="132">
        <f>G$10*N58</f>
        <v>54.146302111789808</v>
      </c>
      <c r="R58" s="100">
        <v>54.15</v>
      </c>
      <c r="S58" s="133">
        <f>Q58</f>
        <v>54.146302111789808</v>
      </c>
      <c r="T58" s="100">
        <f>R58</f>
        <v>54.15</v>
      </c>
      <c r="U58" s="134"/>
      <c r="V58" s="68"/>
      <c r="W58" s="68"/>
      <c r="X58" s="68"/>
      <c r="Y58" s="68"/>
      <c r="Z58" s="96"/>
      <c r="AA58" s="144"/>
      <c r="AB58" s="145"/>
      <c r="AC58" s="559"/>
      <c r="AD58" s="230" t="s">
        <v>70</v>
      </c>
      <c r="AE58" s="235">
        <f t="shared" si="12"/>
        <v>51.752504506541015</v>
      </c>
      <c r="AF58" s="236">
        <v>51.756038911824447</v>
      </c>
      <c r="AG58" s="122">
        <f>AE58</f>
        <v>51.752504506541015</v>
      </c>
      <c r="AH58" s="109">
        <v>51.756038911824447</v>
      </c>
      <c r="AI58" s="110"/>
      <c r="AJ58" s="111"/>
      <c r="AK58" s="250"/>
      <c r="AL58" s="230"/>
      <c r="AM58" s="270"/>
      <c r="AN58" s="559"/>
      <c r="AO58" s="240" t="s">
        <v>70</v>
      </c>
      <c r="AP58" s="115">
        <v>5.1100000000000003</v>
      </c>
      <c r="AQ58" s="147"/>
      <c r="AR58" s="117">
        <f>AG58-AP58</f>
        <v>46.642504506541016</v>
      </c>
      <c r="AS58" s="139">
        <f>AR58/AP58</f>
        <v>9.1276916842546019</v>
      </c>
      <c r="AT58" s="118">
        <f>SQRT(AS58)*10</f>
        <v>30.212069912957968</v>
      </c>
      <c r="AU58" s="118">
        <v>46.646038911824448</v>
      </c>
      <c r="AV58" s="119">
        <v>9.1283833486936299</v>
      </c>
      <c r="AW58" s="120"/>
      <c r="AX58" s="241"/>
      <c r="AY58" s="559"/>
      <c r="AZ58" s="230" t="s">
        <v>70</v>
      </c>
      <c r="BA58" s="242">
        <v>1046254720</v>
      </c>
      <c r="BB58" s="113">
        <f>(AP58*BA58)/1000000000</f>
        <v>5.3463616192000005</v>
      </c>
      <c r="BC58" s="122"/>
      <c r="BD58" s="238">
        <f>BB58*1.3</f>
        <v>6.9502701049600013</v>
      </c>
      <c r="BE58" s="201"/>
      <c r="BF58" s="88"/>
      <c r="BG58" s="271"/>
      <c r="BH58" s="230"/>
      <c r="BI58" s="230"/>
      <c r="BJ58" s="230"/>
      <c r="BK58" s="230"/>
      <c r="BL58" s="100"/>
      <c r="BM58" s="88"/>
      <c r="BN58" s="230"/>
      <c r="BO58" s="230"/>
      <c r="BP58" s="230"/>
      <c r="BQ58" s="249"/>
      <c r="BR58" s="250"/>
      <c r="BS58" s="250"/>
      <c r="BT58" s="250"/>
      <c r="BU58" s="250"/>
    </row>
    <row r="59" spans="1:73" ht="12.75">
      <c r="A59" s="222" t="s">
        <v>65</v>
      </c>
      <c r="B59" s="222" t="s">
        <v>121</v>
      </c>
      <c r="C59" s="290">
        <f>S66</f>
        <v>97.544959400220392</v>
      </c>
      <c r="D59" s="222">
        <v>0</v>
      </c>
      <c r="E59" s="222">
        <v>2</v>
      </c>
      <c r="F59" s="215">
        <v>66</v>
      </c>
      <c r="G59" s="189"/>
      <c r="H59" s="189"/>
      <c r="I59" s="33"/>
      <c r="J59" s="33"/>
      <c r="K59" s="37"/>
      <c r="L59" s="559"/>
      <c r="M59" s="275" t="s">
        <v>71</v>
      </c>
      <c r="N59" s="265">
        <f>'NUMBERS-DM'!I16</f>
        <v>0.20850928142890707</v>
      </c>
      <c r="O59" s="265">
        <v>0.20849999999999999</v>
      </c>
      <c r="P59" s="132">
        <f t="shared" si="11"/>
        <v>-9.2814289070763945E-6</v>
      </c>
      <c r="Q59" s="132">
        <f>G$11*N59</f>
        <v>27.940243711473546</v>
      </c>
      <c r="R59" s="100">
        <v>27.94</v>
      </c>
      <c r="S59" s="133">
        <f>Q59+Q61+Q60</f>
        <v>62.076993746261579</v>
      </c>
      <c r="T59" s="100">
        <f>R59+R60+R61</f>
        <v>62.080000000000005</v>
      </c>
      <c r="U59" s="134"/>
      <c r="V59" s="68"/>
      <c r="W59" s="68"/>
      <c r="X59" s="68"/>
      <c r="Y59" s="68"/>
      <c r="Z59" s="96"/>
      <c r="AA59" s="144"/>
      <c r="AB59" s="145"/>
      <c r="AC59" s="559"/>
      <c r="AD59" s="275" t="s">
        <v>71</v>
      </c>
      <c r="AE59" s="235">
        <f t="shared" si="12"/>
        <v>26.705010909268392</v>
      </c>
      <c r="AF59" s="236">
        <v>26.704777972232229</v>
      </c>
      <c r="AG59" s="122">
        <f>AE59+AE61+AE60</f>
        <v>59.332581788746026</v>
      </c>
      <c r="AH59" s="109">
        <v>59.335455136584713</v>
      </c>
      <c r="AI59" s="110"/>
      <c r="AJ59" s="111"/>
      <c r="AK59" s="229"/>
      <c r="AL59" s="211"/>
      <c r="AM59" s="217"/>
      <c r="AN59" s="559"/>
      <c r="AO59" s="276" t="s">
        <v>71</v>
      </c>
      <c r="AP59" s="115">
        <v>25.55</v>
      </c>
      <c r="AQ59" s="147"/>
      <c r="AR59" s="117">
        <f>AG59-AP59</f>
        <v>33.782581788746029</v>
      </c>
      <c r="AS59" s="139">
        <f>AR59/AP59</f>
        <v>1.3222145514186312</v>
      </c>
      <c r="AT59" s="118">
        <f>SQRT(AS59)*10</f>
        <v>11.498758852235449</v>
      </c>
      <c r="AU59" s="118">
        <v>33.785455136584716</v>
      </c>
      <c r="AV59" s="119">
        <v>1.322327011216623</v>
      </c>
      <c r="AW59" s="120"/>
      <c r="AX59" s="241"/>
      <c r="AY59" s="559"/>
      <c r="AZ59" s="275" t="s">
        <v>71</v>
      </c>
      <c r="BA59" s="242">
        <v>1046254720</v>
      </c>
      <c r="BB59" s="113">
        <f>(AP59*BA59)/1000000000</f>
        <v>26.731808096000002</v>
      </c>
      <c r="BC59" s="122"/>
      <c r="BD59" s="238">
        <f>BB59*1.3</f>
        <v>34.751350524800003</v>
      </c>
      <c r="BE59" s="257"/>
      <c r="BF59" s="70"/>
      <c r="BG59" s="261"/>
      <c r="BH59" s="211"/>
      <c r="BI59" s="211"/>
      <c r="BJ59" s="211"/>
      <c r="BK59" s="211"/>
      <c r="BL59" s="161"/>
      <c r="BM59" s="70"/>
      <c r="BN59" s="211"/>
      <c r="BO59" s="211"/>
      <c r="BP59" s="211"/>
      <c r="BQ59" s="262"/>
      <c r="BR59" s="229"/>
      <c r="BS59" s="229"/>
      <c r="BT59" s="229"/>
      <c r="BU59" s="229"/>
    </row>
    <row r="60" spans="1:73" ht="12.75">
      <c r="A60" s="222" t="s">
        <v>126</v>
      </c>
      <c r="B60" s="222" t="s">
        <v>115</v>
      </c>
      <c r="C60" s="290">
        <f>S35</f>
        <v>12.356674670436348</v>
      </c>
      <c r="D60" s="222">
        <v>0</v>
      </c>
      <c r="E60" s="222">
        <v>2</v>
      </c>
      <c r="F60" s="215">
        <v>35</v>
      </c>
      <c r="G60" s="189"/>
      <c r="H60" s="189"/>
      <c r="I60" s="33"/>
      <c r="J60" s="33"/>
      <c r="K60" s="37"/>
      <c r="L60" s="559"/>
      <c r="M60" s="275" t="s">
        <v>72</v>
      </c>
      <c r="N60" s="265">
        <f>'NUMBERS-DM'!I18</f>
        <v>0.12788100525737855</v>
      </c>
      <c r="O60" s="265">
        <v>0.12790000000000001</v>
      </c>
      <c r="P60" s="132">
        <f t="shared" si="11"/>
        <v>1.8994742621458727E-5</v>
      </c>
      <c r="Q60" s="132">
        <f>G$12*N60</f>
        <v>19.821555814893674</v>
      </c>
      <c r="R60" s="100">
        <v>19.82</v>
      </c>
      <c r="S60" s="133"/>
      <c r="T60" s="100"/>
      <c r="U60" s="134"/>
      <c r="V60" s="68"/>
      <c r="W60" s="68"/>
      <c r="X60" s="68"/>
      <c r="Y60" s="68"/>
      <c r="Z60" s="96"/>
      <c r="AA60" s="144"/>
      <c r="AB60" s="145"/>
      <c r="AC60" s="559"/>
      <c r="AD60" s="275" t="s">
        <v>72</v>
      </c>
      <c r="AE60" s="235">
        <f t="shared" si="12"/>
        <v>18.94524864355563</v>
      </c>
      <c r="AF60" s="236">
        <v>18.943761610939255</v>
      </c>
      <c r="AG60" s="61"/>
      <c r="AH60" s="109"/>
      <c r="AI60" s="110"/>
      <c r="AJ60" s="111"/>
      <c r="AK60" s="229"/>
      <c r="AL60" s="211"/>
      <c r="AM60" s="217"/>
      <c r="AN60" s="559"/>
      <c r="AO60" s="276" t="s">
        <v>72</v>
      </c>
      <c r="AP60" s="115"/>
      <c r="AQ60" s="147"/>
      <c r="AR60" s="117"/>
      <c r="AS60" s="117"/>
      <c r="AT60" s="118"/>
      <c r="AU60" s="118">
        <v>0</v>
      </c>
      <c r="AV60" s="119"/>
      <c r="AW60" s="120"/>
      <c r="AX60" s="241"/>
      <c r="AY60" s="559"/>
      <c r="AZ60" s="275" t="s">
        <v>72</v>
      </c>
      <c r="BA60" s="242">
        <v>1046254720</v>
      </c>
      <c r="BB60" s="113"/>
      <c r="BC60" s="122"/>
      <c r="BD60" s="238"/>
      <c r="BE60" s="257"/>
      <c r="BF60" s="70"/>
      <c r="BG60" s="261"/>
      <c r="BH60" s="211"/>
      <c r="BI60" s="211"/>
      <c r="BJ60" s="211"/>
      <c r="BK60" s="211"/>
      <c r="BL60" s="161"/>
      <c r="BM60" s="70"/>
      <c r="BN60" s="211"/>
      <c r="BO60" s="211"/>
      <c r="BP60" s="211"/>
      <c r="BQ60" s="262"/>
      <c r="BR60" s="229"/>
      <c r="BS60" s="229"/>
      <c r="BT60" s="229"/>
      <c r="BU60" s="229"/>
    </row>
    <row r="61" spans="1:73" ht="12.75">
      <c r="A61" s="222" t="s">
        <v>126</v>
      </c>
      <c r="B61" s="222" t="s">
        <v>95</v>
      </c>
      <c r="C61" s="290">
        <f>S47</f>
        <v>16.50994890926443</v>
      </c>
      <c r="D61" s="222">
        <v>0</v>
      </c>
      <c r="E61" s="222">
        <v>2</v>
      </c>
      <c r="F61" s="215">
        <v>47</v>
      </c>
      <c r="G61" s="189"/>
      <c r="H61" s="189"/>
      <c r="I61" s="33"/>
      <c r="J61" s="33"/>
      <c r="K61" s="37"/>
      <c r="L61" s="559"/>
      <c r="M61" s="275" t="s">
        <v>73</v>
      </c>
      <c r="N61" s="265">
        <f>'NUMBERS-DM'!I20</f>
        <v>0.17268026803250125</v>
      </c>
      <c r="O61" s="265">
        <v>0.17269999999999999</v>
      </c>
      <c r="P61" s="132">
        <f t="shared" si="11"/>
        <v>1.9731967498742842E-5</v>
      </c>
      <c r="Q61" s="132">
        <f>G$13*N61</f>
        <v>14.315194219894355</v>
      </c>
      <c r="R61" s="100">
        <v>14.32</v>
      </c>
      <c r="S61" s="133"/>
      <c r="T61" s="100"/>
      <c r="U61" s="134"/>
      <c r="V61" s="68"/>
      <c r="W61" s="68"/>
      <c r="X61" s="68"/>
      <c r="Y61" s="68"/>
      <c r="Z61" s="96"/>
      <c r="AA61" s="144"/>
      <c r="AB61" s="145"/>
      <c r="AC61" s="559"/>
      <c r="AD61" s="275" t="s">
        <v>73</v>
      </c>
      <c r="AE61" s="235">
        <f t="shared" si="12"/>
        <v>13.682322235922008</v>
      </c>
      <c r="AF61" s="236">
        <v>13.686915553413225</v>
      </c>
      <c r="AG61" s="61"/>
      <c r="AH61" s="109"/>
      <c r="AI61" s="110"/>
      <c r="AJ61" s="111"/>
      <c r="AK61" s="229"/>
      <c r="AL61" s="211"/>
      <c r="AM61" s="217"/>
      <c r="AN61" s="559"/>
      <c r="AO61" s="276" t="s">
        <v>73</v>
      </c>
      <c r="AP61" s="115"/>
      <c r="AQ61" s="147"/>
      <c r="AR61" s="117"/>
      <c r="AS61" s="117"/>
      <c r="AT61" s="118"/>
      <c r="AU61" s="118">
        <v>0</v>
      </c>
      <c r="AV61" s="119"/>
      <c r="AW61" s="120"/>
      <c r="AX61" s="241"/>
      <c r="AY61" s="559"/>
      <c r="AZ61" s="275" t="s">
        <v>73</v>
      </c>
      <c r="BA61" s="242">
        <v>1046254720</v>
      </c>
      <c r="BB61" s="113"/>
      <c r="BC61" s="122"/>
      <c r="BD61" s="238"/>
      <c r="BE61" s="257"/>
      <c r="BF61" s="70"/>
      <c r="BG61" s="261"/>
      <c r="BH61" s="211"/>
      <c r="BI61" s="211"/>
      <c r="BJ61" s="211"/>
      <c r="BK61" s="211"/>
      <c r="BL61" s="161"/>
      <c r="BM61" s="70"/>
      <c r="BN61" s="211"/>
      <c r="BO61" s="211"/>
      <c r="BP61" s="211"/>
      <c r="BQ61" s="262"/>
      <c r="BR61" s="229"/>
      <c r="BS61" s="229"/>
      <c r="BT61" s="229"/>
      <c r="BU61" s="229"/>
    </row>
    <row r="62" spans="1:73" ht="12.75">
      <c r="A62" s="222" t="s">
        <v>126</v>
      </c>
      <c r="B62" s="222" t="s">
        <v>116</v>
      </c>
      <c r="C62" s="290">
        <f>S11</f>
        <v>19.725860707303717</v>
      </c>
      <c r="D62" s="222">
        <v>0</v>
      </c>
      <c r="E62" s="222">
        <v>2</v>
      </c>
      <c r="F62" s="215">
        <v>11</v>
      </c>
      <c r="G62" s="189"/>
      <c r="H62" s="189"/>
      <c r="I62" s="33"/>
      <c r="J62" s="33"/>
      <c r="K62" s="37"/>
      <c r="L62" s="559"/>
      <c r="M62" s="282" t="s">
        <v>75</v>
      </c>
      <c r="N62" s="265">
        <f>'NUMBERS-DM'!I22</f>
        <v>7.6626108407271173E-2</v>
      </c>
      <c r="O62" s="265">
        <v>7.6600000000000001E-2</v>
      </c>
      <c r="P62" s="132">
        <f t="shared" si="11"/>
        <v>-2.6108407271172029E-5</v>
      </c>
      <c r="Q62" s="132">
        <f>G$14*N62</f>
        <v>31.523980998751362</v>
      </c>
      <c r="R62" s="100">
        <v>34.839999999999996</v>
      </c>
      <c r="S62" s="133">
        <f>Q62+Q63</f>
        <v>32.647612859498139</v>
      </c>
      <c r="T62" s="100">
        <f>R62</f>
        <v>34.839999999999996</v>
      </c>
      <c r="U62" s="134"/>
      <c r="V62" s="68"/>
      <c r="W62" s="68"/>
      <c r="X62" s="68"/>
      <c r="Y62" s="68"/>
      <c r="Z62" s="96"/>
      <c r="AA62" s="144"/>
      <c r="AB62" s="145"/>
      <c r="AC62" s="559"/>
      <c r="AD62" s="282" t="s">
        <v>75</v>
      </c>
      <c r="AE62" s="235">
        <f t="shared" si="12"/>
        <v>30.130311860147557</v>
      </c>
      <c r="AF62" s="236">
        <v>33.299730298946699</v>
      </c>
      <c r="AG62" s="122">
        <f>AE62+AE63</f>
        <v>31.204268172379795</v>
      </c>
      <c r="AH62" s="109">
        <v>33.299730298946699</v>
      </c>
      <c r="AI62" s="110"/>
      <c r="AJ62" s="111"/>
      <c r="AK62" s="229"/>
      <c r="AL62" s="211"/>
      <c r="AM62" s="217"/>
      <c r="AN62" s="559"/>
      <c r="AO62" s="282" t="s">
        <v>75</v>
      </c>
      <c r="AP62" s="115">
        <v>45.625</v>
      </c>
      <c r="AQ62" s="147"/>
      <c r="AR62" s="117">
        <f>AG62-AP62</f>
        <v>-14.420731827620205</v>
      </c>
      <c r="AS62" s="139">
        <f>AR62/AP62</f>
        <v>-0.31607083457797708</v>
      </c>
      <c r="AT62" s="118">
        <f>SQRT(-AS62)*10</f>
        <v>5.6220177390148551</v>
      </c>
      <c r="AU62" s="118">
        <v>-12.325269701053301</v>
      </c>
      <c r="AV62" s="119">
        <v>-0.27014289755733262</v>
      </c>
      <c r="AW62" s="120"/>
      <c r="AX62" s="241"/>
      <c r="AY62" s="559"/>
      <c r="AZ62" s="211" t="s">
        <v>75</v>
      </c>
      <c r="BA62" s="242">
        <v>1046254720</v>
      </c>
      <c r="BB62" s="113">
        <f>(AP62*BA62)/1000000000</f>
        <v>47.735371600000001</v>
      </c>
      <c r="BC62" s="122"/>
      <c r="BD62" s="238">
        <f>BB62*1.3</f>
        <v>62.055983080000004</v>
      </c>
      <c r="BE62" s="257"/>
      <c r="BF62" s="70"/>
      <c r="BG62" s="261"/>
      <c r="BH62" s="211"/>
      <c r="BI62" s="211"/>
      <c r="BJ62" s="211"/>
      <c r="BK62" s="211"/>
      <c r="BL62" s="161"/>
      <c r="BM62" s="70"/>
      <c r="BN62" s="211"/>
      <c r="BO62" s="211"/>
      <c r="BP62" s="211"/>
      <c r="BQ62" s="262"/>
      <c r="BR62" s="229"/>
      <c r="BS62" s="229"/>
      <c r="BT62" s="229"/>
      <c r="BU62" s="229"/>
    </row>
    <row r="63" spans="1:73" ht="12.75">
      <c r="A63" s="222" t="s">
        <v>126</v>
      </c>
      <c r="B63" s="222" t="s">
        <v>103</v>
      </c>
      <c r="C63" s="290">
        <f>S59</f>
        <v>62.076993746261579</v>
      </c>
      <c r="D63" s="222">
        <v>0</v>
      </c>
      <c r="E63" s="222">
        <v>2</v>
      </c>
      <c r="F63" s="215">
        <v>59</v>
      </c>
      <c r="G63" s="189"/>
      <c r="H63" s="189"/>
      <c r="I63" s="33"/>
      <c r="J63" s="33"/>
      <c r="K63" s="37"/>
      <c r="L63" s="189"/>
      <c r="M63" s="283" t="s">
        <v>77</v>
      </c>
      <c r="N63" s="265">
        <f>'NUMBERS-DM'!I24</f>
        <v>0.21200601146165543</v>
      </c>
      <c r="O63" s="265">
        <v>0.21199999999999999</v>
      </c>
      <c r="P63" s="132">
        <f t="shared" si="11"/>
        <v>-6.0114616554363121E-6</v>
      </c>
      <c r="Q63" s="132">
        <f>G$15*N63</f>
        <v>1.1236318607467737</v>
      </c>
      <c r="R63" s="100"/>
      <c r="S63" s="101"/>
      <c r="T63" s="100"/>
      <c r="U63" s="134"/>
      <c r="V63" s="68"/>
      <c r="W63" s="68"/>
      <c r="X63" s="68"/>
      <c r="Y63" s="68"/>
      <c r="Z63" s="96"/>
      <c r="AA63" s="144"/>
      <c r="AB63" s="145"/>
      <c r="AC63" s="189"/>
      <c r="AD63" s="283" t="s">
        <v>77</v>
      </c>
      <c r="AE63" s="235">
        <f t="shared" si="12"/>
        <v>1.0739563122322389</v>
      </c>
      <c r="AF63" s="236"/>
      <c r="AG63" s="109"/>
      <c r="AH63" s="109"/>
      <c r="AI63" s="110"/>
      <c r="AJ63" s="111"/>
      <c r="AK63" s="237"/>
      <c r="AL63" s="238"/>
      <c r="AM63" s="239"/>
      <c r="AN63" s="193"/>
      <c r="AO63" s="283" t="s">
        <v>77</v>
      </c>
      <c r="AP63" s="115"/>
      <c r="AQ63" s="116"/>
      <c r="AR63" s="117"/>
      <c r="AS63" s="117"/>
      <c r="AT63" s="118"/>
      <c r="AU63" s="118"/>
      <c r="AV63" s="119"/>
      <c r="AW63" s="120"/>
      <c r="AX63" s="241"/>
      <c r="AY63" s="193"/>
      <c r="AZ63" s="230"/>
      <c r="BA63" s="242">
        <v>1046254720</v>
      </c>
      <c r="BB63" s="113"/>
      <c r="BC63" s="122"/>
      <c r="BD63" s="238"/>
      <c r="BE63" s="243"/>
      <c r="BF63" s="113"/>
      <c r="BG63" s="244"/>
      <c r="BH63" s="211"/>
      <c r="BI63" s="211"/>
      <c r="BJ63" s="211"/>
      <c r="BK63" s="211"/>
      <c r="BL63" s="161"/>
      <c r="BM63" s="70"/>
      <c r="BN63" s="211"/>
      <c r="BO63" s="211"/>
      <c r="BP63" s="211"/>
      <c r="BQ63" s="262"/>
      <c r="BR63" s="229"/>
      <c r="BS63" s="229"/>
      <c r="BT63" s="229"/>
      <c r="BU63" s="229"/>
    </row>
    <row r="64" spans="1:73" ht="12.75">
      <c r="A64" s="222" t="s">
        <v>126</v>
      </c>
      <c r="B64" s="222" t="s">
        <v>117</v>
      </c>
      <c r="C64" s="290">
        <f>S83</f>
        <v>38.413547620458445</v>
      </c>
      <c r="D64" s="222">
        <v>0</v>
      </c>
      <c r="E64" s="222">
        <v>2</v>
      </c>
      <c r="F64" s="215">
        <v>83</v>
      </c>
      <c r="G64" s="189"/>
      <c r="H64" s="189"/>
      <c r="I64" s="33"/>
      <c r="J64" s="33"/>
      <c r="K64" s="37"/>
      <c r="L64" s="189"/>
      <c r="M64" s="230"/>
      <c r="N64" s="100"/>
      <c r="O64" s="100"/>
      <c r="P64" s="100"/>
      <c r="Q64" s="100"/>
      <c r="R64" s="100"/>
      <c r="S64" s="133"/>
      <c r="T64" s="100"/>
      <c r="U64" s="134"/>
      <c r="V64" s="68"/>
      <c r="W64" s="68"/>
      <c r="X64" s="68"/>
      <c r="Y64" s="68"/>
      <c r="Z64" s="96"/>
      <c r="AA64" s="144"/>
      <c r="AB64" s="145"/>
      <c r="AC64" s="189"/>
      <c r="AD64" s="230"/>
      <c r="AE64" s="235"/>
      <c r="AF64" s="236"/>
      <c r="AG64" s="109"/>
      <c r="AH64" s="109"/>
      <c r="AI64" s="110"/>
      <c r="AJ64" s="111"/>
      <c r="AK64" s="237"/>
      <c r="AL64" s="238"/>
      <c r="AM64" s="239"/>
      <c r="AN64" s="193"/>
      <c r="AO64" s="240"/>
      <c r="AP64" s="115"/>
      <c r="AQ64" s="116"/>
      <c r="AR64" s="117"/>
      <c r="AS64" s="117"/>
      <c r="AT64" s="118"/>
      <c r="AU64" s="118"/>
      <c r="AV64" s="119"/>
      <c r="AW64" s="120"/>
      <c r="AX64" s="241"/>
      <c r="AY64" s="193"/>
      <c r="AZ64" s="230"/>
      <c r="BA64" s="242"/>
      <c r="BB64" s="113"/>
      <c r="BC64" s="122"/>
      <c r="BD64" s="238"/>
      <c r="BE64" s="243"/>
      <c r="BF64" s="113"/>
      <c r="BG64" s="244"/>
      <c r="BH64" s="211"/>
      <c r="BI64" s="211"/>
      <c r="BJ64" s="211"/>
      <c r="BK64" s="211"/>
      <c r="BL64" s="161"/>
      <c r="BM64" s="70"/>
      <c r="BN64" s="211"/>
      <c r="BO64" s="211"/>
      <c r="BP64" s="211"/>
      <c r="BQ64" s="262"/>
      <c r="BR64" s="229"/>
      <c r="BS64" s="229"/>
      <c r="BT64" s="229"/>
      <c r="BU64" s="229"/>
    </row>
    <row r="65" spans="1:73" ht="12.75">
      <c r="A65" s="222" t="s">
        <v>126</v>
      </c>
      <c r="B65" s="222" t="s">
        <v>119</v>
      </c>
      <c r="C65" s="290">
        <f>S23</f>
        <v>182.05431489092712</v>
      </c>
      <c r="D65" s="222">
        <v>0</v>
      </c>
      <c r="E65" s="222">
        <v>2</v>
      </c>
      <c r="F65" s="215">
        <v>23</v>
      </c>
      <c r="G65" s="189"/>
      <c r="H65" s="189"/>
      <c r="I65" s="33"/>
      <c r="J65" s="33"/>
      <c r="K65" s="37"/>
      <c r="L65" s="565" t="s">
        <v>104</v>
      </c>
      <c r="M65" s="230" t="s">
        <v>62</v>
      </c>
      <c r="N65" s="265">
        <f>'NUMBERS-DM'!J4</f>
        <v>6.9689599800613039E-2</v>
      </c>
      <c r="O65" s="265">
        <v>3.9100000000000003E-2</v>
      </c>
      <c r="P65" s="132">
        <f t="shared" ref="P65:P75" si="13">O65-N65</f>
        <v>-3.0589599800613036E-2</v>
      </c>
      <c r="Q65" s="132">
        <f>G$5*N65</f>
        <v>58.169908953571706</v>
      </c>
      <c r="R65" s="100">
        <v>32.659999999999997</v>
      </c>
      <c r="S65" s="133">
        <f>Q65</f>
        <v>58.169908953571706</v>
      </c>
      <c r="T65" s="100">
        <f>R65</f>
        <v>32.659999999999997</v>
      </c>
      <c r="U65" s="134">
        <f>SUM(S65:S75)</f>
        <v>522.95553357786275</v>
      </c>
      <c r="V65" s="104"/>
      <c r="W65" s="104"/>
      <c r="X65" s="104">
        <f>U65/U$4</f>
        <v>8.7605165890694101E-2</v>
      </c>
      <c r="Y65" s="68">
        <v>608.7600000000001</v>
      </c>
      <c r="Z65" s="136">
        <f>BA65/BA$4</f>
        <v>9.0568730205275852E-2</v>
      </c>
      <c r="AA65" s="144"/>
      <c r="AB65" s="145"/>
      <c r="AC65" s="565" t="s">
        <v>104</v>
      </c>
      <c r="AD65" s="230" t="s">
        <v>62</v>
      </c>
      <c r="AE65" s="235">
        <f t="shared" ref="AE65:AE75" si="14">SUM(Q65*1000000)/BA65*1000</f>
        <v>100.09782819133646</v>
      </c>
      <c r="AF65" s="236">
        <v>56.200793976458783</v>
      </c>
      <c r="AG65" s="122">
        <f>AE65</f>
        <v>100.09782819133646</v>
      </c>
      <c r="AH65" s="109">
        <v>56.200793976458783</v>
      </c>
      <c r="AI65" s="110">
        <f>SUM(AG65:AG75)</f>
        <v>899.89333133675871</v>
      </c>
      <c r="AJ65" s="111">
        <v>1047.544254167454</v>
      </c>
      <c r="AK65" s="254">
        <f>AI65/20</f>
        <v>44.994666566837935</v>
      </c>
      <c r="AL65" s="238"/>
      <c r="AM65" s="239"/>
      <c r="AN65" s="566" t="s">
        <v>104</v>
      </c>
      <c r="AO65" s="240" t="s">
        <v>62</v>
      </c>
      <c r="AP65" s="115">
        <v>18.25</v>
      </c>
      <c r="AQ65" s="116">
        <v>452.96500000000003</v>
      </c>
      <c r="AR65" s="117">
        <f>AG65-AP65</f>
        <v>81.847828191336461</v>
      </c>
      <c r="AS65" s="139">
        <f>AR65/AP65</f>
        <v>4.4848125036348749</v>
      </c>
      <c r="AT65" s="118">
        <f>SQRT(AS65)*10</f>
        <v>21.177375908348218</v>
      </c>
      <c r="AU65" s="118">
        <v>37.950793976458783</v>
      </c>
      <c r="AV65" s="119">
        <v>2.079495560353906</v>
      </c>
      <c r="AW65" s="120"/>
      <c r="AX65" s="241"/>
      <c r="AY65" s="566" t="s">
        <v>104</v>
      </c>
      <c r="AZ65" s="230" t="s">
        <v>62</v>
      </c>
      <c r="BA65" s="242">
        <v>581130580</v>
      </c>
      <c r="BB65" s="113">
        <f>(AP65*BA65)/1000000000</f>
        <v>10.605633084999999</v>
      </c>
      <c r="BC65" s="122">
        <f>SUM(BB65:BB74)</f>
        <v>263.23181316969999</v>
      </c>
      <c r="BD65" s="238">
        <f>BB65*1.3</f>
        <v>13.7873230105</v>
      </c>
      <c r="BE65" s="243">
        <f>SUM(BD65:BD75)</f>
        <v>342.20135712061006</v>
      </c>
      <c r="BF65" s="113"/>
      <c r="BG65" s="244"/>
      <c r="BH65" s="211"/>
      <c r="BI65" s="211"/>
      <c r="BJ65" s="211"/>
      <c r="BK65" s="211"/>
      <c r="BL65" s="161"/>
      <c r="BM65" s="70"/>
      <c r="BN65" s="211"/>
      <c r="BO65" s="211"/>
      <c r="BP65" s="211"/>
      <c r="BQ65" s="262"/>
      <c r="BR65" s="229"/>
      <c r="BS65" s="229"/>
      <c r="BT65" s="229"/>
      <c r="BU65" s="229"/>
    </row>
    <row r="66" spans="1:73" ht="12.75">
      <c r="A66" s="222" t="s">
        <v>126</v>
      </c>
      <c r="B66" s="222" t="s">
        <v>121</v>
      </c>
      <c r="C66" s="290">
        <f>S71</f>
        <v>40.762659455348341</v>
      </c>
      <c r="D66" s="222">
        <v>0</v>
      </c>
      <c r="E66" s="222">
        <v>2</v>
      </c>
      <c r="F66" s="215">
        <v>31</v>
      </c>
      <c r="G66" s="189"/>
      <c r="H66" s="189"/>
      <c r="I66" s="33"/>
      <c r="J66" s="33"/>
      <c r="K66" s="37"/>
      <c r="L66" s="559"/>
      <c r="M66" s="211" t="s">
        <v>65</v>
      </c>
      <c r="N66" s="265">
        <f>'NUMBERS-DM'!J6</f>
        <v>7.6197474847066307E-2</v>
      </c>
      <c r="O66" s="265">
        <v>7.6200000000000004E-2</v>
      </c>
      <c r="P66" s="132">
        <f t="shared" si="13"/>
        <v>2.525152933696706E-6</v>
      </c>
      <c r="Q66" s="132">
        <f>G$6*N66</f>
        <v>97.544959400220392</v>
      </c>
      <c r="R66" s="100">
        <v>203.22</v>
      </c>
      <c r="S66" s="133">
        <f>Q66</f>
        <v>97.544959400220392</v>
      </c>
      <c r="T66" s="100">
        <f>R66</f>
        <v>203.22</v>
      </c>
      <c r="U66" s="134"/>
      <c r="V66" s="68"/>
      <c r="W66" s="68"/>
      <c r="X66" s="68"/>
      <c r="Y66" s="68"/>
      <c r="Z66" s="96"/>
      <c r="AA66" s="144"/>
      <c r="AB66" s="145"/>
      <c r="AC66" s="559"/>
      <c r="AD66" s="211" t="s">
        <v>65</v>
      </c>
      <c r="AE66" s="235">
        <f t="shared" si="14"/>
        <v>167.85377117862288</v>
      </c>
      <c r="AF66" s="236">
        <v>349.69765315051916</v>
      </c>
      <c r="AG66" s="122">
        <f>AE66</f>
        <v>167.85377117862288</v>
      </c>
      <c r="AH66" s="109">
        <v>349.69765315051916</v>
      </c>
      <c r="AI66" s="110"/>
      <c r="AJ66" s="111"/>
      <c r="AK66" s="229"/>
      <c r="AL66" s="211"/>
      <c r="AM66" s="217"/>
      <c r="AN66" s="559"/>
      <c r="AO66" s="260" t="s">
        <v>65</v>
      </c>
      <c r="AP66" s="115">
        <v>84.68</v>
      </c>
      <c r="AQ66" s="147"/>
      <c r="AR66" s="117">
        <f>AG66-AP66</f>
        <v>83.173771178622872</v>
      </c>
      <c r="AS66" s="139">
        <f>AR66/AP66</f>
        <v>0.98221269696059121</v>
      </c>
      <c r="AT66" s="118">
        <f>SQRT(AS66)*10</f>
        <v>9.910664442713168</v>
      </c>
      <c r="AU66" s="118">
        <v>265.01765315051915</v>
      </c>
      <c r="AV66" s="119">
        <v>3.1296369054147277</v>
      </c>
      <c r="AW66" s="120"/>
      <c r="AX66" s="241"/>
      <c r="AY66" s="559"/>
      <c r="AZ66" s="211" t="s">
        <v>65</v>
      </c>
      <c r="BA66" s="242">
        <v>581130580</v>
      </c>
      <c r="BB66" s="113">
        <f>(AP66*BA66)/1000000000</f>
        <v>49.210137514400003</v>
      </c>
      <c r="BC66" s="122"/>
      <c r="BD66" s="238">
        <f>BB66*1.3</f>
        <v>63.973178768720004</v>
      </c>
      <c r="BE66" s="257"/>
      <c r="BF66" s="70"/>
      <c r="BG66" s="261"/>
      <c r="BH66" s="211"/>
      <c r="BI66" s="211"/>
      <c r="BJ66" s="211"/>
      <c r="BK66" s="211"/>
      <c r="BL66" s="161"/>
      <c r="BM66" s="70"/>
      <c r="BN66" s="211"/>
      <c r="BO66" s="211"/>
      <c r="BP66" s="211"/>
      <c r="BQ66" s="262"/>
      <c r="BR66" s="229"/>
      <c r="BS66" s="229"/>
      <c r="BT66" s="229"/>
      <c r="BU66" s="229"/>
    </row>
    <row r="67" spans="1:73" ht="12.75">
      <c r="A67" s="222" t="s">
        <v>127</v>
      </c>
      <c r="B67" s="222" t="s">
        <v>115</v>
      </c>
      <c r="C67" s="290">
        <f>S38</f>
        <v>57.925908665204574</v>
      </c>
      <c r="D67" s="222">
        <v>0</v>
      </c>
      <c r="E67" s="222">
        <v>2</v>
      </c>
      <c r="F67" s="213">
        <v>38</v>
      </c>
      <c r="G67" s="189"/>
      <c r="H67" s="189"/>
      <c r="I67" s="33"/>
      <c r="J67" s="33"/>
      <c r="K67" s="37"/>
      <c r="L67" s="559"/>
      <c r="M67" s="264" t="s">
        <v>66</v>
      </c>
      <c r="N67" s="265">
        <f>'NUMBERS-DM'!J8</f>
        <v>3.5445301715583258E-2</v>
      </c>
      <c r="O67" s="265">
        <v>3.5400000000000001E-2</v>
      </c>
      <c r="P67" s="132">
        <f t="shared" si="13"/>
        <v>-4.5301715583256907E-5</v>
      </c>
      <c r="Q67" s="132">
        <f>G$7*N67</f>
        <v>40.053190938609085</v>
      </c>
      <c r="R67" s="100">
        <v>40.049999999999997</v>
      </c>
      <c r="S67" s="133">
        <f>Q67+Q68</f>
        <v>139.55548332032001</v>
      </c>
      <c r="T67" s="100">
        <f>R67+R68</f>
        <v>139.55000000000001</v>
      </c>
      <c r="U67" s="134"/>
      <c r="V67" s="68"/>
      <c r="W67" s="68"/>
      <c r="X67" s="68"/>
      <c r="Y67" s="68"/>
      <c r="Z67" s="96"/>
      <c r="AA67" s="144"/>
      <c r="AB67" s="145"/>
      <c r="AC67" s="559"/>
      <c r="AD67" s="264" t="s">
        <v>66</v>
      </c>
      <c r="AE67" s="235">
        <f t="shared" si="14"/>
        <v>68.92287605757916</v>
      </c>
      <c r="AF67" s="236">
        <v>68.917385142595663</v>
      </c>
      <c r="AG67" s="122">
        <f>AE67+AE68</f>
        <v>240.1447938264065</v>
      </c>
      <c r="AH67" s="109">
        <v>240.13535821845755</v>
      </c>
      <c r="AI67" s="110"/>
      <c r="AJ67" s="111"/>
      <c r="AK67" s="229"/>
      <c r="AL67" s="211"/>
      <c r="AM67" s="217"/>
      <c r="AN67" s="559"/>
      <c r="AO67" s="266" t="s">
        <v>66</v>
      </c>
      <c r="AP67" s="115">
        <v>182.5</v>
      </c>
      <c r="AQ67" s="147"/>
      <c r="AR67" s="117">
        <f>AG67-AP67</f>
        <v>57.644793826406499</v>
      </c>
      <c r="AS67" s="139">
        <f>AR67/AP67</f>
        <v>0.31586188398030957</v>
      </c>
      <c r="AT67" s="118">
        <f>SQRT(AS67)*10</f>
        <v>5.6201591078928503</v>
      </c>
      <c r="AU67" s="118">
        <v>57.635358218457554</v>
      </c>
      <c r="AV67" s="119">
        <v>0.31581018201894551</v>
      </c>
      <c r="AW67" s="120"/>
      <c r="AX67" s="241"/>
      <c r="AY67" s="559"/>
      <c r="AZ67" s="264" t="s">
        <v>66</v>
      </c>
      <c r="BA67" s="242">
        <v>581130580</v>
      </c>
      <c r="BB67" s="113">
        <f>(AP67*BA67)/1000000000</f>
        <v>106.05633084999999</v>
      </c>
      <c r="BC67" s="122"/>
      <c r="BD67" s="238">
        <f>BB67*1.3</f>
        <v>137.873230105</v>
      </c>
      <c r="BE67" s="257"/>
      <c r="BF67" s="70"/>
      <c r="BG67" s="261"/>
      <c r="BH67" s="211"/>
      <c r="BI67" s="211"/>
      <c r="BJ67" s="211"/>
      <c r="BK67" s="211"/>
      <c r="BL67" s="161"/>
      <c r="BM67" s="70"/>
      <c r="BN67" s="211"/>
      <c r="BO67" s="211"/>
      <c r="BP67" s="211"/>
      <c r="BQ67" s="262"/>
      <c r="BR67" s="229"/>
      <c r="BS67" s="229"/>
      <c r="BT67" s="229"/>
      <c r="BU67" s="229"/>
    </row>
    <row r="68" spans="1:73" ht="12.75">
      <c r="A68" s="222" t="s">
        <v>127</v>
      </c>
      <c r="B68" s="222" t="s">
        <v>95</v>
      </c>
      <c r="C68" s="290">
        <f>S50</f>
        <v>17.087317896314204</v>
      </c>
      <c r="D68" s="222">
        <v>0</v>
      </c>
      <c r="E68" s="222">
        <v>2</v>
      </c>
      <c r="F68" s="213">
        <v>50</v>
      </c>
      <c r="G68" s="189"/>
      <c r="H68" s="189"/>
      <c r="I68" s="33"/>
      <c r="J68" s="33"/>
      <c r="K68" s="37"/>
      <c r="L68" s="559"/>
      <c r="M68" s="264" t="s">
        <v>67</v>
      </c>
      <c r="N68" s="265">
        <f>'NUMBERS-DM'!J10</f>
        <v>0.11268662783885723</v>
      </c>
      <c r="O68" s="265">
        <v>0.11269999999999999</v>
      </c>
      <c r="P68" s="132">
        <f t="shared" si="13"/>
        <v>1.3372161142763406E-5</v>
      </c>
      <c r="Q68" s="132">
        <f>G$8*N68</f>
        <v>99.50229238171093</v>
      </c>
      <c r="R68" s="100">
        <v>99.5</v>
      </c>
      <c r="S68" s="133"/>
      <c r="T68" s="100"/>
      <c r="U68" s="134"/>
      <c r="V68" s="68"/>
      <c r="W68" s="68"/>
      <c r="X68" s="68"/>
      <c r="Y68" s="68"/>
      <c r="Z68" s="96"/>
      <c r="AA68" s="144"/>
      <c r="AB68" s="145"/>
      <c r="AC68" s="559"/>
      <c r="AD68" s="264" t="s">
        <v>67</v>
      </c>
      <c r="AE68" s="235">
        <f t="shared" si="14"/>
        <v>171.22191776882732</v>
      </c>
      <c r="AF68" s="236">
        <v>171.21797307586189</v>
      </c>
      <c r="AG68" s="61"/>
      <c r="AH68" s="109"/>
      <c r="AI68" s="110"/>
      <c r="AJ68" s="111"/>
      <c r="AK68" s="229"/>
      <c r="AL68" s="211"/>
      <c r="AM68" s="217"/>
      <c r="AN68" s="559"/>
      <c r="AO68" s="266" t="s">
        <v>67</v>
      </c>
      <c r="AP68" s="115"/>
      <c r="AQ68" s="147"/>
      <c r="AR68" s="117"/>
      <c r="AS68" s="139"/>
      <c r="AT68" s="118"/>
      <c r="AU68" s="118">
        <v>0</v>
      </c>
      <c r="AV68" s="119"/>
      <c r="AW68" s="120"/>
      <c r="AX68" s="241"/>
      <c r="AY68" s="559"/>
      <c r="AZ68" s="264" t="s">
        <v>67</v>
      </c>
      <c r="BA68" s="242">
        <v>581130580</v>
      </c>
      <c r="BB68" s="113"/>
      <c r="BC68" s="122"/>
      <c r="BD68" s="238"/>
      <c r="BE68" s="257"/>
      <c r="BF68" s="70"/>
      <c r="BG68" s="261"/>
      <c r="BH68" s="211"/>
      <c r="BI68" s="211"/>
      <c r="BJ68" s="211"/>
      <c r="BK68" s="211"/>
      <c r="BL68" s="161"/>
      <c r="BM68" s="70"/>
      <c r="BN68" s="211"/>
      <c r="BO68" s="211"/>
      <c r="BP68" s="211"/>
      <c r="BQ68" s="262"/>
      <c r="BR68" s="229"/>
      <c r="BS68" s="229"/>
      <c r="BT68" s="229"/>
      <c r="BU68" s="229"/>
    </row>
    <row r="69" spans="1:73" ht="12.75">
      <c r="A69" s="222" t="s">
        <v>127</v>
      </c>
      <c r="B69" s="222" t="s">
        <v>116</v>
      </c>
      <c r="C69" s="290">
        <f>S14</f>
        <v>119.60786720916066</v>
      </c>
      <c r="D69" s="222">
        <v>0</v>
      </c>
      <c r="E69" s="222">
        <v>2</v>
      </c>
      <c r="F69" s="213">
        <v>14</v>
      </c>
      <c r="G69" s="189"/>
      <c r="H69" s="189"/>
      <c r="I69" s="33"/>
      <c r="J69" s="33"/>
      <c r="K69" s="37"/>
      <c r="L69" s="559"/>
      <c r="M69" s="211" t="s">
        <v>68</v>
      </c>
      <c r="N69" s="265">
        <f>'NUMBERS-DM'!J12</f>
        <v>0.14879276421224349</v>
      </c>
      <c r="O69" s="265">
        <v>0.1525</v>
      </c>
      <c r="P69" s="132">
        <f t="shared" si="13"/>
        <v>3.7072357877565021E-3</v>
      </c>
      <c r="Q69" s="132">
        <f>G$9*N69</f>
        <v>125.13471470249678</v>
      </c>
      <c r="R69" s="100">
        <v>128.25</v>
      </c>
      <c r="S69" s="133">
        <f>Q69</f>
        <v>125.13471470249678</v>
      </c>
      <c r="T69" s="100">
        <f>R69</f>
        <v>128.25</v>
      </c>
      <c r="U69" s="134"/>
      <c r="V69" s="68"/>
      <c r="W69" s="68"/>
      <c r="X69" s="68"/>
      <c r="Y69" s="68"/>
      <c r="Z69" s="96"/>
      <c r="AA69" s="144"/>
      <c r="AB69" s="145"/>
      <c r="AC69" s="559"/>
      <c r="AD69" s="211" t="s">
        <v>68</v>
      </c>
      <c r="AE69" s="235">
        <f t="shared" si="14"/>
        <v>215.3297709827915</v>
      </c>
      <c r="AF69" s="236">
        <v>220.69050298471646</v>
      </c>
      <c r="AG69" s="122">
        <f>AE69</f>
        <v>215.3297709827915</v>
      </c>
      <c r="AH69" s="109">
        <v>220.69050298471646</v>
      </c>
      <c r="AI69" s="110"/>
      <c r="AJ69" s="111"/>
      <c r="AK69" s="229"/>
      <c r="AL69" s="211"/>
      <c r="AM69" s="217"/>
      <c r="AN69" s="559"/>
      <c r="AO69" s="260" t="s">
        <v>68</v>
      </c>
      <c r="AP69" s="115">
        <v>91.25</v>
      </c>
      <c r="AQ69" s="147"/>
      <c r="AR69" s="117">
        <f>AG69-AP69</f>
        <v>124.0797709827915</v>
      </c>
      <c r="AS69" s="139">
        <f>AR69/AP69</f>
        <v>1.3597783121401807</v>
      </c>
      <c r="AT69" s="118">
        <f>SQRT(AS69)*10</f>
        <v>11.660953272096499</v>
      </c>
      <c r="AU69" s="118">
        <v>129.44050298471646</v>
      </c>
      <c r="AV69" s="119">
        <v>1.4185260601064817</v>
      </c>
      <c r="AW69" s="120"/>
      <c r="AX69" s="241"/>
      <c r="AY69" s="559"/>
      <c r="AZ69" s="211" t="s">
        <v>68</v>
      </c>
      <c r="BA69" s="242">
        <v>581130580</v>
      </c>
      <c r="BB69" s="113">
        <f>(AP69*BA69)/1000000000</f>
        <v>53.028165424999997</v>
      </c>
      <c r="BC69" s="122"/>
      <c r="BD69" s="238">
        <f>BB69*1.3</f>
        <v>68.936615052500002</v>
      </c>
      <c r="BE69" s="257"/>
      <c r="BF69" s="70"/>
      <c r="BG69" s="261"/>
      <c r="BH69" s="211"/>
      <c r="BI69" s="211"/>
      <c r="BJ69" s="211"/>
      <c r="BK69" s="211"/>
      <c r="BL69" s="161"/>
      <c r="BM69" s="70"/>
      <c r="BN69" s="211"/>
      <c r="BO69" s="211"/>
      <c r="BP69" s="211"/>
      <c r="BQ69" s="262"/>
      <c r="BR69" s="229"/>
      <c r="BS69" s="229"/>
      <c r="BT69" s="229"/>
      <c r="BU69" s="229"/>
    </row>
    <row r="70" spans="1:73" ht="12.75">
      <c r="A70" s="222" t="s">
        <v>127</v>
      </c>
      <c r="B70" s="222" t="s">
        <v>103</v>
      </c>
      <c r="C70" s="290">
        <f>S62</f>
        <v>32.647612859498139</v>
      </c>
      <c r="D70" s="222">
        <v>0</v>
      </c>
      <c r="E70" s="222">
        <v>2</v>
      </c>
      <c r="F70" s="213">
        <v>62</v>
      </c>
      <c r="G70" s="189"/>
      <c r="H70" s="189"/>
      <c r="I70" s="33"/>
      <c r="J70" s="33"/>
      <c r="K70" s="37"/>
      <c r="L70" s="559"/>
      <c r="M70" s="230" t="s">
        <v>70</v>
      </c>
      <c r="N70" s="265">
        <f>'NUMBERS-DM'!J14</f>
        <v>0.11859964312746471</v>
      </c>
      <c r="O70" s="265">
        <v>0.1186</v>
      </c>
      <c r="P70" s="132">
        <f t="shared" si="13"/>
        <v>3.5687253528704499E-7</v>
      </c>
      <c r="Q70" s="132">
        <f>G$10*N70</f>
        <v>25.143124343022517</v>
      </c>
      <c r="R70" s="100">
        <v>25.14</v>
      </c>
      <c r="S70" s="133">
        <f>Q70</f>
        <v>25.143124343022517</v>
      </c>
      <c r="T70" s="100">
        <f>R70</f>
        <v>25.14</v>
      </c>
      <c r="U70" s="134"/>
      <c r="V70" s="68"/>
      <c r="W70" s="68"/>
      <c r="X70" s="68"/>
      <c r="Y70" s="68"/>
      <c r="Z70" s="96"/>
      <c r="AA70" s="144"/>
      <c r="AB70" s="145"/>
      <c r="AC70" s="559"/>
      <c r="AD70" s="230" t="s">
        <v>70</v>
      </c>
      <c r="AE70" s="235">
        <f t="shared" si="14"/>
        <v>43.265877254338463</v>
      </c>
      <c r="AF70" s="236">
        <v>43.260500935951441</v>
      </c>
      <c r="AG70" s="122">
        <f>AE70</f>
        <v>43.265877254338463</v>
      </c>
      <c r="AH70" s="109">
        <v>43.260500935951441</v>
      </c>
      <c r="AI70" s="110"/>
      <c r="AJ70" s="111"/>
      <c r="AK70" s="250"/>
      <c r="AL70" s="230"/>
      <c r="AM70" s="270"/>
      <c r="AN70" s="559"/>
      <c r="AO70" s="240" t="s">
        <v>70</v>
      </c>
      <c r="AP70" s="115">
        <v>5.1100000000000003</v>
      </c>
      <c r="AQ70" s="147"/>
      <c r="AR70" s="117">
        <f>AG70-AP70</f>
        <v>38.155877254338463</v>
      </c>
      <c r="AS70" s="139">
        <f>AR70/AP70</f>
        <v>7.4669035722775856</v>
      </c>
      <c r="AT70" s="118">
        <f>SQRT(AS70)*10</f>
        <v>27.325635532001055</v>
      </c>
      <c r="AU70" s="118">
        <v>38.150500935951442</v>
      </c>
      <c r="AV70" s="119">
        <v>7.4658514551764066</v>
      </c>
      <c r="AW70" s="120"/>
      <c r="AX70" s="241"/>
      <c r="AY70" s="559"/>
      <c r="AZ70" s="230" t="s">
        <v>70</v>
      </c>
      <c r="BA70" s="242">
        <v>581130580</v>
      </c>
      <c r="BB70" s="113">
        <f>(AP70*BA70)/1000000000</f>
        <v>2.9695772638000002</v>
      </c>
      <c r="BC70" s="122"/>
      <c r="BD70" s="238">
        <f>BB70*1.3</f>
        <v>3.8604504429400004</v>
      </c>
      <c r="BE70" s="201"/>
      <c r="BF70" s="88"/>
      <c r="BG70" s="271"/>
      <c r="BH70" s="230"/>
      <c r="BI70" s="230"/>
      <c r="BJ70" s="230"/>
      <c r="BK70" s="230"/>
      <c r="BL70" s="100"/>
      <c r="BM70" s="88"/>
      <c r="BN70" s="230"/>
      <c r="BO70" s="230"/>
      <c r="BP70" s="230"/>
      <c r="BQ70" s="249"/>
      <c r="BR70" s="250"/>
      <c r="BS70" s="250"/>
      <c r="BT70" s="250"/>
      <c r="BU70" s="250"/>
    </row>
    <row r="71" spans="1:73" ht="12.75">
      <c r="A71" s="222" t="s">
        <v>127</v>
      </c>
      <c r="B71" s="222" t="s">
        <v>117</v>
      </c>
      <c r="C71" s="290">
        <f>S86</f>
        <v>19.23758976248153</v>
      </c>
      <c r="D71" s="222">
        <v>0</v>
      </c>
      <c r="E71" s="222">
        <v>2</v>
      </c>
      <c r="F71" s="213">
        <v>86</v>
      </c>
      <c r="G71" s="189"/>
      <c r="H71" s="189"/>
      <c r="I71" s="33"/>
      <c r="J71" s="33"/>
      <c r="K71" s="37"/>
      <c r="L71" s="559"/>
      <c r="M71" s="275" t="s">
        <v>71</v>
      </c>
      <c r="N71" s="265">
        <f>'NUMBERS-DM'!J16</f>
        <v>0.1929369132536341</v>
      </c>
      <c r="O71" s="265">
        <v>0.19289999999999999</v>
      </c>
      <c r="P71" s="132">
        <f t="shared" si="13"/>
        <v>-3.6913253634113241E-5</v>
      </c>
      <c r="Q71" s="132">
        <f>G$11*N71</f>
        <v>25.853546375986969</v>
      </c>
      <c r="R71" s="100">
        <v>25.85</v>
      </c>
      <c r="S71" s="133">
        <f>Q71+Q73+Q72</f>
        <v>40.762659455348341</v>
      </c>
      <c r="T71" s="100">
        <f>R71+R72+R73</f>
        <v>40.760000000000005</v>
      </c>
      <c r="U71" s="134"/>
      <c r="V71" s="68"/>
      <c r="W71" s="68"/>
      <c r="X71" s="68"/>
      <c r="Y71" s="68"/>
      <c r="Z71" s="96"/>
      <c r="AA71" s="144"/>
      <c r="AB71" s="145"/>
      <c r="AC71" s="559"/>
      <c r="AD71" s="275" t="s">
        <v>71</v>
      </c>
      <c r="AE71" s="235">
        <f t="shared" si="14"/>
        <v>44.48835987255562</v>
      </c>
      <c r="AF71" s="236">
        <v>44.482257326744026</v>
      </c>
      <c r="AG71" s="122">
        <f>AE71+AE73+AE72</f>
        <v>70.143717880666941</v>
      </c>
      <c r="AH71" s="109">
        <v>70.139141533388255</v>
      </c>
      <c r="AI71" s="110"/>
      <c r="AJ71" s="111"/>
      <c r="AK71" s="229"/>
      <c r="AL71" s="211"/>
      <c r="AM71" s="217"/>
      <c r="AN71" s="559"/>
      <c r="AO71" s="276" t="s">
        <v>71</v>
      </c>
      <c r="AP71" s="115">
        <v>25.55</v>
      </c>
      <c r="AQ71" s="147"/>
      <c r="AR71" s="117">
        <f>AG71-AP71</f>
        <v>44.593717880666944</v>
      </c>
      <c r="AS71" s="139">
        <f>AR71/AP71</f>
        <v>1.7453509933724831</v>
      </c>
      <c r="AT71" s="118">
        <f>SQRT(AS71)*10</f>
        <v>13.211173276331225</v>
      </c>
      <c r="AU71" s="118">
        <v>44.589141533388258</v>
      </c>
      <c r="AV71" s="119">
        <v>1.7451718799760569</v>
      </c>
      <c r="AW71" s="120"/>
      <c r="AX71" s="241"/>
      <c r="AY71" s="559"/>
      <c r="AZ71" s="275" t="s">
        <v>71</v>
      </c>
      <c r="BA71" s="242">
        <v>581130580</v>
      </c>
      <c r="BB71" s="113">
        <f>(AP71*BA71)/1000000000</f>
        <v>14.847886319000001</v>
      </c>
      <c r="BC71" s="122"/>
      <c r="BD71" s="238">
        <f>BB71*1.3</f>
        <v>19.302252214700001</v>
      </c>
      <c r="BE71" s="257"/>
      <c r="BF71" s="70"/>
      <c r="BG71" s="261"/>
      <c r="BH71" s="211"/>
      <c r="BI71" s="211"/>
      <c r="BJ71" s="211"/>
      <c r="BK71" s="211"/>
      <c r="BL71" s="161"/>
      <c r="BM71" s="70"/>
      <c r="BN71" s="211"/>
      <c r="BO71" s="211"/>
      <c r="BP71" s="211"/>
      <c r="BQ71" s="262"/>
      <c r="BR71" s="229"/>
      <c r="BS71" s="229"/>
      <c r="BT71" s="229"/>
      <c r="BU71" s="229"/>
    </row>
    <row r="72" spans="1:73" ht="12.75">
      <c r="A72" s="222" t="s">
        <v>127</v>
      </c>
      <c r="B72" s="222" t="s">
        <v>119</v>
      </c>
      <c r="C72" s="290">
        <f>S26</f>
        <v>133.54902020445786</v>
      </c>
      <c r="D72" s="222">
        <v>0</v>
      </c>
      <c r="E72" s="222">
        <v>2</v>
      </c>
      <c r="F72" s="213">
        <v>26</v>
      </c>
      <c r="G72" s="189"/>
      <c r="H72" s="189"/>
      <c r="I72" s="33"/>
      <c r="J72" s="33"/>
      <c r="K72" s="37"/>
      <c r="L72" s="559"/>
      <c r="M72" s="275" t="s">
        <v>72</v>
      </c>
      <c r="N72" s="265">
        <f>'NUMBERS-DM'!J18</f>
        <v>4.7213810546780671E-2</v>
      </c>
      <c r="O72" s="265">
        <v>4.7199999999999999E-2</v>
      </c>
      <c r="P72" s="132">
        <f t="shared" si="13"/>
        <v>-1.3810546780672339E-5</v>
      </c>
      <c r="Q72" s="132">
        <f>G$12*N72</f>
        <v>7.3181406347510043</v>
      </c>
      <c r="R72" s="100">
        <v>7.32</v>
      </c>
      <c r="S72" s="133"/>
      <c r="T72" s="100"/>
      <c r="U72" s="134"/>
      <c r="V72" s="68"/>
      <c r="W72" s="68"/>
      <c r="X72" s="68"/>
      <c r="Y72" s="68"/>
      <c r="Z72" s="96"/>
      <c r="AA72" s="144"/>
      <c r="AB72" s="145"/>
      <c r="AC72" s="559"/>
      <c r="AD72" s="275" t="s">
        <v>72</v>
      </c>
      <c r="AE72" s="235">
        <f t="shared" si="14"/>
        <v>12.592936745388625</v>
      </c>
      <c r="AF72" s="236">
        <v>12.596136310706624</v>
      </c>
      <c r="AG72" s="61"/>
      <c r="AH72" s="109"/>
      <c r="AI72" s="110"/>
      <c r="AJ72" s="111"/>
      <c r="AK72" s="229"/>
      <c r="AL72" s="211"/>
      <c r="AM72" s="217"/>
      <c r="AN72" s="559"/>
      <c r="AO72" s="276" t="s">
        <v>72</v>
      </c>
      <c r="AP72" s="115"/>
      <c r="AQ72" s="147"/>
      <c r="AR72" s="117"/>
      <c r="AS72" s="117"/>
      <c r="AT72" s="118"/>
      <c r="AU72" s="118">
        <v>0</v>
      </c>
      <c r="AV72" s="119"/>
      <c r="AW72" s="120"/>
      <c r="AX72" s="241"/>
      <c r="AY72" s="559"/>
      <c r="AZ72" s="275" t="s">
        <v>72</v>
      </c>
      <c r="BA72" s="242">
        <v>581130580</v>
      </c>
      <c r="BB72" s="113"/>
      <c r="BC72" s="122"/>
      <c r="BD72" s="238"/>
      <c r="BE72" s="257"/>
      <c r="BF72" s="70"/>
      <c r="BG72" s="261"/>
      <c r="BH72" s="211"/>
      <c r="BI72" s="211"/>
      <c r="BJ72" s="211"/>
      <c r="BK72" s="211"/>
      <c r="BL72" s="161"/>
      <c r="BM72" s="70"/>
      <c r="BN72" s="211"/>
      <c r="BO72" s="211"/>
      <c r="BP72" s="211"/>
      <c r="BQ72" s="262"/>
      <c r="BR72" s="229"/>
      <c r="BS72" s="229"/>
      <c r="BT72" s="229"/>
      <c r="BU72" s="229"/>
    </row>
    <row r="73" spans="1:73" ht="12.75">
      <c r="A73" s="222" t="s">
        <v>127</v>
      </c>
      <c r="B73" s="222" t="s">
        <v>121</v>
      </c>
      <c r="C73" s="290">
        <f>S74</f>
        <v>36.64468340288299</v>
      </c>
      <c r="D73" s="222">
        <v>0</v>
      </c>
      <c r="E73" s="222">
        <v>2</v>
      </c>
      <c r="F73" s="213">
        <v>34</v>
      </c>
      <c r="G73" s="189"/>
      <c r="H73" s="189"/>
      <c r="I73" s="33"/>
      <c r="J73" s="33"/>
      <c r="K73" s="37"/>
      <c r="L73" s="559"/>
      <c r="M73" s="275" t="s">
        <v>73</v>
      </c>
      <c r="N73" s="265">
        <f>'NUMBERS-DM'!J20</f>
        <v>9.1567822009775271E-2</v>
      </c>
      <c r="O73" s="265">
        <v>9.1600000000000001E-2</v>
      </c>
      <c r="P73" s="132">
        <f t="shared" si="13"/>
        <v>3.2177990224729891E-5</v>
      </c>
      <c r="Q73" s="132">
        <f>G$13*N73</f>
        <v>7.5909724446103706</v>
      </c>
      <c r="R73" s="100">
        <v>7.59</v>
      </c>
      <c r="S73" s="133"/>
      <c r="T73" s="100"/>
      <c r="U73" s="134"/>
      <c r="V73" s="68"/>
      <c r="W73" s="68"/>
      <c r="X73" s="68"/>
      <c r="Y73" s="68"/>
      <c r="Z73" s="96"/>
      <c r="AA73" s="144"/>
      <c r="AB73" s="145"/>
      <c r="AC73" s="559"/>
      <c r="AD73" s="275" t="s">
        <v>73</v>
      </c>
      <c r="AE73" s="235">
        <f t="shared" si="14"/>
        <v>13.062421262722692</v>
      </c>
      <c r="AF73" s="236">
        <v>13.060747895937606</v>
      </c>
      <c r="AG73" s="61"/>
      <c r="AH73" s="109"/>
      <c r="AI73" s="110"/>
      <c r="AJ73" s="111"/>
      <c r="AK73" s="229"/>
      <c r="AL73" s="211"/>
      <c r="AM73" s="217"/>
      <c r="AN73" s="559"/>
      <c r="AO73" s="276" t="s">
        <v>73</v>
      </c>
      <c r="AP73" s="115"/>
      <c r="AQ73" s="147"/>
      <c r="AR73" s="117"/>
      <c r="AS73" s="117"/>
      <c r="AT73" s="118"/>
      <c r="AU73" s="118">
        <v>0</v>
      </c>
      <c r="AV73" s="119"/>
      <c r="AW73" s="120"/>
      <c r="AX73" s="241"/>
      <c r="AY73" s="559"/>
      <c r="AZ73" s="275" t="s">
        <v>73</v>
      </c>
      <c r="BA73" s="242">
        <v>581130580</v>
      </c>
      <c r="BB73" s="113"/>
      <c r="BC73" s="122"/>
      <c r="BD73" s="238"/>
      <c r="BE73" s="257"/>
      <c r="BF73" s="70"/>
      <c r="BG73" s="261"/>
      <c r="BH73" s="211"/>
      <c r="BI73" s="211"/>
      <c r="BJ73" s="211"/>
      <c r="BK73" s="211"/>
      <c r="BL73" s="161"/>
      <c r="BM73" s="70"/>
      <c r="BN73" s="211"/>
      <c r="BO73" s="211"/>
      <c r="BP73" s="211"/>
      <c r="BQ73" s="262"/>
      <c r="BR73" s="229"/>
      <c r="BS73" s="229"/>
      <c r="BT73" s="229"/>
      <c r="BU73" s="229"/>
    </row>
    <row r="74" spans="1:73" ht="12.75">
      <c r="A74" s="222" t="s">
        <v>65</v>
      </c>
      <c r="B74" s="222" t="s">
        <v>128</v>
      </c>
      <c r="C74" s="233">
        <f>C6*D6</f>
        <v>1093.47</v>
      </c>
      <c r="D74" s="222">
        <v>0</v>
      </c>
      <c r="E74" s="222">
        <v>1</v>
      </c>
      <c r="F74" s="294"/>
      <c r="G74" s="189"/>
      <c r="H74" s="189"/>
      <c r="I74" s="33"/>
      <c r="J74" s="33"/>
      <c r="K74" s="37"/>
      <c r="L74" s="559"/>
      <c r="M74" s="282" t="s">
        <v>75</v>
      </c>
      <c r="N74" s="265">
        <f>'NUMBERS-DM'!J22</f>
        <v>8.8665960534661234E-2</v>
      </c>
      <c r="O74" s="265">
        <v>8.8700000000000001E-2</v>
      </c>
      <c r="P74" s="132">
        <f t="shared" si="13"/>
        <v>3.4039465338767116E-5</v>
      </c>
      <c r="Q74" s="132">
        <f>G$14*N74</f>
        <v>36.477176163959633</v>
      </c>
      <c r="R74" s="100">
        <v>39.18</v>
      </c>
      <c r="S74" s="133">
        <f>Q74+Q75</f>
        <v>36.64468340288299</v>
      </c>
      <c r="T74" s="100">
        <f>R74</f>
        <v>39.18</v>
      </c>
      <c r="U74" s="134"/>
      <c r="V74" s="68"/>
      <c r="W74" s="68"/>
      <c r="X74" s="68"/>
      <c r="Y74" s="68"/>
      <c r="Z74" s="96"/>
      <c r="AA74" s="144"/>
      <c r="AB74" s="145"/>
      <c r="AC74" s="559"/>
      <c r="AD74" s="282" t="s">
        <v>75</v>
      </c>
      <c r="AE74" s="235">
        <f t="shared" si="14"/>
        <v>62.769328304766944</v>
      </c>
      <c r="AF74" s="236">
        <v>67.420303367962504</v>
      </c>
      <c r="AG74" s="122">
        <f>AE74+AE75</f>
        <v>63.057572022596005</v>
      </c>
      <c r="AH74" s="109">
        <v>67.420303367962504</v>
      </c>
      <c r="AI74" s="110"/>
      <c r="AJ74" s="111"/>
      <c r="AK74" s="229"/>
      <c r="AL74" s="211"/>
      <c r="AM74" s="217"/>
      <c r="AN74" s="559"/>
      <c r="AO74" s="282" t="s">
        <v>75</v>
      </c>
      <c r="AP74" s="115">
        <v>45.625</v>
      </c>
      <c r="AQ74" s="147"/>
      <c r="AR74" s="117">
        <f>AG74-AP74</f>
        <v>17.432572022596005</v>
      </c>
      <c r="AS74" s="139">
        <f>AR74/AP74</f>
        <v>0.38208377035826863</v>
      </c>
      <c r="AT74" s="118">
        <f>SQRT(AS74)*10</f>
        <v>6.1812925052796892</v>
      </c>
      <c r="AU74" s="118">
        <v>21.795303367962504</v>
      </c>
      <c r="AV74" s="119">
        <v>0.47770527929780832</v>
      </c>
      <c r="AW74" s="120"/>
      <c r="AX74" s="241"/>
      <c r="AY74" s="559"/>
      <c r="AZ74" s="211" t="s">
        <v>75</v>
      </c>
      <c r="BA74" s="242">
        <v>581130580</v>
      </c>
      <c r="BB74" s="113">
        <f>(AP74*BA74)/1000000000</f>
        <v>26.514082712499999</v>
      </c>
      <c r="BC74" s="122"/>
      <c r="BD74" s="238">
        <f>BB74*1.3</f>
        <v>34.468307526250001</v>
      </c>
      <c r="BE74" s="257"/>
      <c r="BF74" s="70"/>
      <c r="BG74" s="261"/>
      <c r="BH74" s="211"/>
      <c r="BI74" s="211"/>
      <c r="BJ74" s="211"/>
      <c r="BK74" s="211"/>
      <c r="BL74" s="161"/>
      <c r="BM74" s="70"/>
      <c r="BN74" s="211"/>
      <c r="BO74" s="211"/>
      <c r="BP74" s="211"/>
      <c r="BQ74" s="262"/>
      <c r="BR74" s="229"/>
      <c r="BS74" s="229"/>
      <c r="BT74" s="229"/>
      <c r="BU74" s="229"/>
    </row>
    <row r="75" spans="1:73" ht="12.75">
      <c r="A75" s="222" t="s">
        <v>65</v>
      </c>
      <c r="B75" s="222" t="s">
        <v>129</v>
      </c>
      <c r="C75" s="211">
        <f>C6*E6</f>
        <v>293.37</v>
      </c>
      <c r="D75" s="222">
        <v>0</v>
      </c>
      <c r="E75" s="222">
        <v>1</v>
      </c>
      <c r="F75" s="294"/>
      <c r="G75" s="189"/>
      <c r="H75" s="189"/>
      <c r="I75" s="33"/>
      <c r="J75" s="33"/>
      <c r="K75" s="37"/>
      <c r="L75" s="189"/>
      <c r="M75" s="283" t="s">
        <v>77</v>
      </c>
      <c r="N75" s="265">
        <f>'NUMBERS-DM'!J24</f>
        <v>3.1605139419501785E-2</v>
      </c>
      <c r="O75" s="265">
        <v>3.1600000000000003E-2</v>
      </c>
      <c r="P75" s="132">
        <f t="shared" si="13"/>
        <v>-5.1394195017817612E-6</v>
      </c>
      <c r="Q75" s="132">
        <f>G$15*N75</f>
        <v>0.16750723892335945</v>
      </c>
      <c r="R75" s="100"/>
      <c r="S75" s="101"/>
      <c r="T75" s="100"/>
      <c r="U75" s="134"/>
      <c r="V75" s="68"/>
      <c r="W75" s="68"/>
      <c r="X75" s="68"/>
      <c r="Y75" s="68"/>
      <c r="Z75" s="96"/>
      <c r="AA75" s="144"/>
      <c r="AB75" s="145"/>
      <c r="AC75" s="189"/>
      <c r="AD75" s="283" t="s">
        <v>77</v>
      </c>
      <c r="AE75" s="235">
        <f t="shared" si="14"/>
        <v>0.28824371782906255</v>
      </c>
      <c r="AF75" s="236"/>
      <c r="AG75" s="109"/>
      <c r="AH75" s="109"/>
      <c r="AI75" s="110"/>
      <c r="AJ75" s="111"/>
      <c r="AK75" s="237"/>
      <c r="AL75" s="238"/>
      <c r="AM75" s="239"/>
      <c r="AN75" s="193"/>
      <c r="AO75" s="283" t="s">
        <v>77</v>
      </c>
      <c r="AP75" s="115"/>
      <c r="AQ75" s="116"/>
      <c r="AR75" s="117"/>
      <c r="AS75" s="117"/>
      <c r="AT75" s="118"/>
      <c r="AU75" s="118"/>
      <c r="AV75" s="119"/>
      <c r="AW75" s="120"/>
      <c r="AX75" s="241"/>
      <c r="AY75" s="193"/>
      <c r="AZ75" s="230"/>
      <c r="BA75" s="242">
        <v>581130580</v>
      </c>
      <c r="BB75" s="113"/>
      <c r="BC75" s="122"/>
      <c r="BD75" s="238"/>
      <c r="BE75" s="243"/>
      <c r="BF75" s="113"/>
      <c r="BG75" s="244"/>
      <c r="BH75" s="211"/>
      <c r="BI75" s="211"/>
      <c r="BJ75" s="211"/>
      <c r="BK75" s="211"/>
      <c r="BL75" s="161"/>
      <c r="BM75" s="70"/>
      <c r="BN75" s="211"/>
      <c r="BO75" s="211"/>
      <c r="BP75" s="211"/>
      <c r="BQ75" s="262"/>
      <c r="BR75" s="229"/>
      <c r="BS75" s="229"/>
      <c r="BT75" s="229"/>
      <c r="BU75" s="229"/>
    </row>
    <row r="76" spans="1:73" ht="12.75">
      <c r="A76" s="222" t="s">
        <v>127</v>
      </c>
      <c r="B76" s="222" t="s">
        <v>128</v>
      </c>
      <c r="C76" s="295">
        <f>C14*D14</f>
        <v>27.28</v>
      </c>
      <c r="D76" s="222">
        <v>0</v>
      </c>
      <c r="E76" s="222">
        <v>1</v>
      </c>
      <c r="F76" s="294"/>
      <c r="G76" s="189"/>
      <c r="H76" s="189"/>
      <c r="I76" s="33"/>
      <c r="J76" s="33"/>
      <c r="K76" s="37"/>
      <c r="L76" s="189"/>
      <c r="M76" s="230"/>
      <c r="N76" s="100"/>
      <c r="O76" s="100"/>
      <c r="P76" s="100"/>
      <c r="Q76" s="100"/>
      <c r="R76" s="100"/>
      <c r="S76" s="133"/>
      <c r="T76" s="100"/>
      <c r="U76" s="134"/>
      <c r="V76" s="68"/>
      <c r="W76" s="68"/>
      <c r="X76" s="68"/>
      <c r="Y76" s="68"/>
      <c r="Z76" s="96"/>
      <c r="AA76" s="144"/>
      <c r="AB76" s="145"/>
      <c r="AC76" s="189"/>
      <c r="AD76" s="230"/>
      <c r="AE76" s="235"/>
      <c r="AF76" s="236"/>
      <c r="AG76" s="109"/>
      <c r="AH76" s="109"/>
      <c r="AI76" s="110"/>
      <c r="AJ76" s="111"/>
      <c r="AK76" s="237"/>
      <c r="AL76" s="238"/>
      <c r="AM76" s="239"/>
      <c r="AN76" s="193"/>
      <c r="AO76" s="240"/>
      <c r="AP76" s="115"/>
      <c r="AQ76" s="116"/>
      <c r="AR76" s="117"/>
      <c r="AS76" s="117"/>
      <c r="AT76" s="118"/>
      <c r="AU76" s="118"/>
      <c r="AV76" s="119"/>
      <c r="AW76" s="120"/>
      <c r="AX76" s="241"/>
      <c r="AY76" s="193"/>
      <c r="AZ76" s="230"/>
      <c r="BA76" s="242"/>
      <c r="BB76" s="113"/>
      <c r="BC76" s="122"/>
      <c r="BD76" s="238"/>
      <c r="BE76" s="243"/>
      <c r="BF76" s="113"/>
      <c r="BG76" s="244"/>
      <c r="BH76" s="211"/>
      <c r="BI76" s="211"/>
      <c r="BJ76" s="211"/>
      <c r="BK76" s="211"/>
      <c r="BL76" s="161"/>
      <c r="BM76" s="70"/>
      <c r="BN76" s="211"/>
      <c r="BO76" s="211"/>
      <c r="BP76" s="211"/>
      <c r="BQ76" s="262"/>
      <c r="BR76" s="229"/>
      <c r="BS76" s="229"/>
      <c r="BT76" s="229"/>
      <c r="BU76" s="229"/>
    </row>
    <row r="77" spans="1:73" ht="12.75">
      <c r="A77" s="222" t="s">
        <v>127</v>
      </c>
      <c r="B77" s="222" t="s">
        <v>129</v>
      </c>
      <c r="C77" s="295">
        <f>C14*E14</f>
        <v>1.32</v>
      </c>
      <c r="D77" s="222">
        <v>0</v>
      </c>
      <c r="E77" s="222">
        <v>1</v>
      </c>
      <c r="F77" s="294"/>
      <c r="G77" s="189"/>
      <c r="H77" s="189"/>
      <c r="I77" s="33"/>
      <c r="J77" s="33"/>
      <c r="K77" s="37"/>
      <c r="L77" s="565" t="s">
        <v>105</v>
      </c>
      <c r="M77" s="230" t="s">
        <v>62</v>
      </c>
      <c r="N77" s="265">
        <f>'NUMBERS-DM'!K4</f>
        <v>5.06462458401035E-2</v>
      </c>
      <c r="O77" s="265">
        <v>2.8400000000000002E-2</v>
      </c>
      <c r="P77" s="132">
        <f t="shared" ref="P77:P87" si="15">O77-N77</f>
        <v>-2.2246245840103498E-2</v>
      </c>
      <c r="Q77" s="132">
        <f>G$5*N77</f>
        <v>42.274421402734397</v>
      </c>
      <c r="R77" s="100">
        <v>23.73</v>
      </c>
      <c r="S77" s="133">
        <f>Q77</f>
        <v>42.274421402734397</v>
      </c>
      <c r="T77" s="100">
        <f>R77</f>
        <v>23.73</v>
      </c>
      <c r="U77" s="134">
        <f>SUM(S77:S87)</f>
        <v>398.90068832623331</v>
      </c>
      <c r="V77" s="104"/>
      <c r="W77" s="104"/>
      <c r="X77" s="104">
        <f>U77/U$4</f>
        <v>6.682358007696397E-2</v>
      </c>
      <c r="Y77" s="68">
        <v>429.48</v>
      </c>
      <c r="Z77" s="136">
        <f>BA77/BA$4</f>
        <v>5.1670730926001371E-2</v>
      </c>
      <c r="AA77" s="144"/>
      <c r="AB77" s="145"/>
      <c r="AC77" s="565" t="s">
        <v>105</v>
      </c>
      <c r="AD77" s="230" t="s">
        <v>62</v>
      </c>
      <c r="AE77" s="235">
        <f t="shared" ref="AE77:AE87" si="16">SUM(Q77*1000000)/BA77*1000</f>
        <v>127.50805373375552</v>
      </c>
      <c r="AF77" s="236">
        <v>71.574394508597706</v>
      </c>
      <c r="AG77" s="122">
        <f>AE77</f>
        <v>127.50805373375552</v>
      </c>
      <c r="AH77" s="109">
        <v>71.574394508597706</v>
      </c>
      <c r="AI77" s="110">
        <f>SUM(AG77:AG87)</f>
        <v>1203.1637267599235</v>
      </c>
      <c r="AJ77" s="111">
        <v>1295.3970060494119</v>
      </c>
      <c r="AK77" s="254">
        <f>AI77/20</f>
        <v>60.158186337996177</v>
      </c>
      <c r="AL77" s="238"/>
      <c r="AM77" s="239"/>
      <c r="AN77" s="566" t="s">
        <v>105</v>
      </c>
      <c r="AO77" s="240" t="s">
        <v>62</v>
      </c>
      <c r="AP77" s="115">
        <v>18.25</v>
      </c>
      <c r="AQ77" s="116">
        <v>452.96500000000003</v>
      </c>
      <c r="AR77" s="117">
        <f>AG77-AP77</f>
        <v>109.25805373375552</v>
      </c>
      <c r="AS77" s="139">
        <f>AR77/AP77</f>
        <v>5.9867426703427684</v>
      </c>
      <c r="AT77" s="118">
        <f>SQRT(AS77)*10</f>
        <v>24.467821052032338</v>
      </c>
      <c r="AU77" s="118">
        <v>53.324394508597706</v>
      </c>
      <c r="AV77" s="119">
        <v>2.9218846306080937</v>
      </c>
      <c r="AW77" s="120"/>
      <c r="AX77" s="241"/>
      <c r="AY77" s="566" t="s">
        <v>105</v>
      </c>
      <c r="AZ77" s="230" t="s">
        <v>62</v>
      </c>
      <c r="BA77" s="242">
        <v>331543147</v>
      </c>
      <c r="BB77" s="113">
        <f>(AP77*BA77)/1000000000</f>
        <v>6.0506624327500003</v>
      </c>
      <c r="BC77" s="122">
        <f>SUM(BB77:BB86)</f>
        <v>150.177441580855</v>
      </c>
      <c r="BD77" s="238">
        <f>BB77*1.3</f>
        <v>7.8658611625750003</v>
      </c>
      <c r="BE77" s="243">
        <f>SUM(BD77:BD87)</f>
        <v>195.23067405511151</v>
      </c>
      <c r="BF77" s="113"/>
      <c r="BG77" s="244"/>
      <c r="BH77" s="211"/>
      <c r="BI77" s="211"/>
      <c r="BJ77" s="211"/>
      <c r="BK77" s="211"/>
      <c r="BL77" s="161"/>
      <c r="BM77" s="70"/>
      <c r="BN77" s="211"/>
      <c r="BO77" s="211"/>
      <c r="BP77" s="211"/>
      <c r="BQ77" s="262"/>
      <c r="BR77" s="229"/>
      <c r="BS77" s="229"/>
      <c r="BT77" s="229"/>
      <c r="BU77" s="229"/>
    </row>
    <row r="78" spans="1:73" ht="12.75">
      <c r="D78" s="211"/>
      <c r="E78" s="211"/>
      <c r="F78" s="189"/>
      <c r="G78" s="189"/>
      <c r="H78" s="189"/>
      <c r="I78" s="33"/>
      <c r="J78" s="33"/>
      <c r="K78" s="37"/>
      <c r="L78" s="559"/>
      <c r="M78" s="211" t="s">
        <v>65</v>
      </c>
      <c r="N78" s="265">
        <f>'NUMBERS-DM'!K6</f>
        <v>3.4206793564014334E-2</v>
      </c>
      <c r="O78" s="265">
        <v>3.4200000000000001E-2</v>
      </c>
      <c r="P78" s="132">
        <f t="shared" si="15"/>
        <v>-6.793564014333231E-6</v>
      </c>
      <c r="Q78" s="132">
        <f>G$6*N78</f>
        <v>43.790168848908586</v>
      </c>
      <c r="R78" s="100">
        <v>91.23</v>
      </c>
      <c r="S78" s="133">
        <f>Q78</f>
        <v>43.790168848908586</v>
      </c>
      <c r="T78" s="100">
        <f>R78</f>
        <v>91.23</v>
      </c>
      <c r="U78" s="134"/>
      <c r="V78" s="68"/>
      <c r="W78" s="68"/>
      <c r="X78" s="68"/>
      <c r="Y78" s="68"/>
      <c r="Z78" s="96"/>
      <c r="AA78" s="144"/>
      <c r="AB78" s="145"/>
      <c r="AC78" s="559"/>
      <c r="AD78" s="211" t="s">
        <v>65</v>
      </c>
      <c r="AE78" s="235">
        <f t="shared" si="16"/>
        <v>132.07984916940114</v>
      </c>
      <c r="AF78" s="236">
        <v>275.16780493128397</v>
      </c>
      <c r="AG78" s="122">
        <f>AE78</f>
        <v>132.07984916940114</v>
      </c>
      <c r="AH78" s="109">
        <v>275.16780493128397</v>
      </c>
      <c r="AI78" s="110"/>
      <c r="AJ78" s="111"/>
      <c r="AK78" s="229"/>
      <c r="AL78" s="211"/>
      <c r="AM78" s="217"/>
      <c r="AN78" s="559"/>
      <c r="AO78" s="260" t="s">
        <v>65</v>
      </c>
      <c r="AP78" s="115">
        <v>84.68</v>
      </c>
      <c r="AQ78" s="147"/>
      <c r="AR78" s="117">
        <f>AG78-AP78</f>
        <v>47.399849169401136</v>
      </c>
      <c r="AS78" s="139">
        <f>AR78/AP78</f>
        <v>0.55975258820738227</v>
      </c>
      <c r="AT78" s="118">
        <f>SQRT(AS78)*10</f>
        <v>7.4816615013470251</v>
      </c>
      <c r="AU78" s="118">
        <v>190.48780493128396</v>
      </c>
      <c r="AV78" s="119">
        <v>2.2495017115172882</v>
      </c>
      <c r="AW78" s="120"/>
      <c r="AX78" s="241"/>
      <c r="AY78" s="559"/>
      <c r="AZ78" s="211" t="s">
        <v>65</v>
      </c>
      <c r="BA78" s="242">
        <v>331543147</v>
      </c>
      <c r="BB78" s="113">
        <f>(AP78*BA78)/1000000000</f>
        <v>28.075073687960003</v>
      </c>
      <c r="BC78" s="122"/>
      <c r="BD78" s="238">
        <f>BB78*1.3</f>
        <v>36.497595794348008</v>
      </c>
      <c r="BE78" s="257"/>
      <c r="BF78" s="70"/>
      <c r="BG78" s="261"/>
      <c r="BH78" s="211"/>
      <c r="BI78" s="211"/>
      <c r="BJ78" s="211"/>
      <c r="BK78" s="211"/>
      <c r="BL78" s="161"/>
      <c r="BM78" s="70"/>
      <c r="BN78" s="211"/>
      <c r="BO78" s="211"/>
      <c r="BP78" s="211"/>
      <c r="BQ78" s="262"/>
      <c r="BR78" s="229"/>
      <c r="BS78" s="229"/>
      <c r="BT78" s="229"/>
      <c r="BU78" s="229"/>
    </row>
    <row r="79" spans="1:73" ht="12.75">
      <c r="D79" s="211"/>
      <c r="E79" s="211"/>
      <c r="F79" s="189"/>
      <c r="G79" s="189"/>
      <c r="H79" s="189"/>
      <c r="I79" s="33"/>
      <c r="J79" s="33"/>
      <c r="K79" s="37"/>
      <c r="L79" s="559"/>
      <c r="M79" s="264" t="s">
        <v>66</v>
      </c>
      <c r="N79" s="265">
        <f>'NUMBERS-DM'!K8</f>
        <v>3.9599534412529801E-2</v>
      </c>
      <c r="O79" s="265">
        <v>3.9600000000000003E-2</v>
      </c>
      <c r="P79" s="132">
        <f t="shared" si="15"/>
        <v>4.655874702025331E-7</v>
      </c>
      <c r="Q79" s="132">
        <f>G$7*N79</f>
        <v>44.747473886158673</v>
      </c>
      <c r="R79" s="100">
        <v>44.75</v>
      </c>
      <c r="S79" s="133">
        <f>Q79+Q80</f>
        <v>90.919427242991588</v>
      </c>
      <c r="T79" s="100">
        <f>R79+R80</f>
        <v>90.92</v>
      </c>
      <c r="U79" s="134"/>
      <c r="V79" s="68"/>
      <c r="W79" s="68"/>
      <c r="X79" s="68"/>
      <c r="Y79" s="68"/>
      <c r="Z79" s="96"/>
      <c r="AA79" s="144"/>
      <c r="AB79" s="145"/>
      <c r="AC79" s="559"/>
      <c r="AD79" s="264" t="s">
        <v>66</v>
      </c>
      <c r="AE79" s="235">
        <f t="shared" si="16"/>
        <v>134.96727135234281</v>
      </c>
      <c r="AF79" s="236">
        <v>134.97489061355867</v>
      </c>
      <c r="AG79" s="122">
        <f>AE79+AE80</f>
        <v>274.23105579374737</v>
      </c>
      <c r="AH79" s="109">
        <v>274.23278334267604</v>
      </c>
      <c r="AI79" s="110"/>
      <c r="AJ79" s="111"/>
      <c r="AK79" s="229"/>
      <c r="AL79" s="211"/>
      <c r="AM79" s="217"/>
      <c r="AN79" s="559"/>
      <c r="AO79" s="266" t="s">
        <v>66</v>
      </c>
      <c r="AP79" s="115">
        <v>182.5</v>
      </c>
      <c r="AQ79" s="147"/>
      <c r="AR79" s="117">
        <f>AG79-AP79</f>
        <v>91.731055793747373</v>
      </c>
      <c r="AS79" s="139">
        <f>AR79/AP79</f>
        <v>0.50263592215751984</v>
      </c>
      <c r="AT79" s="118">
        <f>SQRT(AS79)*10</f>
        <v>7.0896820955351716</v>
      </c>
      <c r="AU79" s="118">
        <v>91.732783342676044</v>
      </c>
      <c r="AV79" s="119">
        <v>0.5026453881790468</v>
      </c>
      <c r="AW79" s="120"/>
      <c r="AX79" s="241"/>
      <c r="AY79" s="559"/>
      <c r="AZ79" s="264" t="s">
        <v>66</v>
      </c>
      <c r="BA79" s="242">
        <v>331543147</v>
      </c>
      <c r="BB79" s="113">
        <f>(AP79*BA79)/1000000000</f>
        <v>60.506624327499999</v>
      </c>
      <c r="BC79" s="122"/>
      <c r="BD79" s="238">
        <f>BB79*1.3</f>
        <v>78.658611625749998</v>
      </c>
      <c r="BE79" s="257"/>
      <c r="BF79" s="70"/>
      <c r="BG79" s="261"/>
      <c r="BH79" s="211"/>
      <c r="BI79" s="211"/>
      <c r="BJ79" s="211"/>
      <c r="BK79" s="211"/>
      <c r="BL79" s="161"/>
      <c r="BM79" s="70"/>
      <c r="BN79" s="211"/>
      <c r="BO79" s="211"/>
      <c r="BP79" s="211"/>
      <c r="BQ79" s="262"/>
      <c r="BR79" s="229"/>
      <c r="BS79" s="229"/>
      <c r="BT79" s="229"/>
      <c r="BU79" s="229"/>
    </row>
    <row r="80" spans="1:73" ht="12.75">
      <c r="G80" s="189"/>
      <c r="H80" s="189"/>
      <c r="I80" s="33"/>
      <c r="J80" s="33"/>
      <c r="K80" s="37"/>
      <c r="L80" s="559"/>
      <c r="M80" s="264" t="s">
        <v>67</v>
      </c>
      <c r="N80" s="265">
        <f>'NUMBERS-DM'!K10</f>
        <v>5.2289867901283024E-2</v>
      </c>
      <c r="O80" s="265">
        <v>5.2299999999999999E-2</v>
      </c>
      <c r="P80" s="132">
        <f t="shared" si="15"/>
        <v>1.0132098716975069E-5</v>
      </c>
      <c r="Q80" s="132">
        <f>G$8*N80</f>
        <v>46.171953356832908</v>
      </c>
      <c r="R80" s="100">
        <v>46.17</v>
      </c>
      <c r="S80" s="133"/>
      <c r="T80" s="100"/>
      <c r="U80" s="134"/>
      <c r="V80" s="68"/>
      <c r="W80" s="68"/>
      <c r="X80" s="68"/>
      <c r="Y80" s="68"/>
      <c r="Z80" s="96"/>
      <c r="AA80" s="144"/>
      <c r="AB80" s="145"/>
      <c r="AC80" s="559"/>
      <c r="AD80" s="264" t="s">
        <v>67</v>
      </c>
      <c r="AE80" s="235">
        <f t="shared" si="16"/>
        <v>139.26378444140457</v>
      </c>
      <c r="AF80" s="236">
        <v>139.2578927291174</v>
      </c>
      <c r="AG80" s="61"/>
      <c r="AH80" s="109"/>
      <c r="AI80" s="110"/>
      <c r="AJ80" s="111"/>
      <c r="AK80" s="229"/>
      <c r="AL80" s="211"/>
      <c r="AM80" s="217"/>
      <c r="AN80" s="559"/>
      <c r="AO80" s="266" t="s">
        <v>67</v>
      </c>
      <c r="AP80" s="115"/>
      <c r="AQ80" s="147"/>
      <c r="AR80" s="117"/>
      <c r="AS80" s="139"/>
      <c r="AT80" s="118"/>
      <c r="AU80" s="118">
        <v>0</v>
      </c>
      <c r="AV80" s="119"/>
      <c r="AW80" s="120"/>
      <c r="AX80" s="241"/>
      <c r="AY80" s="559"/>
      <c r="AZ80" s="264" t="s">
        <v>67</v>
      </c>
      <c r="BA80" s="242">
        <v>331543147</v>
      </c>
      <c r="BB80" s="113"/>
      <c r="BC80" s="122"/>
      <c r="BD80" s="238"/>
      <c r="BE80" s="257"/>
      <c r="BF80" s="70"/>
      <c r="BG80" s="261"/>
      <c r="BH80" s="211"/>
      <c r="BI80" s="211"/>
      <c r="BJ80" s="211"/>
      <c r="BK80" s="211"/>
      <c r="BL80" s="161"/>
      <c r="BM80" s="70"/>
      <c r="BN80" s="211"/>
      <c r="BO80" s="211"/>
      <c r="BP80" s="211"/>
      <c r="BQ80" s="262"/>
      <c r="BR80" s="229"/>
      <c r="BS80" s="229"/>
      <c r="BT80" s="229"/>
      <c r="BU80" s="229"/>
    </row>
    <row r="81" spans="4:73" ht="12.75">
      <c r="G81" s="189"/>
      <c r="H81" s="189"/>
      <c r="I81" s="33"/>
      <c r="J81" s="33"/>
      <c r="K81" s="37"/>
      <c r="L81" s="559"/>
      <c r="M81" s="211" t="s">
        <v>68</v>
      </c>
      <c r="N81" s="265">
        <f>'NUMBERS-DM'!K12</f>
        <v>0.16627350118493034</v>
      </c>
      <c r="O81" s="265">
        <v>0.16669999999999999</v>
      </c>
      <c r="P81" s="132">
        <f t="shared" si="15"/>
        <v>4.2649881506964804E-4</v>
      </c>
      <c r="Q81" s="132">
        <f>G$9*N81</f>
        <v>139.83601449652642</v>
      </c>
      <c r="R81" s="100">
        <v>140.21</v>
      </c>
      <c r="S81" s="133">
        <f>Q81</f>
        <v>139.83601449652642</v>
      </c>
      <c r="T81" s="100">
        <f>R81</f>
        <v>140.21</v>
      </c>
      <c r="U81" s="134"/>
      <c r="V81" s="68"/>
      <c r="W81" s="68"/>
      <c r="X81" s="68"/>
      <c r="Y81" s="68"/>
      <c r="Z81" s="96"/>
      <c r="AA81" s="144"/>
      <c r="AB81" s="145"/>
      <c r="AC81" s="559"/>
      <c r="AD81" s="211" t="s">
        <v>68</v>
      </c>
      <c r="AE81" s="235">
        <f t="shared" si="16"/>
        <v>421.77320135205935</v>
      </c>
      <c r="AF81" s="236">
        <v>422.90121593133102</v>
      </c>
      <c r="AG81" s="122">
        <f>AE81</f>
        <v>421.77320135205935</v>
      </c>
      <c r="AH81" s="109">
        <v>422.90121593133102</v>
      </c>
      <c r="AI81" s="110"/>
      <c r="AJ81" s="111"/>
      <c r="AK81" s="229"/>
      <c r="AL81" s="211"/>
      <c r="AM81" s="217"/>
      <c r="AN81" s="559"/>
      <c r="AO81" s="260" t="s">
        <v>68</v>
      </c>
      <c r="AP81" s="115">
        <v>91.25</v>
      </c>
      <c r="AQ81" s="147"/>
      <c r="AR81" s="117">
        <f>AG81-AP81</f>
        <v>330.52320135205935</v>
      </c>
      <c r="AS81" s="139">
        <f>AR81/AP81</f>
        <v>3.6221720696116093</v>
      </c>
      <c r="AT81" s="118">
        <f>SQRT(AS81)*10</f>
        <v>19.032004806671338</v>
      </c>
      <c r="AU81" s="118">
        <v>331.65121593133102</v>
      </c>
      <c r="AV81" s="119">
        <v>3.6345338732200658</v>
      </c>
      <c r="AW81" s="120"/>
      <c r="AX81" s="241"/>
      <c r="AY81" s="559"/>
      <c r="AZ81" s="211" t="s">
        <v>68</v>
      </c>
      <c r="BA81" s="242">
        <v>331543147</v>
      </c>
      <c r="BB81" s="113">
        <f>(AP81*BA81)/1000000000</f>
        <v>30.25331216375</v>
      </c>
      <c r="BC81" s="122"/>
      <c r="BD81" s="238">
        <f>BB81*1.3</f>
        <v>39.329305812874999</v>
      </c>
      <c r="BE81" s="257"/>
      <c r="BF81" s="70"/>
      <c r="BG81" s="261"/>
      <c r="BH81" s="211"/>
      <c r="BI81" s="211"/>
      <c r="BJ81" s="211"/>
      <c r="BK81" s="211"/>
      <c r="BL81" s="161"/>
      <c r="BM81" s="70"/>
      <c r="BN81" s="211"/>
      <c r="BO81" s="211"/>
      <c r="BP81" s="211"/>
      <c r="BQ81" s="262"/>
      <c r="BR81" s="229"/>
      <c r="BS81" s="229"/>
      <c r="BT81" s="229"/>
      <c r="BU81" s="229"/>
    </row>
    <row r="82" spans="4:73" ht="12.75">
      <c r="G82" s="189"/>
      <c r="H82" s="189"/>
      <c r="I82" s="33"/>
      <c r="J82" s="33"/>
      <c r="K82" s="37"/>
      <c r="L82" s="559"/>
      <c r="M82" s="230" t="s">
        <v>70</v>
      </c>
      <c r="N82" s="265">
        <f>'NUMBERS-DM'!K14</f>
        <v>0.11523357996288809</v>
      </c>
      <c r="O82" s="265">
        <v>0.1152</v>
      </c>
      <c r="P82" s="132">
        <f t="shared" si="15"/>
        <v>-3.3579962888094506E-5</v>
      </c>
      <c r="Q82" s="132">
        <f>G$10*N82</f>
        <v>24.429518952132277</v>
      </c>
      <c r="R82" s="100">
        <v>24.43</v>
      </c>
      <c r="S82" s="133">
        <f>Q82</f>
        <v>24.429518952132277</v>
      </c>
      <c r="T82" s="100">
        <f>R82</f>
        <v>24.43</v>
      </c>
      <c r="U82" s="134"/>
      <c r="V82" s="68"/>
      <c r="W82" s="68"/>
      <c r="X82" s="68"/>
      <c r="Y82" s="68"/>
      <c r="Z82" s="96"/>
      <c r="AA82" s="144"/>
      <c r="AB82" s="145"/>
      <c r="AC82" s="559"/>
      <c r="AD82" s="230" t="s">
        <v>70</v>
      </c>
      <c r="AE82" s="235">
        <f t="shared" si="16"/>
        <v>73.684282643707533</v>
      </c>
      <c r="AF82" s="236">
        <v>73.685733579647788</v>
      </c>
      <c r="AG82" s="122">
        <f>AE82</f>
        <v>73.684282643707533</v>
      </c>
      <c r="AH82" s="109">
        <v>73.685733579647788</v>
      </c>
      <c r="AI82" s="110"/>
      <c r="AJ82" s="111"/>
      <c r="AK82" s="250"/>
      <c r="AL82" s="230"/>
      <c r="AM82" s="270"/>
      <c r="AN82" s="559"/>
      <c r="AO82" s="240" t="s">
        <v>70</v>
      </c>
      <c r="AP82" s="115">
        <v>5.1100000000000003</v>
      </c>
      <c r="AQ82" s="147"/>
      <c r="AR82" s="117">
        <f>AG82-AP82</f>
        <v>68.574282643707534</v>
      </c>
      <c r="AS82" s="139">
        <f>AR82/AP82</f>
        <v>13.419624783504409</v>
      </c>
      <c r="AT82" s="118">
        <f>SQRT(AS82)*10</f>
        <v>36.632806039811378</v>
      </c>
      <c r="AU82" s="118">
        <v>68.575733579647789</v>
      </c>
      <c r="AV82" s="119">
        <v>13.419908724001523</v>
      </c>
      <c r="AW82" s="120"/>
      <c r="AX82" s="241"/>
      <c r="AY82" s="559"/>
      <c r="AZ82" s="230" t="s">
        <v>70</v>
      </c>
      <c r="BA82" s="242">
        <v>331543147</v>
      </c>
      <c r="BB82" s="113">
        <f>(AP82*BA82)/1000000000</f>
        <v>1.6941854811700001</v>
      </c>
      <c r="BC82" s="122"/>
      <c r="BD82" s="238">
        <f>BB82*1.3</f>
        <v>2.2024411255210001</v>
      </c>
      <c r="BE82" s="201"/>
      <c r="BF82" s="88"/>
      <c r="BG82" s="271"/>
      <c r="BH82" s="230"/>
      <c r="BI82" s="230"/>
      <c r="BJ82" s="230"/>
      <c r="BK82" s="230"/>
      <c r="BL82" s="100"/>
      <c r="BM82" s="88"/>
      <c r="BN82" s="230"/>
      <c r="BO82" s="230"/>
      <c r="BP82" s="230"/>
      <c r="BQ82" s="249"/>
      <c r="BR82" s="250"/>
      <c r="BS82" s="250"/>
      <c r="BT82" s="250"/>
      <c r="BU82" s="250"/>
    </row>
    <row r="83" spans="4:73" ht="12.75">
      <c r="G83" s="189"/>
      <c r="H83" s="189"/>
      <c r="I83" s="33"/>
      <c r="J83" s="33"/>
      <c r="K83" s="37"/>
      <c r="L83" s="559"/>
      <c r="M83" s="275" t="s">
        <v>71</v>
      </c>
      <c r="N83" s="265">
        <f>'NUMBERS-DM'!K16</f>
        <v>0.17696152820196115</v>
      </c>
      <c r="O83" s="265">
        <v>0.17699999999999999</v>
      </c>
      <c r="P83" s="132">
        <f t="shared" si="15"/>
        <v>3.8471798038841598E-5</v>
      </c>
      <c r="Q83" s="132">
        <f>G$11*N83</f>
        <v>23.712844779062795</v>
      </c>
      <c r="R83" s="100">
        <v>23.71</v>
      </c>
      <c r="S83" s="133">
        <f>Q83+Q85+Q84</f>
        <v>38.413547620458445</v>
      </c>
      <c r="T83" s="100">
        <f>R83+R84+R85</f>
        <v>38.410000000000004</v>
      </c>
      <c r="U83" s="134"/>
      <c r="V83" s="68"/>
      <c r="W83" s="68"/>
      <c r="X83" s="68"/>
      <c r="Y83" s="68"/>
      <c r="Z83" s="96"/>
      <c r="AA83" s="144"/>
      <c r="AB83" s="145"/>
      <c r="AC83" s="559"/>
      <c r="AD83" s="275" t="s">
        <v>71</v>
      </c>
      <c r="AE83" s="235">
        <f t="shared" si="16"/>
        <v>71.522650953973098</v>
      </c>
      <c r="AF83" s="236">
        <v>71.514070535139126</v>
      </c>
      <c r="AG83" s="122">
        <f>AE83+AE85+AE84</f>
        <v>115.8628913553096</v>
      </c>
      <c r="AH83" s="109">
        <v>115.8521910271908</v>
      </c>
      <c r="AI83" s="110"/>
      <c r="AJ83" s="111"/>
      <c r="AK83" s="229"/>
      <c r="AL83" s="211"/>
      <c r="AM83" s="217"/>
      <c r="AN83" s="559"/>
      <c r="AO83" s="276" t="s">
        <v>71</v>
      </c>
      <c r="AP83" s="115">
        <v>25.55</v>
      </c>
      <c r="AQ83" s="147"/>
      <c r="AR83" s="117">
        <f>AG83-AP83</f>
        <v>90.312891355309603</v>
      </c>
      <c r="AS83" s="139">
        <f>AR83/AP83</f>
        <v>3.5347511293663247</v>
      </c>
      <c r="AT83" s="118">
        <f>SQRT(AS83)*10</f>
        <v>18.800933831505084</v>
      </c>
      <c r="AU83" s="118">
        <v>90.302191027190801</v>
      </c>
      <c r="AV83" s="119">
        <v>3.5343323298313423</v>
      </c>
      <c r="AW83" s="120"/>
      <c r="AX83" s="241"/>
      <c r="AY83" s="559"/>
      <c r="AZ83" s="275" t="s">
        <v>71</v>
      </c>
      <c r="BA83" s="242">
        <v>331543147</v>
      </c>
      <c r="BB83" s="113">
        <f>(AP83*BA83)/1000000000</f>
        <v>8.4709274058500004</v>
      </c>
      <c r="BC83" s="122"/>
      <c r="BD83" s="238">
        <f>BB83*1.3</f>
        <v>11.012205627605001</v>
      </c>
      <c r="BE83" s="257"/>
      <c r="BF83" s="70"/>
      <c r="BG83" s="261"/>
      <c r="BH83" s="211"/>
      <c r="BI83" s="211"/>
      <c r="BJ83" s="211"/>
      <c r="BK83" s="211"/>
      <c r="BL83" s="161"/>
      <c r="BM83" s="70"/>
      <c r="BN83" s="211"/>
      <c r="BO83" s="211"/>
      <c r="BP83" s="211"/>
      <c r="BQ83" s="262"/>
      <c r="BR83" s="229"/>
      <c r="BS83" s="229"/>
      <c r="BT83" s="229"/>
      <c r="BU83" s="229"/>
    </row>
    <row r="84" spans="4:73" ht="12.75">
      <c r="G84" s="189"/>
      <c r="H84" s="189"/>
      <c r="I84" s="33"/>
      <c r="J84" s="33"/>
      <c r="K84" s="37"/>
      <c r="L84" s="559"/>
      <c r="M84" s="275" t="s">
        <v>72</v>
      </c>
      <c r="N84" s="265">
        <f>'NUMBERS-DM'!K18</f>
        <v>5.6442598267971919E-2</v>
      </c>
      <c r="O84" s="265">
        <v>5.6399999999999999E-2</v>
      </c>
      <c r="P84" s="132">
        <f t="shared" si="15"/>
        <v>-4.2598267971920289E-5</v>
      </c>
      <c r="Q84" s="132">
        <f>G$12*N84</f>
        <v>8.748602731535648</v>
      </c>
      <c r="R84" s="100">
        <v>8.75</v>
      </c>
      <c r="S84" s="133"/>
      <c r="T84" s="100"/>
      <c r="U84" s="134"/>
      <c r="V84" s="68"/>
      <c r="W84" s="68"/>
      <c r="X84" s="68"/>
      <c r="Y84" s="68"/>
      <c r="Z84" s="96"/>
      <c r="AA84" s="144"/>
      <c r="AB84" s="145"/>
      <c r="AC84" s="559"/>
      <c r="AD84" s="275" t="s">
        <v>72</v>
      </c>
      <c r="AE84" s="235">
        <f t="shared" si="16"/>
        <v>26.387523948838094</v>
      </c>
      <c r="AF84" s="236">
        <v>26.391738388125997</v>
      </c>
      <c r="AG84" s="61"/>
      <c r="AH84" s="109"/>
      <c r="AI84" s="110"/>
      <c r="AJ84" s="111"/>
      <c r="AK84" s="229"/>
      <c r="AL84" s="211"/>
      <c r="AM84" s="217"/>
      <c r="AN84" s="559"/>
      <c r="AO84" s="276" t="s">
        <v>72</v>
      </c>
      <c r="AP84" s="115"/>
      <c r="AQ84" s="147"/>
      <c r="AR84" s="117"/>
      <c r="AS84" s="117"/>
      <c r="AT84" s="118"/>
      <c r="AU84" s="118">
        <v>0</v>
      </c>
      <c r="AV84" s="119"/>
      <c r="AW84" s="120"/>
      <c r="AX84" s="241"/>
      <c r="AY84" s="559"/>
      <c r="AZ84" s="275" t="s">
        <v>72</v>
      </c>
      <c r="BA84" s="242">
        <v>331543147</v>
      </c>
      <c r="BB84" s="113"/>
      <c r="BC84" s="122"/>
      <c r="BD84" s="238"/>
      <c r="BE84" s="257"/>
      <c r="BF84" s="70"/>
      <c r="BG84" s="261"/>
      <c r="BH84" s="211"/>
      <c r="BI84" s="211"/>
      <c r="BJ84" s="211"/>
      <c r="BK84" s="211"/>
      <c r="BL84" s="161"/>
      <c r="BM84" s="70"/>
      <c r="BN84" s="211"/>
      <c r="BO84" s="211"/>
      <c r="BP84" s="211"/>
      <c r="BQ84" s="262"/>
      <c r="BR84" s="229"/>
      <c r="BS84" s="229"/>
      <c r="BT84" s="229"/>
      <c r="BU84" s="229"/>
    </row>
    <row r="85" spans="4:73" ht="12.75">
      <c r="G85" s="189"/>
      <c r="H85" s="189"/>
      <c r="I85" s="33"/>
      <c r="J85" s="33"/>
      <c r="K85" s="37"/>
      <c r="L85" s="559"/>
      <c r="M85" s="275" t="s">
        <v>73</v>
      </c>
      <c r="N85" s="265">
        <f>'NUMBERS-DM'!K20</f>
        <v>7.1798553798069931E-2</v>
      </c>
      <c r="O85" s="265">
        <v>7.1800000000000003E-2</v>
      </c>
      <c r="P85" s="132">
        <f t="shared" si="15"/>
        <v>1.4462019300720552E-6</v>
      </c>
      <c r="Q85" s="132">
        <f>G$13*N85</f>
        <v>5.9521001098599973</v>
      </c>
      <c r="R85" s="100">
        <v>5.95</v>
      </c>
      <c r="S85" s="133"/>
      <c r="T85" s="100"/>
      <c r="U85" s="134"/>
      <c r="V85" s="68"/>
      <c r="W85" s="68"/>
      <c r="X85" s="68"/>
      <c r="Y85" s="68"/>
      <c r="Z85" s="96"/>
      <c r="AA85" s="144"/>
      <c r="AB85" s="145"/>
      <c r="AC85" s="559"/>
      <c r="AD85" s="275" t="s">
        <v>73</v>
      </c>
      <c r="AE85" s="235">
        <f t="shared" si="16"/>
        <v>17.952716452498407</v>
      </c>
      <c r="AF85" s="236">
        <v>17.946382103925679</v>
      </c>
      <c r="AG85" s="61"/>
      <c r="AH85" s="109"/>
      <c r="AI85" s="110"/>
      <c r="AJ85" s="111"/>
      <c r="AK85" s="229"/>
      <c r="AL85" s="211"/>
      <c r="AM85" s="217"/>
      <c r="AN85" s="559"/>
      <c r="AO85" s="276" t="s">
        <v>73</v>
      </c>
      <c r="AP85" s="115"/>
      <c r="AQ85" s="147"/>
      <c r="AR85" s="117"/>
      <c r="AS85" s="117"/>
      <c r="AT85" s="118"/>
      <c r="AU85" s="118">
        <v>0</v>
      </c>
      <c r="AV85" s="119"/>
      <c r="AW85" s="120"/>
      <c r="AX85" s="241"/>
      <c r="AY85" s="559"/>
      <c r="AZ85" s="275" t="s">
        <v>73</v>
      </c>
      <c r="BA85" s="242">
        <v>331543147</v>
      </c>
      <c r="BB85" s="113"/>
      <c r="BC85" s="122"/>
      <c r="BD85" s="238"/>
      <c r="BE85" s="257"/>
      <c r="BF85" s="70"/>
      <c r="BG85" s="261"/>
      <c r="BH85" s="211"/>
      <c r="BI85" s="211"/>
      <c r="BJ85" s="211"/>
      <c r="BK85" s="211"/>
      <c r="BL85" s="161"/>
      <c r="BM85" s="70"/>
      <c r="BN85" s="211"/>
      <c r="BO85" s="211"/>
      <c r="BP85" s="211"/>
      <c r="BQ85" s="262"/>
      <c r="BR85" s="229"/>
      <c r="BS85" s="229"/>
      <c r="BT85" s="229"/>
      <c r="BU85" s="229"/>
    </row>
    <row r="86" spans="4:73" ht="12.75">
      <c r="G86" s="189"/>
      <c r="H86" s="189"/>
      <c r="I86" s="33"/>
      <c r="J86" s="33"/>
      <c r="K86" s="37"/>
      <c r="L86" s="559"/>
      <c r="M86" s="282" t="s">
        <v>75</v>
      </c>
      <c r="N86" s="265">
        <f>'NUMBERS-DM'!K22</f>
        <v>4.5627760775301861E-2</v>
      </c>
      <c r="O86" s="265">
        <v>4.5600000000000002E-2</v>
      </c>
      <c r="P86" s="132">
        <f t="shared" si="15"/>
        <v>-2.7760775301859109E-5</v>
      </c>
      <c r="Q86" s="132">
        <f>G$14*N86</f>
        <v>18.771260782959185</v>
      </c>
      <c r="R86" s="100">
        <v>20.549999999999997</v>
      </c>
      <c r="S86" s="133">
        <f>Q86+Q87</f>
        <v>19.23758976248153</v>
      </c>
      <c r="T86" s="100">
        <f>R86</f>
        <v>20.549999999999997</v>
      </c>
      <c r="U86" s="134"/>
      <c r="V86" s="68"/>
      <c r="W86" s="68"/>
      <c r="X86" s="68"/>
      <c r="Y86" s="68"/>
      <c r="Z86" s="96"/>
      <c r="AA86" s="144"/>
      <c r="AB86" s="145"/>
      <c r="AC86" s="559"/>
      <c r="AD86" s="282" t="s">
        <v>75</v>
      </c>
      <c r="AE86" s="235">
        <f t="shared" si="16"/>
        <v>56.617851862759771</v>
      </c>
      <c r="AF86" s="236">
        <v>61.982882728684473</v>
      </c>
      <c r="AG86" s="122">
        <f>AE86+AE87</f>
        <v>58.024392711943264</v>
      </c>
      <c r="AH86" s="109">
        <v>61.982882728684473</v>
      </c>
      <c r="AI86" s="110"/>
      <c r="AJ86" s="111"/>
      <c r="AK86" s="229"/>
      <c r="AL86" s="211"/>
      <c r="AM86" s="217"/>
      <c r="AN86" s="559"/>
      <c r="AO86" s="282" t="s">
        <v>75</v>
      </c>
      <c r="AP86" s="115">
        <v>45.625</v>
      </c>
      <c r="AQ86" s="147"/>
      <c r="AR86" s="117">
        <f>AG86-AP86</f>
        <v>12.399392711943264</v>
      </c>
      <c r="AS86" s="139">
        <f>AR86/AP86</f>
        <v>0.2717675114946469</v>
      </c>
      <c r="AT86" s="118">
        <f>SQRT(AS86)*10</f>
        <v>5.2131325658825034</v>
      </c>
      <c r="AU86" s="118">
        <v>16.357882728684473</v>
      </c>
      <c r="AV86" s="119">
        <v>0.35852893651911172</v>
      </c>
      <c r="AW86" s="120"/>
      <c r="AX86" s="241"/>
      <c r="AY86" s="559"/>
      <c r="AZ86" s="211" t="s">
        <v>75</v>
      </c>
      <c r="BA86" s="242">
        <v>331543147</v>
      </c>
      <c r="BB86" s="113">
        <f>(AP86*BA86)/1000000000</f>
        <v>15.126656081875</v>
      </c>
      <c r="BC86" s="122"/>
      <c r="BD86" s="238">
        <f>BB86*1.3</f>
        <v>19.6646529064375</v>
      </c>
      <c r="BE86" s="257"/>
      <c r="BF86" s="70"/>
      <c r="BG86" s="261"/>
      <c r="BH86" s="211"/>
      <c r="BI86" s="211"/>
      <c r="BJ86" s="211"/>
      <c r="BK86" s="211"/>
      <c r="BL86" s="161"/>
      <c r="BM86" s="70"/>
      <c r="BN86" s="211"/>
      <c r="BO86" s="211"/>
      <c r="BP86" s="211"/>
      <c r="BQ86" s="262"/>
      <c r="BR86" s="229"/>
      <c r="BS86" s="229"/>
      <c r="BT86" s="229"/>
      <c r="BU86" s="229"/>
    </row>
    <row r="87" spans="4:73" ht="12.75">
      <c r="D87" s="211"/>
      <c r="E87" s="211"/>
      <c r="F87" s="296"/>
      <c r="G87" s="296"/>
      <c r="H87" s="296"/>
      <c r="I87" s="170"/>
      <c r="J87" s="170"/>
      <c r="K87" s="171"/>
      <c r="L87" s="296"/>
      <c r="M87" s="283" t="s">
        <v>77</v>
      </c>
      <c r="N87" s="265">
        <f>'NUMBERS-DM'!K24</f>
        <v>8.79865999098767E-2</v>
      </c>
      <c r="O87" s="265">
        <v>8.7999999999999995E-2</v>
      </c>
      <c r="P87" s="132">
        <f t="shared" si="15"/>
        <v>1.3400090123294461E-5</v>
      </c>
      <c r="Q87" s="132">
        <f>G$15*N87</f>
        <v>0.46632897952234648</v>
      </c>
      <c r="R87" s="161"/>
      <c r="S87" s="101"/>
      <c r="T87" s="161"/>
      <c r="U87" s="134"/>
      <c r="V87" s="103"/>
      <c r="W87" s="103"/>
      <c r="X87" s="103"/>
      <c r="Y87" s="103"/>
      <c r="Z87" s="96"/>
      <c r="AA87" s="88"/>
      <c r="AB87" s="155"/>
      <c r="AC87" s="296"/>
      <c r="AD87" s="283" t="s">
        <v>77</v>
      </c>
      <c r="AE87" s="235">
        <f t="shared" si="16"/>
        <v>1.4065408491834894</v>
      </c>
      <c r="AF87" s="294"/>
      <c r="AG87" s="172"/>
      <c r="AH87" s="172"/>
      <c r="AI87" s="110"/>
      <c r="AJ87" s="111"/>
      <c r="AK87" s="229"/>
      <c r="AL87" s="211"/>
      <c r="AM87" s="217"/>
      <c r="AN87" s="297"/>
      <c r="AO87" s="283" t="s">
        <v>77</v>
      </c>
      <c r="AP87" s="146"/>
      <c r="AQ87" s="147"/>
      <c r="AR87" s="70"/>
      <c r="AS87" s="70"/>
      <c r="AT87" s="95"/>
      <c r="AU87" s="95"/>
      <c r="AV87" s="95"/>
      <c r="AW87" s="70"/>
      <c r="AX87" s="298"/>
      <c r="AY87" s="297"/>
      <c r="AZ87" s="211"/>
      <c r="BA87" s="242">
        <v>331543147</v>
      </c>
      <c r="BB87" s="113"/>
      <c r="BC87" s="141"/>
      <c r="BD87" s="238"/>
      <c r="BE87" s="257"/>
      <c r="BF87" s="70"/>
      <c r="BG87" s="261"/>
      <c r="BH87" s="211"/>
      <c r="BI87" s="211"/>
      <c r="BJ87" s="211"/>
      <c r="BK87" s="211"/>
      <c r="BL87" s="161"/>
      <c r="BM87" s="70"/>
      <c r="BN87" s="211"/>
      <c r="BO87" s="211"/>
      <c r="BP87" s="211"/>
      <c r="BQ87" s="262"/>
      <c r="BR87" s="229"/>
      <c r="BS87" s="229"/>
      <c r="BT87" s="229"/>
      <c r="BU87" s="229"/>
    </row>
    <row r="88" spans="4:73" ht="12.75">
      <c r="D88" s="211"/>
      <c r="E88" s="211"/>
      <c r="F88" s="296"/>
      <c r="G88" s="296"/>
      <c r="H88" s="296"/>
      <c r="I88" s="170"/>
      <c r="J88" s="170"/>
      <c r="K88" s="171"/>
      <c r="L88" s="296"/>
      <c r="M88" s="211"/>
      <c r="N88" s="161"/>
      <c r="O88" s="161"/>
      <c r="P88" s="161"/>
      <c r="Q88" s="161"/>
      <c r="R88" s="161"/>
      <c r="S88" s="101"/>
      <c r="T88" s="161"/>
      <c r="U88" s="134"/>
      <c r="Z88" s="96"/>
      <c r="AA88" s="88"/>
      <c r="AB88" s="155"/>
      <c r="AC88" s="296"/>
      <c r="AD88" s="211"/>
      <c r="AE88" s="260"/>
      <c r="AF88" s="294"/>
      <c r="AG88" s="172"/>
      <c r="AH88" s="172"/>
      <c r="AI88" s="110"/>
      <c r="AJ88" s="111"/>
      <c r="AK88" s="229"/>
      <c r="AL88" s="211"/>
      <c r="AM88" s="217"/>
      <c r="AN88" s="297"/>
      <c r="AO88" s="260"/>
      <c r="AP88" s="146"/>
      <c r="AQ88" s="147"/>
      <c r="AR88" s="70"/>
      <c r="AS88" s="70"/>
      <c r="AT88" s="95"/>
      <c r="AU88" s="95"/>
      <c r="AV88" s="95"/>
      <c r="AW88" s="70"/>
      <c r="AX88" s="298"/>
      <c r="AY88" s="297"/>
      <c r="AZ88" s="211"/>
      <c r="BA88" s="294"/>
      <c r="BB88" s="70"/>
      <c r="BC88" s="141"/>
      <c r="BD88" s="211"/>
      <c r="BE88" s="257"/>
      <c r="BF88" s="70"/>
      <c r="BG88" s="261"/>
      <c r="BH88" s="211"/>
      <c r="BI88" s="211"/>
      <c r="BJ88" s="211"/>
      <c r="BK88" s="211"/>
      <c r="BL88" s="161"/>
      <c r="BM88" s="70"/>
      <c r="BN88" s="211"/>
      <c r="BO88" s="211"/>
      <c r="BP88" s="211"/>
      <c r="BQ88" s="262"/>
      <c r="BR88" s="229"/>
      <c r="BS88" s="229"/>
      <c r="BT88" s="229"/>
      <c r="BU88" s="229"/>
    </row>
    <row r="89" spans="4:73" ht="12.75">
      <c r="D89" s="211"/>
      <c r="E89" s="211"/>
      <c r="F89" s="296"/>
      <c r="G89" s="296"/>
      <c r="H89" s="296"/>
      <c r="I89" s="170"/>
      <c r="J89" s="170"/>
      <c r="K89" s="171"/>
      <c r="L89" s="296"/>
      <c r="M89" s="211"/>
      <c r="N89" s="161"/>
      <c r="O89" s="161"/>
      <c r="P89" s="161"/>
      <c r="Q89" s="161"/>
      <c r="R89" s="161"/>
      <c r="S89" s="101"/>
      <c r="T89" s="161"/>
      <c r="U89" s="175"/>
      <c r="V89" s="95"/>
      <c r="W89" s="95"/>
      <c r="X89" s="95"/>
      <c r="Y89" s="95"/>
      <c r="Z89" s="96"/>
      <c r="AA89" s="88"/>
      <c r="AB89" s="155"/>
      <c r="AC89" s="296"/>
      <c r="AD89" s="211"/>
      <c r="AE89" s="260"/>
      <c r="AF89" s="294"/>
      <c r="AG89" s="172"/>
      <c r="AH89" s="172"/>
      <c r="AI89" s="110"/>
      <c r="AJ89" s="111"/>
      <c r="AK89" s="229"/>
      <c r="AL89" s="211"/>
      <c r="AM89" s="217"/>
      <c r="AN89" s="297"/>
      <c r="AO89" s="260"/>
      <c r="AP89" s="146"/>
      <c r="AQ89" s="147"/>
      <c r="AR89" s="70"/>
      <c r="AS89" s="70"/>
      <c r="AT89" s="95"/>
      <c r="AU89" s="95"/>
      <c r="AV89" s="95"/>
      <c r="AW89" s="70"/>
      <c r="AX89" s="298"/>
      <c r="AY89" s="297"/>
      <c r="AZ89" s="211"/>
      <c r="BA89" s="294"/>
      <c r="BB89" s="70"/>
      <c r="BC89" s="141"/>
      <c r="BD89" s="211"/>
      <c r="BE89" s="257"/>
      <c r="BF89" s="70"/>
      <c r="BG89" s="261"/>
      <c r="BH89" s="211"/>
      <c r="BI89" s="211"/>
      <c r="BJ89" s="211"/>
      <c r="BK89" s="211"/>
      <c r="BL89" s="161"/>
      <c r="BM89" s="70"/>
      <c r="BN89" s="211"/>
      <c r="BO89" s="211"/>
      <c r="BP89" s="211"/>
      <c r="BQ89" s="262"/>
      <c r="BR89" s="229"/>
      <c r="BS89" s="229"/>
      <c r="BT89" s="229"/>
      <c r="BU89" s="229"/>
    </row>
    <row r="90" spans="4:73" ht="11.25" customHeight="1">
      <c r="D90" s="148"/>
      <c r="E90" s="148"/>
      <c r="F90" s="299"/>
      <c r="G90" s="299"/>
      <c r="H90" s="299"/>
      <c r="I90" s="299"/>
      <c r="J90" s="299"/>
      <c r="K90" s="299"/>
      <c r="L90" s="299"/>
      <c r="M90" s="148"/>
      <c r="N90" s="300"/>
      <c r="O90" s="300"/>
      <c r="P90" s="300"/>
      <c r="Q90" s="300"/>
      <c r="R90" s="300"/>
      <c r="S90" s="301"/>
      <c r="T90" s="300"/>
      <c r="U90" s="302"/>
      <c r="V90" s="303"/>
      <c r="W90" s="303"/>
      <c r="X90" s="303"/>
      <c r="Y90" s="303"/>
      <c r="Z90" s="304"/>
      <c r="AA90" s="155"/>
      <c r="AB90" s="155"/>
      <c r="AC90" s="299"/>
      <c r="AD90" s="148"/>
      <c r="AE90" s="305"/>
      <c r="AF90" s="300"/>
      <c r="AG90" s="306"/>
      <c r="AH90" s="306"/>
      <c r="AI90" s="307"/>
      <c r="AJ90" s="308"/>
      <c r="AK90" s="303"/>
      <c r="AL90" s="148"/>
      <c r="AM90" s="148"/>
      <c r="AN90" s="309"/>
      <c r="AO90" s="305"/>
      <c r="AP90" s="305"/>
      <c r="AQ90" s="310"/>
      <c r="AR90" s="148"/>
      <c r="AS90" s="148"/>
      <c r="AT90" s="303"/>
      <c r="AU90" s="303"/>
      <c r="AV90" s="303"/>
      <c r="AW90" s="148"/>
      <c r="AX90" s="174"/>
      <c r="AY90" s="309"/>
      <c r="AZ90" s="148"/>
      <c r="BA90" s="300"/>
      <c r="BB90" s="148"/>
      <c r="BC90" s="174"/>
      <c r="BD90" s="148"/>
      <c r="BE90" s="174"/>
      <c r="BF90" s="148"/>
      <c r="BG90" s="148"/>
      <c r="BH90" s="148"/>
      <c r="BI90" s="148"/>
      <c r="BJ90" s="148"/>
      <c r="BK90" s="148"/>
      <c r="BL90" s="161"/>
      <c r="BM90" s="70"/>
      <c r="BN90" s="148"/>
      <c r="BO90" s="148"/>
      <c r="BP90" s="148"/>
      <c r="BQ90" s="148"/>
      <c r="BR90" s="303"/>
      <c r="BS90" s="303"/>
      <c r="BT90" s="303"/>
      <c r="BU90" s="303"/>
    </row>
    <row r="91" spans="4:73" ht="12.75">
      <c r="D91" s="211"/>
      <c r="E91" s="211"/>
      <c r="F91" s="296"/>
      <c r="G91" s="296"/>
      <c r="H91" s="296"/>
      <c r="I91" s="170"/>
      <c r="J91" s="170"/>
      <c r="K91" s="171"/>
      <c r="L91" s="296"/>
      <c r="M91" s="211"/>
      <c r="N91" s="161"/>
      <c r="O91" s="161"/>
      <c r="P91" s="161"/>
      <c r="Q91" s="161"/>
      <c r="R91" s="161"/>
      <c r="S91" s="101"/>
      <c r="T91" s="161"/>
      <c r="U91" s="175"/>
      <c r="V91" s="95"/>
      <c r="W91" s="95"/>
      <c r="X91" s="95"/>
      <c r="Y91" s="95"/>
      <c r="Z91" s="96"/>
      <c r="AA91" s="88"/>
      <c r="AB91" s="155"/>
      <c r="AC91" s="296"/>
      <c r="AD91" s="211"/>
      <c r="AE91" s="260"/>
      <c r="AF91" s="294"/>
      <c r="AG91" s="172"/>
      <c r="AH91" s="172"/>
      <c r="AI91" s="110"/>
      <c r="AJ91" s="111"/>
      <c r="AK91" s="229"/>
      <c r="AL91" s="211"/>
      <c r="AM91" s="217"/>
      <c r="AN91" s="297"/>
      <c r="AO91" s="260"/>
      <c r="AP91" s="146"/>
      <c r="AQ91" s="147"/>
      <c r="AR91" s="70"/>
      <c r="AS91" s="70"/>
      <c r="AT91" s="95"/>
      <c r="AU91" s="95"/>
      <c r="AV91" s="95"/>
      <c r="AW91" s="70"/>
      <c r="AX91" s="298"/>
      <c r="AY91" s="297"/>
      <c r="AZ91" s="211"/>
      <c r="BA91" s="294"/>
      <c r="BB91" s="70"/>
      <c r="BC91" s="141"/>
      <c r="BD91" s="211"/>
      <c r="BE91" s="257"/>
      <c r="BF91" s="70"/>
      <c r="BG91" s="261"/>
      <c r="BH91" s="211"/>
      <c r="BI91" s="211"/>
      <c r="BJ91" s="211"/>
      <c r="BK91" s="211"/>
      <c r="BL91" s="161"/>
      <c r="BM91" s="70"/>
      <c r="BN91" s="211"/>
      <c r="BO91" s="211"/>
      <c r="BP91" s="211"/>
      <c r="BQ91" s="262"/>
      <c r="BR91" s="229"/>
      <c r="BS91" s="229"/>
      <c r="BT91" s="229"/>
      <c r="BU91" s="229"/>
    </row>
    <row r="92" spans="4:73" ht="12.75">
      <c r="D92" s="211"/>
      <c r="E92" s="211"/>
      <c r="F92" s="296"/>
      <c r="G92" s="296"/>
      <c r="H92" s="296"/>
      <c r="I92" s="170"/>
      <c r="J92" s="170"/>
      <c r="K92" s="171"/>
      <c r="L92" s="296"/>
      <c r="M92" s="211"/>
      <c r="N92" s="161"/>
      <c r="O92" s="161"/>
      <c r="P92" s="161"/>
      <c r="Q92" s="161"/>
      <c r="R92" s="161"/>
      <c r="S92" s="101"/>
      <c r="T92" s="161"/>
      <c r="U92" s="175"/>
      <c r="V92" s="95"/>
      <c r="W92" s="95"/>
      <c r="X92" s="95"/>
      <c r="Y92" s="95"/>
      <c r="Z92" s="96"/>
      <c r="AA92" s="88"/>
      <c r="AB92" s="155"/>
      <c r="AC92" s="296"/>
      <c r="AD92" s="211"/>
      <c r="AE92" s="260"/>
      <c r="AF92" s="294"/>
      <c r="AG92" s="172"/>
      <c r="AH92" s="172"/>
      <c r="AI92" s="110"/>
      <c r="AJ92" s="111"/>
      <c r="AK92" s="229"/>
      <c r="AL92" s="211"/>
      <c r="AM92" s="217"/>
      <c r="AN92" s="297"/>
      <c r="AO92" s="260"/>
      <c r="AP92" s="146"/>
      <c r="AQ92" s="147"/>
      <c r="AR92" s="70"/>
      <c r="AS92" s="70"/>
      <c r="AT92" s="95"/>
      <c r="AU92" s="95"/>
      <c r="AV92" s="95"/>
      <c r="AW92" s="70"/>
      <c r="AX92" s="298"/>
      <c r="AY92" s="297"/>
      <c r="AZ92" s="211"/>
      <c r="BA92" s="294"/>
      <c r="BB92" s="70"/>
      <c r="BC92" s="141"/>
      <c r="BD92" s="211"/>
      <c r="BE92" s="257"/>
      <c r="BF92" s="70"/>
      <c r="BG92" s="261"/>
      <c r="BH92" s="211"/>
      <c r="BI92" s="211"/>
      <c r="BJ92" s="211"/>
      <c r="BK92" s="211"/>
      <c r="BL92" s="161"/>
      <c r="BM92" s="70"/>
      <c r="BN92" s="211"/>
      <c r="BO92" s="211"/>
      <c r="BP92" s="211"/>
      <c r="BQ92" s="262"/>
      <c r="BR92" s="229"/>
      <c r="BS92" s="229"/>
      <c r="BT92" s="229"/>
      <c r="BU92" s="229"/>
    </row>
    <row r="93" spans="4:73" ht="12.75">
      <c r="D93" s="211"/>
      <c r="E93" s="211"/>
      <c r="F93" s="296"/>
      <c r="G93" s="296"/>
      <c r="H93" s="296"/>
      <c r="I93" s="170"/>
      <c r="J93" s="170"/>
      <c r="K93" s="171"/>
      <c r="L93" s="296"/>
      <c r="M93" s="211"/>
      <c r="N93" s="161"/>
      <c r="O93" s="161"/>
      <c r="P93" s="161"/>
      <c r="Q93" s="161"/>
      <c r="R93" s="161"/>
      <c r="S93" s="101"/>
      <c r="T93" s="161"/>
      <c r="U93" s="175"/>
      <c r="V93" s="95"/>
      <c r="W93" s="95"/>
      <c r="X93" s="95"/>
      <c r="Y93" s="95"/>
      <c r="Z93" s="96"/>
      <c r="AA93" s="88"/>
      <c r="AB93" s="155"/>
      <c r="AC93" s="296"/>
      <c r="AD93" s="211"/>
      <c r="AE93" s="260"/>
      <c r="AF93" s="294"/>
      <c r="AG93" s="172"/>
      <c r="AH93" s="172"/>
      <c r="AI93" s="110"/>
      <c r="AJ93" s="111"/>
      <c r="AK93" s="229"/>
      <c r="AL93" s="211"/>
      <c r="AM93" s="217"/>
      <c r="AN93" s="297"/>
      <c r="AO93" s="260"/>
      <c r="AP93" s="146"/>
      <c r="AQ93" s="147"/>
      <c r="AR93" s="70"/>
      <c r="AS93" s="70"/>
      <c r="AT93" s="95"/>
      <c r="AU93" s="95"/>
      <c r="AV93" s="95"/>
      <c r="AW93" s="70"/>
      <c r="AX93" s="298"/>
      <c r="AY93" s="297"/>
      <c r="AZ93" s="211"/>
      <c r="BA93" s="294"/>
      <c r="BB93" s="70"/>
      <c r="BC93" s="141"/>
      <c r="BD93" s="211"/>
      <c r="BE93" s="257"/>
      <c r="BF93" s="70"/>
      <c r="BG93" s="261"/>
      <c r="BH93" s="211"/>
      <c r="BI93" s="211"/>
      <c r="BJ93" s="211"/>
      <c r="BK93" s="211"/>
      <c r="BL93" s="161"/>
      <c r="BM93" s="70"/>
      <c r="BN93" s="211"/>
      <c r="BO93" s="211"/>
      <c r="BP93" s="211"/>
      <c r="BQ93" s="262"/>
      <c r="BR93" s="229"/>
      <c r="BS93" s="229"/>
      <c r="BT93" s="229"/>
      <c r="BU93" s="229"/>
    </row>
    <row r="94" spans="4:73" ht="12.75">
      <c r="D94" s="211"/>
      <c r="E94" s="211"/>
      <c r="F94" s="296"/>
      <c r="G94" s="296"/>
      <c r="H94" s="296"/>
      <c r="I94" s="170"/>
      <c r="J94" s="170"/>
      <c r="K94" s="171"/>
      <c r="L94" s="296"/>
      <c r="M94" s="211"/>
      <c r="N94" s="161"/>
      <c r="O94" s="161"/>
      <c r="P94" s="161"/>
      <c r="Q94" s="161"/>
      <c r="R94" s="161"/>
      <c r="S94" s="101"/>
      <c r="T94" s="161"/>
      <c r="U94" s="175"/>
      <c r="V94" s="95"/>
      <c r="W94" s="95"/>
      <c r="X94" s="95"/>
      <c r="Y94" s="95"/>
      <c r="Z94" s="96"/>
      <c r="AA94" s="88"/>
      <c r="AB94" s="155"/>
      <c r="AC94" s="296"/>
      <c r="AD94" s="211"/>
      <c r="AE94" s="260"/>
      <c r="AF94" s="294"/>
      <c r="AG94" s="172"/>
      <c r="AH94" s="172"/>
      <c r="AI94" s="110"/>
      <c r="AJ94" s="111"/>
      <c r="AK94" s="229"/>
      <c r="AL94" s="211"/>
      <c r="AM94" s="217"/>
      <c r="AN94" s="297"/>
      <c r="AO94" s="260"/>
      <c r="AP94" s="146"/>
      <c r="AQ94" s="147"/>
      <c r="AR94" s="70"/>
      <c r="AS94" s="70"/>
      <c r="AT94" s="95"/>
      <c r="AU94" s="95"/>
      <c r="AV94" s="95"/>
      <c r="AW94" s="70"/>
      <c r="AX94" s="298"/>
      <c r="AY94" s="297"/>
      <c r="AZ94" s="211"/>
      <c r="BA94" s="294"/>
      <c r="BB94" s="70"/>
      <c r="BC94" s="141"/>
      <c r="BD94" s="211"/>
      <c r="BE94" s="257"/>
      <c r="BF94" s="70"/>
      <c r="BG94" s="261"/>
      <c r="BH94" s="211"/>
      <c r="BI94" s="211"/>
      <c r="BJ94" s="211"/>
      <c r="BK94" s="211"/>
      <c r="BL94" s="161"/>
      <c r="BM94" s="70"/>
      <c r="BN94" s="211"/>
      <c r="BO94" s="211"/>
      <c r="BP94" s="211"/>
      <c r="BQ94" s="262"/>
      <c r="BR94" s="229"/>
      <c r="BS94" s="229"/>
      <c r="BT94" s="229"/>
      <c r="BU94" s="229"/>
    </row>
    <row r="95" spans="4:73" ht="12.75">
      <c r="D95" s="211"/>
      <c r="E95" s="211"/>
      <c r="F95" s="296"/>
      <c r="G95" s="296"/>
      <c r="H95" s="296"/>
      <c r="I95" s="170"/>
      <c r="J95" s="170"/>
      <c r="K95" s="171"/>
      <c r="L95" s="296"/>
      <c r="M95" s="211"/>
      <c r="N95" s="161"/>
      <c r="O95" s="161"/>
      <c r="P95" s="161"/>
      <c r="Q95" s="161"/>
      <c r="R95" s="161"/>
      <c r="S95" s="101"/>
      <c r="T95" s="161"/>
      <c r="U95" s="175"/>
      <c r="V95" s="95"/>
      <c r="W95" s="95"/>
      <c r="X95" s="95"/>
      <c r="Y95" s="95"/>
      <c r="Z95" s="96"/>
      <c r="AA95" s="88"/>
      <c r="AB95" s="155"/>
      <c r="AC95" s="296"/>
      <c r="AD95" s="211"/>
      <c r="AE95" s="260"/>
      <c r="AF95" s="294"/>
      <c r="AG95" s="172"/>
      <c r="AH95" s="172"/>
      <c r="AI95" s="110"/>
      <c r="AJ95" s="111"/>
      <c r="AK95" s="229"/>
      <c r="AL95" s="211"/>
      <c r="AM95" s="217"/>
      <c r="AN95" s="297"/>
      <c r="AO95" s="260"/>
      <c r="AP95" s="146"/>
      <c r="AQ95" s="147"/>
      <c r="AR95" s="70"/>
      <c r="AS95" s="70"/>
      <c r="AT95" s="95"/>
      <c r="AU95" s="95"/>
      <c r="AV95" s="95"/>
      <c r="AW95" s="70"/>
      <c r="AX95" s="298"/>
      <c r="AY95" s="297"/>
      <c r="AZ95" s="211"/>
      <c r="BA95" s="294"/>
      <c r="BB95" s="70"/>
      <c r="BC95" s="141"/>
      <c r="BD95" s="211"/>
      <c r="BE95" s="257"/>
      <c r="BF95" s="70"/>
      <c r="BG95" s="261"/>
      <c r="BH95" s="211"/>
      <c r="BI95" s="211"/>
      <c r="BJ95" s="211"/>
      <c r="BK95" s="211"/>
      <c r="BL95" s="161"/>
      <c r="BM95" s="70"/>
      <c r="BN95" s="211"/>
      <c r="BO95" s="211"/>
      <c r="BP95" s="211"/>
      <c r="BQ95" s="262"/>
      <c r="BR95" s="229"/>
      <c r="BS95" s="229"/>
      <c r="BT95" s="229"/>
      <c r="BU95" s="229"/>
    </row>
    <row r="96" spans="4:73" ht="12.75">
      <c r="D96" s="211"/>
      <c r="E96" s="211"/>
      <c r="F96" s="296"/>
      <c r="G96" s="296"/>
      <c r="H96" s="296"/>
      <c r="I96" s="170"/>
      <c r="J96" s="170"/>
      <c r="K96" s="171"/>
      <c r="L96" s="296"/>
      <c r="M96" s="211"/>
      <c r="N96" s="161"/>
      <c r="O96" s="161"/>
      <c r="P96" s="161"/>
      <c r="Q96" s="161"/>
      <c r="R96" s="161"/>
      <c r="S96" s="101"/>
      <c r="T96" s="161"/>
      <c r="U96" s="175"/>
      <c r="V96" s="95"/>
      <c r="W96" s="95"/>
      <c r="X96" s="95"/>
      <c r="Y96" s="95"/>
      <c r="Z96" s="96"/>
      <c r="AA96" s="88"/>
      <c r="AB96" s="155"/>
      <c r="AC96" s="296"/>
      <c r="AD96" s="211"/>
      <c r="AE96" s="260"/>
      <c r="AF96" s="294"/>
      <c r="AG96" s="172"/>
      <c r="AH96" s="172"/>
      <c r="AI96" s="110"/>
      <c r="AJ96" s="111"/>
      <c r="AK96" s="229"/>
      <c r="AL96" s="211"/>
      <c r="AM96" s="217"/>
      <c r="AN96" s="297"/>
      <c r="AO96" s="260"/>
      <c r="AP96" s="146"/>
      <c r="AQ96" s="147"/>
      <c r="AR96" s="70"/>
      <c r="AS96" s="70"/>
      <c r="AT96" s="95"/>
      <c r="AU96" s="95"/>
      <c r="AV96" s="95"/>
      <c r="AW96" s="70"/>
      <c r="AX96" s="298"/>
      <c r="AY96" s="297"/>
      <c r="AZ96" s="211"/>
      <c r="BA96" s="294"/>
      <c r="BB96" s="70"/>
      <c r="BC96" s="141"/>
      <c r="BD96" s="211"/>
      <c r="BE96" s="257"/>
      <c r="BF96" s="70"/>
      <c r="BG96" s="261"/>
      <c r="BH96" s="211"/>
      <c r="BI96" s="211"/>
      <c r="BJ96" s="211"/>
      <c r="BK96" s="211"/>
      <c r="BL96" s="161"/>
      <c r="BM96" s="70"/>
      <c r="BN96" s="211"/>
      <c r="BO96" s="211"/>
      <c r="BP96" s="211"/>
      <c r="BQ96" s="262"/>
      <c r="BR96" s="229"/>
      <c r="BS96" s="229"/>
      <c r="BT96" s="229"/>
      <c r="BU96" s="229"/>
    </row>
    <row r="97" spans="1:73" ht="12.75">
      <c r="D97" s="211"/>
      <c r="E97" s="211"/>
      <c r="F97" s="296"/>
      <c r="G97" s="296"/>
      <c r="H97" s="296"/>
      <c r="I97" s="170"/>
      <c r="J97" s="170"/>
      <c r="K97" s="171"/>
      <c r="L97" s="296"/>
      <c r="M97" s="211"/>
      <c r="N97" s="161"/>
      <c r="O97" s="161"/>
      <c r="P97" s="161"/>
      <c r="Q97" s="161"/>
      <c r="R97" s="161"/>
      <c r="S97" s="101"/>
      <c r="T97" s="161"/>
      <c r="U97" s="175"/>
      <c r="V97" s="95"/>
      <c r="W97" s="95"/>
      <c r="X97" s="95"/>
      <c r="Y97" s="95"/>
      <c r="Z97" s="96"/>
      <c r="AA97" s="88"/>
      <c r="AB97" s="155"/>
      <c r="AC97" s="296"/>
      <c r="AD97" s="211"/>
      <c r="AE97" s="260"/>
      <c r="AF97" s="294"/>
      <c r="AG97" s="172"/>
      <c r="AH97" s="172"/>
      <c r="AI97" s="110"/>
      <c r="AJ97" s="111"/>
      <c r="AK97" s="229"/>
      <c r="AL97" s="211"/>
      <c r="AM97" s="217"/>
      <c r="AN97" s="297"/>
      <c r="AO97" s="260"/>
      <c r="AP97" s="146"/>
      <c r="AQ97" s="147"/>
      <c r="AR97" s="70"/>
      <c r="AS97" s="70"/>
      <c r="AT97" s="95"/>
      <c r="AU97" s="95"/>
      <c r="AV97" s="95"/>
      <c r="AW97" s="70"/>
      <c r="AX97" s="298"/>
      <c r="AY97" s="297"/>
      <c r="AZ97" s="211"/>
      <c r="BA97" s="294"/>
      <c r="BB97" s="70"/>
      <c r="BC97" s="141"/>
      <c r="BD97" s="211"/>
      <c r="BE97" s="257"/>
      <c r="BF97" s="70"/>
      <c r="BG97" s="261"/>
      <c r="BH97" s="211"/>
      <c r="BI97" s="211"/>
      <c r="BJ97" s="211"/>
      <c r="BK97" s="211"/>
      <c r="BL97" s="161"/>
      <c r="BM97" s="70"/>
      <c r="BN97" s="211"/>
      <c r="BO97" s="211"/>
      <c r="BP97" s="211"/>
      <c r="BQ97" s="262"/>
      <c r="BR97" s="229"/>
      <c r="BS97" s="229"/>
      <c r="BT97" s="229"/>
      <c r="BU97" s="229"/>
    </row>
    <row r="98" spans="1:73" ht="12.75">
      <c r="D98" s="211"/>
      <c r="E98" s="211"/>
      <c r="F98" s="296"/>
      <c r="G98" s="296"/>
      <c r="H98" s="296"/>
      <c r="I98" s="170"/>
      <c r="J98" s="170"/>
      <c r="K98" s="171"/>
      <c r="L98" s="296"/>
      <c r="M98" s="211"/>
      <c r="N98" s="161"/>
      <c r="O98" s="161"/>
      <c r="P98" s="161"/>
      <c r="Q98" s="161"/>
      <c r="R98" s="161"/>
      <c r="S98" s="101"/>
      <c r="T98" s="161"/>
      <c r="U98" s="175"/>
      <c r="V98" s="95"/>
      <c r="W98" s="95"/>
      <c r="X98" s="95"/>
      <c r="Y98" s="95"/>
      <c r="Z98" s="96"/>
      <c r="AA98" s="88"/>
      <c r="AB98" s="155"/>
      <c r="AC98" s="296"/>
      <c r="AD98" s="211"/>
      <c r="AE98" s="260"/>
      <c r="AF98" s="294"/>
      <c r="AG98" s="172"/>
      <c r="AH98" s="172"/>
      <c r="AI98" s="110"/>
      <c r="AJ98" s="111"/>
      <c r="AK98" s="229"/>
      <c r="AL98" s="211"/>
      <c r="AM98" s="217"/>
      <c r="AN98" s="297"/>
      <c r="AO98" s="260"/>
      <c r="AP98" s="146"/>
      <c r="AQ98" s="147"/>
      <c r="AR98" s="70"/>
      <c r="AS98" s="70"/>
      <c r="AT98" s="95"/>
      <c r="AU98" s="95"/>
      <c r="AV98" s="95"/>
      <c r="AW98" s="70"/>
      <c r="AX98" s="298"/>
      <c r="AY98" s="297"/>
      <c r="AZ98" s="211"/>
      <c r="BA98" s="294"/>
      <c r="BB98" s="70"/>
      <c r="BC98" s="141"/>
      <c r="BD98" s="211"/>
      <c r="BE98" s="257"/>
      <c r="BF98" s="70"/>
      <c r="BG98" s="261"/>
      <c r="BH98" s="211"/>
      <c r="BI98" s="211"/>
      <c r="BJ98" s="211"/>
      <c r="BK98" s="211"/>
      <c r="BL98" s="161"/>
      <c r="BM98" s="70"/>
      <c r="BN98" s="211"/>
      <c r="BO98" s="211"/>
      <c r="BP98" s="211"/>
      <c r="BQ98" s="262"/>
      <c r="BR98" s="229"/>
      <c r="BS98" s="229"/>
      <c r="BT98" s="229"/>
      <c r="BU98" s="229"/>
    </row>
    <row r="99" spans="1:73" ht="12.75">
      <c r="D99" s="211"/>
      <c r="E99" s="211"/>
      <c r="F99" s="296"/>
      <c r="G99" s="296"/>
      <c r="H99" s="296"/>
      <c r="I99" s="170"/>
      <c r="J99" s="170"/>
      <c r="K99" s="171"/>
      <c r="L99" s="296"/>
      <c r="M99" s="211"/>
      <c r="N99" s="161"/>
      <c r="O99" s="161"/>
      <c r="P99" s="161"/>
      <c r="Q99" s="161"/>
      <c r="R99" s="161"/>
      <c r="S99" s="101"/>
      <c r="T99" s="161"/>
      <c r="U99" s="175"/>
      <c r="V99" s="95"/>
      <c r="W99" s="95"/>
      <c r="X99" s="95"/>
      <c r="Y99" s="95"/>
      <c r="Z99" s="96"/>
      <c r="AA99" s="88"/>
      <c r="AB99" s="155"/>
      <c r="AC99" s="296"/>
      <c r="AD99" s="211"/>
      <c r="AE99" s="260"/>
      <c r="AF99" s="294"/>
      <c r="AG99" s="172"/>
      <c r="AH99" s="172"/>
      <c r="AI99" s="110"/>
      <c r="AJ99" s="111"/>
      <c r="AK99" s="229"/>
      <c r="AL99" s="211"/>
      <c r="AM99" s="217"/>
      <c r="AN99" s="297"/>
      <c r="AO99" s="260"/>
      <c r="AP99" s="146"/>
      <c r="AQ99" s="147"/>
      <c r="AR99" s="70"/>
      <c r="AS99" s="70"/>
      <c r="AT99" s="95"/>
      <c r="AU99" s="95"/>
      <c r="AV99" s="95"/>
      <c r="AW99" s="70"/>
      <c r="AX99" s="298"/>
      <c r="AY99" s="297"/>
      <c r="AZ99" s="211"/>
      <c r="BA99" s="294"/>
      <c r="BB99" s="70"/>
      <c r="BC99" s="141"/>
      <c r="BD99" s="211"/>
      <c r="BE99" s="257"/>
      <c r="BF99" s="70"/>
      <c r="BG99" s="261"/>
      <c r="BH99" s="211"/>
      <c r="BI99" s="211"/>
      <c r="BJ99" s="211"/>
      <c r="BK99" s="211"/>
      <c r="BL99" s="161"/>
      <c r="BM99" s="70"/>
      <c r="BN99" s="211"/>
      <c r="BO99" s="211"/>
      <c r="BP99" s="211"/>
      <c r="BQ99" s="262"/>
      <c r="BR99" s="229"/>
      <c r="BS99" s="229"/>
      <c r="BT99" s="229"/>
      <c r="BU99" s="229"/>
    </row>
    <row r="100" spans="1:73" ht="12.75">
      <c r="D100" s="211"/>
      <c r="E100" s="211"/>
      <c r="F100" s="296"/>
      <c r="G100" s="296"/>
      <c r="H100" s="296"/>
      <c r="I100" s="170"/>
      <c r="J100" s="170"/>
      <c r="K100" s="171"/>
      <c r="L100" s="296"/>
      <c r="M100" s="211"/>
      <c r="N100" s="161"/>
      <c r="O100" s="161"/>
      <c r="P100" s="161"/>
      <c r="Q100" s="161"/>
      <c r="R100" s="161"/>
      <c r="S100" s="101"/>
      <c r="T100" s="161"/>
      <c r="U100" s="175"/>
      <c r="V100" s="95"/>
      <c r="W100" s="95"/>
      <c r="X100" s="95"/>
      <c r="Y100" s="95"/>
      <c r="Z100" s="96"/>
      <c r="AA100" s="88"/>
      <c r="AB100" s="155"/>
      <c r="AC100" s="296"/>
      <c r="AD100" s="211"/>
      <c r="AE100" s="260"/>
      <c r="AF100" s="294"/>
      <c r="AG100" s="172"/>
      <c r="AH100" s="172"/>
      <c r="AI100" s="110"/>
      <c r="AJ100" s="111"/>
      <c r="AK100" s="229"/>
      <c r="AL100" s="211"/>
      <c r="AM100" s="217"/>
      <c r="AN100" s="297"/>
      <c r="AO100" s="260"/>
      <c r="AP100" s="146"/>
      <c r="AQ100" s="147"/>
      <c r="AR100" s="70"/>
      <c r="AS100" s="70"/>
      <c r="AT100" s="95"/>
      <c r="AU100" s="95"/>
      <c r="AV100" s="95"/>
      <c r="AW100" s="70"/>
      <c r="AX100" s="298"/>
      <c r="AY100" s="297"/>
      <c r="AZ100" s="211"/>
      <c r="BA100" s="294"/>
      <c r="BB100" s="70"/>
      <c r="BC100" s="141"/>
      <c r="BD100" s="211"/>
      <c r="BE100" s="257"/>
      <c r="BF100" s="70"/>
      <c r="BG100" s="261"/>
      <c r="BH100" s="211"/>
      <c r="BI100" s="211"/>
      <c r="BJ100" s="211"/>
      <c r="BK100" s="211"/>
      <c r="BL100" s="161"/>
      <c r="BM100" s="70"/>
      <c r="BN100" s="211"/>
      <c r="BO100" s="211"/>
      <c r="BP100" s="211"/>
      <c r="BQ100" s="262"/>
      <c r="BR100" s="229"/>
      <c r="BS100" s="229"/>
      <c r="BT100" s="229"/>
      <c r="BU100" s="229"/>
    </row>
    <row r="101" spans="1:73" ht="12.75">
      <c r="D101" s="211"/>
      <c r="E101" s="211"/>
      <c r="F101" s="296"/>
      <c r="G101" s="296"/>
      <c r="H101" s="296"/>
      <c r="I101" s="170"/>
      <c r="J101" s="170"/>
      <c r="K101" s="171"/>
      <c r="L101" s="296"/>
      <c r="M101" s="211"/>
      <c r="N101" s="161"/>
      <c r="O101" s="161"/>
      <c r="P101" s="161"/>
      <c r="Q101" s="161"/>
      <c r="R101" s="161"/>
      <c r="S101" s="101"/>
      <c r="T101" s="161"/>
      <c r="U101" s="175"/>
      <c r="V101" s="95"/>
      <c r="W101" s="95"/>
      <c r="X101" s="95"/>
      <c r="Y101" s="95"/>
      <c r="Z101" s="96"/>
      <c r="AA101" s="88"/>
      <c r="AB101" s="155"/>
      <c r="AC101" s="296"/>
      <c r="AD101" s="211"/>
      <c r="AE101" s="260"/>
      <c r="AF101" s="294"/>
      <c r="AG101" s="172"/>
      <c r="AH101" s="172"/>
      <c r="AI101" s="110"/>
      <c r="AJ101" s="111"/>
      <c r="AK101" s="229"/>
      <c r="AL101" s="211"/>
      <c r="AM101" s="217"/>
      <c r="AN101" s="297"/>
      <c r="AO101" s="260"/>
      <c r="AP101" s="146"/>
      <c r="AQ101" s="147"/>
      <c r="AR101" s="70"/>
      <c r="AS101" s="70"/>
      <c r="AT101" s="95"/>
      <c r="AU101" s="95"/>
      <c r="AV101" s="95"/>
      <c r="AW101" s="70"/>
      <c r="AX101" s="298"/>
      <c r="AY101" s="297"/>
      <c r="AZ101" s="211"/>
      <c r="BA101" s="294"/>
      <c r="BB101" s="70"/>
      <c r="BC101" s="141"/>
      <c r="BD101" s="211"/>
      <c r="BE101" s="257"/>
      <c r="BF101" s="70"/>
      <c r="BG101" s="261"/>
      <c r="BH101" s="211"/>
      <c r="BI101" s="211"/>
      <c r="BJ101" s="211"/>
      <c r="BK101" s="211"/>
      <c r="BL101" s="161"/>
      <c r="BM101" s="70"/>
      <c r="BN101" s="211"/>
      <c r="BO101" s="211"/>
      <c r="BP101" s="211"/>
      <c r="BQ101" s="262"/>
      <c r="BR101" s="229"/>
      <c r="BS101" s="229"/>
      <c r="BT101" s="229"/>
      <c r="BU101" s="229"/>
    </row>
    <row r="102" spans="1:73" ht="12.75">
      <c r="A102" s="211"/>
      <c r="B102" s="70"/>
      <c r="C102" s="231"/>
      <c r="D102" s="211"/>
      <c r="E102" s="211"/>
      <c r="F102" s="296"/>
      <c r="G102" s="296"/>
      <c r="H102" s="296"/>
      <c r="I102" s="170"/>
      <c r="J102" s="170"/>
      <c r="K102" s="171"/>
      <c r="L102" s="296"/>
      <c r="M102" s="211"/>
      <c r="N102" s="161"/>
      <c r="O102" s="161"/>
      <c r="P102" s="161"/>
      <c r="Q102" s="161"/>
      <c r="R102" s="161"/>
      <c r="S102" s="101"/>
      <c r="T102" s="161"/>
      <c r="U102" s="175"/>
      <c r="V102" s="95"/>
      <c r="W102" s="95"/>
      <c r="X102" s="95"/>
      <c r="Y102" s="95"/>
      <c r="Z102" s="96"/>
      <c r="AA102" s="88"/>
      <c r="AB102" s="155"/>
      <c r="AC102" s="296"/>
      <c r="AD102" s="211"/>
      <c r="AE102" s="260"/>
      <c r="AF102" s="294"/>
      <c r="AG102" s="172"/>
      <c r="AH102" s="172"/>
      <c r="AI102" s="110"/>
      <c r="AJ102" s="111"/>
      <c r="AK102" s="229"/>
      <c r="AL102" s="211"/>
      <c r="AM102" s="217"/>
      <c r="AN102" s="297"/>
      <c r="AO102" s="260"/>
      <c r="AP102" s="146"/>
      <c r="AQ102" s="147"/>
      <c r="AR102" s="70"/>
      <c r="AS102" s="70"/>
      <c r="AT102" s="95"/>
      <c r="AU102" s="95"/>
      <c r="AV102" s="95"/>
      <c r="AW102" s="70"/>
      <c r="AX102" s="298"/>
      <c r="AY102" s="297"/>
      <c r="AZ102" s="211"/>
      <c r="BA102" s="294"/>
      <c r="BB102" s="70"/>
      <c r="BC102" s="141"/>
      <c r="BD102" s="211"/>
      <c r="BE102" s="257"/>
      <c r="BF102" s="70"/>
      <c r="BG102" s="261"/>
      <c r="BH102" s="211"/>
      <c r="BI102" s="211"/>
      <c r="BJ102" s="211"/>
      <c r="BK102" s="211"/>
      <c r="BL102" s="161"/>
      <c r="BM102" s="70"/>
      <c r="BN102" s="211"/>
      <c r="BO102" s="211"/>
      <c r="BP102" s="211"/>
      <c r="BQ102" s="262"/>
      <c r="BR102" s="229"/>
      <c r="BS102" s="229"/>
      <c r="BT102" s="229"/>
      <c r="BU102" s="229"/>
    </row>
    <row r="103" spans="1:73" ht="12.75">
      <c r="A103" s="211"/>
      <c r="B103" s="70"/>
      <c r="C103" s="231"/>
      <c r="D103" s="211"/>
      <c r="E103" s="211"/>
      <c r="F103" s="296"/>
      <c r="G103" s="296"/>
      <c r="H103" s="296"/>
      <c r="I103" s="170"/>
      <c r="J103" s="170"/>
      <c r="K103" s="171"/>
      <c r="L103" s="296"/>
      <c r="M103" s="211"/>
      <c r="N103" s="161"/>
      <c r="O103" s="161"/>
      <c r="P103" s="161"/>
      <c r="Q103" s="161"/>
      <c r="R103" s="161"/>
      <c r="S103" s="101"/>
      <c r="T103" s="161"/>
      <c r="U103" s="175"/>
      <c r="V103" s="95"/>
      <c r="W103" s="95"/>
      <c r="X103" s="95"/>
      <c r="Y103" s="95"/>
      <c r="Z103" s="96"/>
      <c r="AA103" s="88"/>
      <c r="AB103" s="155"/>
      <c r="AC103" s="296"/>
      <c r="AD103" s="211"/>
      <c r="AE103" s="260"/>
      <c r="AF103" s="294"/>
      <c r="AG103" s="172"/>
      <c r="AH103" s="172"/>
      <c r="AI103" s="110"/>
      <c r="AJ103" s="111"/>
      <c r="AK103" s="229"/>
      <c r="AL103" s="211"/>
      <c r="AM103" s="217"/>
      <c r="AN103" s="297"/>
      <c r="AO103" s="260"/>
      <c r="AP103" s="146"/>
      <c r="AQ103" s="147"/>
      <c r="AR103" s="70"/>
      <c r="AS103" s="70"/>
      <c r="AT103" s="95"/>
      <c r="AU103" s="95"/>
      <c r="AV103" s="95"/>
      <c r="AW103" s="70"/>
      <c r="AX103" s="298"/>
      <c r="AY103" s="297"/>
      <c r="AZ103" s="211"/>
      <c r="BA103" s="294"/>
      <c r="BB103" s="70"/>
      <c r="BC103" s="141"/>
      <c r="BD103" s="211"/>
      <c r="BE103" s="257"/>
      <c r="BF103" s="70"/>
      <c r="BG103" s="261"/>
      <c r="BH103" s="211"/>
      <c r="BI103" s="211"/>
      <c r="BJ103" s="211"/>
      <c r="BK103" s="211"/>
      <c r="BL103" s="161"/>
      <c r="BM103" s="70"/>
      <c r="BN103" s="211"/>
      <c r="BO103" s="211"/>
      <c r="BP103" s="211"/>
      <c r="BQ103" s="262"/>
      <c r="BR103" s="229"/>
      <c r="BS103" s="229"/>
      <c r="BT103" s="229"/>
      <c r="BU103" s="229"/>
    </row>
    <row r="104" spans="1:73" ht="12.75">
      <c r="A104" s="211"/>
      <c r="B104" s="70"/>
      <c r="C104" s="231"/>
      <c r="D104" s="211"/>
      <c r="E104" s="211"/>
      <c r="F104" s="296"/>
      <c r="G104" s="296"/>
      <c r="H104" s="296"/>
      <c r="I104" s="170"/>
      <c r="J104" s="170"/>
      <c r="K104" s="171"/>
      <c r="L104" s="296"/>
      <c r="M104" s="211"/>
      <c r="N104" s="161"/>
      <c r="O104" s="161"/>
      <c r="P104" s="161"/>
      <c r="Q104" s="161"/>
      <c r="R104" s="161"/>
      <c r="S104" s="101"/>
      <c r="T104" s="161"/>
      <c r="U104" s="175"/>
      <c r="V104" s="95"/>
      <c r="W104" s="95"/>
      <c r="X104" s="95"/>
      <c r="Y104" s="95"/>
      <c r="Z104" s="96"/>
      <c r="AA104" s="88"/>
      <c r="AB104" s="155"/>
      <c r="AC104" s="296"/>
      <c r="AD104" s="211"/>
      <c r="AE104" s="260"/>
      <c r="AF104" s="294"/>
      <c r="AG104" s="172"/>
      <c r="AH104" s="172"/>
      <c r="AI104" s="110"/>
      <c r="AJ104" s="111"/>
      <c r="AK104" s="229"/>
      <c r="AL104" s="211"/>
      <c r="AM104" s="217"/>
      <c r="AN104" s="297"/>
      <c r="AO104" s="260"/>
      <c r="AP104" s="146"/>
      <c r="AQ104" s="147"/>
      <c r="AR104" s="70"/>
      <c r="AS104" s="70"/>
      <c r="AT104" s="95"/>
      <c r="AU104" s="95"/>
      <c r="AV104" s="95"/>
      <c r="AW104" s="70"/>
      <c r="AX104" s="298"/>
      <c r="AY104" s="297"/>
      <c r="AZ104" s="211"/>
      <c r="BA104" s="294"/>
      <c r="BB104" s="70"/>
      <c r="BC104" s="141"/>
      <c r="BD104" s="211"/>
      <c r="BE104" s="257"/>
      <c r="BF104" s="70"/>
      <c r="BG104" s="261"/>
      <c r="BH104" s="211"/>
      <c r="BI104" s="211"/>
      <c r="BJ104" s="211"/>
      <c r="BK104" s="211"/>
      <c r="BL104" s="161"/>
      <c r="BM104" s="70"/>
      <c r="BN104" s="211"/>
      <c r="BO104" s="211"/>
      <c r="BP104" s="211"/>
      <c r="BQ104" s="262"/>
      <c r="BR104" s="229"/>
      <c r="BS104" s="229"/>
      <c r="BT104" s="229"/>
      <c r="BU104" s="229"/>
    </row>
    <row r="105" spans="1:73" ht="12.75">
      <c r="A105" s="211"/>
      <c r="B105" s="70"/>
      <c r="C105" s="231"/>
      <c r="D105" s="211"/>
      <c r="E105" s="211"/>
      <c r="F105" s="296"/>
      <c r="G105" s="296"/>
      <c r="H105" s="296"/>
      <c r="I105" s="170"/>
      <c r="J105" s="170"/>
      <c r="K105" s="171"/>
      <c r="L105" s="296"/>
      <c r="M105" s="211"/>
      <c r="N105" s="161"/>
      <c r="O105" s="161"/>
      <c r="P105" s="161"/>
      <c r="Q105" s="161"/>
      <c r="R105" s="161"/>
      <c r="S105" s="101"/>
      <c r="T105" s="161"/>
      <c r="U105" s="175"/>
      <c r="V105" s="95"/>
      <c r="W105" s="95"/>
      <c r="X105" s="95"/>
      <c r="Y105" s="95"/>
      <c r="Z105" s="96"/>
      <c r="AA105" s="88"/>
      <c r="AB105" s="155"/>
      <c r="AC105" s="296"/>
      <c r="AD105" s="211"/>
      <c r="AE105" s="260"/>
      <c r="AF105" s="294"/>
      <c r="AG105" s="172"/>
      <c r="AH105" s="172"/>
      <c r="AI105" s="110"/>
      <c r="AJ105" s="111"/>
      <c r="AK105" s="229"/>
      <c r="AL105" s="211"/>
      <c r="AM105" s="217"/>
      <c r="AN105" s="297"/>
      <c r="AO105" s="260"/>
      <c r="AP105" s="146"/>
      <c r="AQ105" s="147"/>
      <c r="AR105" s="70"/>
      <c r="AS105" s="70"/>
      <c r="AT105" s="95"/>
      <c r="AU105" s="95"/>
      <c r="AV105" s="95"/>
      <c r="AW105" s="70"/>
      <c r="AX105" s="298"/>
      <c r="AY105" s="297"/>
      <c r="AZ105" s="211"/>
      <c r="BA105" s="294"/>
      <c r="BB105" s="70"/>
      <c r="BC105" s="141"/>
      <c r="BD105" s="211"/>
      <c r="BE105" s="257"/>
      <c r="BF105" s="70"/>
      <c r="BG105" s="261"/>
      <c r="BH105" s="211"/>
      <c r="BI105" s="211"/>
      <c r="BJ105" s="211"/>
      <c r="BK105" s="211"/>
      <c r="BL105" s="161"/>
      <c r="BM105" s="70"/>
      <c r="BN105" s="211"/>
      <c r="BO105" s="211"/>
      <c r="BP105" s="211"/>
      <c r="BQ105" s="262"/>
      <c r="BR105" s="229"/>
      <c r="BS105" s="229"/>
      <c r="BT105" s="229"/>
      <c r="BU105" s="229"/>
    </row>
    <row r="106" spans="1:73" ht="12.75">
      <c r="A106" s="211"/>
      <c r="B106" s="70"/>
      <c r="C106" s="231"/>
      <c r="D106" s="211"/>
      <c r="E106" s="211"/>
      <c r="F106" s="296"/>
      <c r="G106" s="296"/>
      <c r="H106" s="296"/>
      <c r="I106" s="170"/>
      <c r="J106" s="170"/>
      <c r="K106" s="171"/>
      <c r="L106" s="296"/>
      <c r="M106" s="211"/>
      <c r="N106" s="161"/>
      <c r="O106" s="161"/>
      <c r="P106" s="161"/>
      <c r="Q106" s="161"/>
      <c r="R106" s="161"/>
      <c r="S106" s="101"/>
      <c r="T106" s="161"/>
      <c r="U106" s="175"/>
      <c r="V106" s="95"/>
      <c r="W106" s="95"/>
      <c r="X106" s="95"/>
      <c r="Y106" s="95"/>
      <c r="Z106" s="96"/>
      <c r="AA106" s="88"/>
      <c r="AB106" s="155"/>
      <c r="AC106" s="296"/>
      <c r="AD106" s="211"/>
      <c r="AE106" s="260"/>
      <c r="AF106" s="294"/>
      <c r="AG106" s="172"/>
      <c r="AH106" s="172"/>
      <c r="AI106" s="110"/>
      <c r="AJ106" s="111"/>
      <c r="AK106" s="229"/>
      <c r="AL106" s="211"/>
      <c r="AM106" s="217"/>
      <c r="AN106" s="297"/>
      <c r="AO106" s="260"/>
      <c r="AP106" s="146"/>
      <c r="AQ106" s="147"/>
      <c r="AR106" s="70"/>
      <c r="AS106" s="70"/>
      <c r="AT106" s="95"/>
      <c r="AU106" s="95"/>
      <c r="AV106" s="95"/>
      <c r="AW106" s="70"/>
      <c r="AX106" s="298"/>
      <c r="AY106" s="297"/>
      <c r="AZ106" s="211"/>
      <c r="BA106" s="294"/>
      <c r="BB106" s="70"/>
      <c r="BC106" s="141"/>
      <c r="BD106" s="211"/>
      <c r="BE106" s="257"/>
      <c r="BF106" s="70"/>
      <c r="BG106" s="261"/>
      <c r="BH106" s="211"/>
      <c r="BI106" s="211"/>
      <c r="BJ106" s="211"/>
      <c r="BK106" s="211"/>
      <c r="BL106" s="161"/>
      <c r="BM106" s="70"/>
      <c r="BN106" s="211"/>
      <c r="BO106" s="211"/>
      <c r="BP106" s="211"/>
      <c r="BQ106" s="262"/>
      <c r="BR106" s="229"/>
      <c r="BS106" s="229"/>
      <c r="BT106" s="229"/>
      <c r="BU106" s="229"/>
    </row>
    <row r="107" spans="1:73" ht="12.75">
      <c r="A107" s="211"/>
      <c r="B107" s="70"/>
      <c r="C107" s="231"/>
      <c r="D107" s="211"/>
      <c r="E107" s="211"/>
      <c r="F107" s="296"/>
      <c r="G107" s="296"/>
      <c r="H107" s="296"/>
      <c r="I107" s="170"/>
      <c r="J107" s="170"/>
      <c r="K107" s="171"/>
      <c r="L107" s="296"/>
      <c r="M107" s="211"/>
      <c r="N107" s="161"/>
      <c r="O107" s="161"/>
      <c r="P107" s="161"/>
      <c r="Q107" s="161"/>
      <c r="R107" s="161"/>
      <c r="S107" s="101"/>
      <c r="T107" s="161"/>
      <c r="U107" s="175"/>
      <c r="V107" s="95"/>
      <c r="W107" s="95"/>
      <c r="X107" s="95"/>
      <c r="Y107" s="95"/>
      <c r="Z107" s="96"/>
      <c r="AA107" s="88"/>
      <c r="AB107" s="155"/>
      <c r="AC107" s="296"/>
      <c r="AD107" s="211"/>
      <c r="AE107" s="260"/>
      <c r="AF107" s="294"/>
      <c r="AG107" s="172"/>
      <c r="AH107" s="172"/>
      <c r="AI107" s="110"/>
      <c r="AJ107" s="111"/>
      <c r="AK107" s="229"/>
      <c r="AL107" s="211"/>
      <c r="AM107" s="217"/>
      <c r="AN107" s="297"/>
      <c r="AO107" s="260"/>
      <c r="AP107" s="146"/>
      <c r="AQ107" s="147"/>
      <c r="AR107" s="70"/>
      <c r="AS107" s="70"/>
      <c r="AT107" s="95"/>
      <c r="AU107" s="95"/>
      <c r="AV107" s="95"/>
      <c r="AW107" s="70"/>
      <c r="AX107" s="298"/>
      <c r="AY107" s="297"/>
      <c r="AZ107" s="211"/>
      <c r="BA107" s="294"/>
      <c r="BB107" s="70"/>
      <c r="BC107" s="141"/>
      <c r="BD107" s="211"/>
      <c r="BE107" s="257"/>
      <c r="BF107" s="70"/>
      <c r="BG107" s="261"/>
      <c r="BH107" s="211"/>
      <c r="BI107" s="211"/>
      <c r="BJ107" s="211"/>
      <c r="BK107" s="211"/>
      <c r="BL107" s="161"/>
      <c r="BM107" s="70"/>
      <c r="BN107" s="211"/>
      <c r="BO107" s="211"/>
      <c r="BP107" s="211"/>
      <c r="BQ107" s="262"/>
      <c r="BR107" s="229"/>
      <c r="BS107" s="229"/>
      <c r="BT107" s="229"/>
      <c r="BU107" s="229"/>
    </row>
    <row r="108" spans="1:73" ht="12.75">
      <c r="A108" s="211"/>
      <c r="B108" s="70"/>
      <c r="C108" s="231"/>
      <c r="D108" s="211"/>
      <c r="E108" s="211"/>
      <c r="F108" s="296"/>
      <c r="G108" s="296"/>
      <c r="H108" s="296"/>
      <c r="I108" s="170"/>
      <c r="J108" s="170"/>
      <c r="K108" s="171"/>
      <c r="L108" s="296"/>
      <c r="M108" s="211"/>
      <c r="N108" s="161"/>
      <c r="O108" s="161"/>
      <c r="P108" s="161"/>
      <c r="Q108" s="161"/>
      <c r="R108" s="161"/>
      <c r="S108" s="101"/>
      <c r="T108" s="161"/>
      <c r="U108" s="175"/>
      <c r="V108" s="95"/>
      <c r="W108" s="95"/>
      <c r="X108" s="95"/>
      <c r="Y108" s="95"/>
      <c r="Z108" s="96"/>
      <c r="AA108" s="88"/>
      <c r="AB108" s="155"/>
      <c r="AC108" s="296"/>
      <c r="AD108" s="211"/>
      <c r="AE108" s="260"/>
      <c r="AF108" s="294"/>
      <c r="AG108" s="172"/>
      <c r="AH108" s="172"/>
      <c r="AI108" s="110"/>
      <c r="AJ108" s="111"/>
      <c r="AK108" s="229"/>
      <c r="AL108" s="211"/>
      <c r="AM108" s="217"/>
      <c r="AN108" s="297"/>
      <c r="AO108" s="260"/>
      <c r="AP108" s="146"/>
      <c r="AQ108" s="147"/>
      <c r="AR108" s="70"/>
      <c r="AS108" s="70"/>
      <c r="AT108" s="95"/>
      <c r="AU108" s="95"/>
      <c r="AV108" s="95"/>
      <c r="AW108" s="70"/>
      <c r="AX108" s="298"/>
      <c r="AY108" s="297"/>
      <c r="AZ108" s="211"/>
      <c r="BA108" s="294"/>
      <c r="BB108" s="70"/>
      <c r="BC108" s="141"/>
      <c r="BD108" s="211"/>
      <c r="BE108" s="257"/>
      <c r="BF108" s="70"/>
      <c r="BG108" s="261"/>
      <c r="BH108" s="211"/>
      <c r="BI108" s="211"/>
      <c r="BJ108" s="211"/>
      <c r="BK108" s="211"/>
      <c r="BL108" s="161"/>
      <c r="BM108" s="70"/>
      <c r="BN108" s="211"/>
      <c r="BO108" s="211"/>
      <c r="BP108" s="211"/>
      <c r="BQ108" s="262"/>
      <c r="BR108" s="229"/>
      <c r="BS108" s="229"/>
      <c r="BT108" s="229"/>
      <c r="BU108" s="229"/>
    </row>
    <row r="109" spans="1:73" ht="12.75">
      <c r="A109" s="211"/>
      <c r="B109" s="70"/>
      <c r="C109" s="231"/>
      <c r="D109" s="211"/>
      <c r="E109" s="211"/>
      <c r="F109" s="296"/>
      <c r="G109" s="296"/>
      <c r="H109" s="296"/>
      <c r="I109" s="170"/>
      <c r="J109" s="170"/>
      <c r="K109" s="171"/>
      <c r="L109" s="296"/>
      <c r="M109" s="211"/>
      <c r="N109" s="161"/>
      <c r="O109" s="161"/>
      <c r="P109" s="161"/>
      <c r="Q109" s="161"/>
      <c r="R109" s="161"/>
      <c r="S109" s="101"/>
      <c r="T109" s="161"/>
      <c r="U109" s="175"/>
      <c r="V109" s="95"/>
      <c r="W109" s="95"/>
      <c r="X109" s="95"/>
      <c r="Y109" s="95"/>
      <c r="Z109" s="96"/>
      <c r="AA109" s="88"/>
      <c r="AB109" s="155"/>
      <c r="AC109" s="296"/>
      <c r="AD109" s="211"/>
      <c r="AE109" s="260"/>
      <c r="AF109" s="294"/>
      <c r="AG109" s="172"/>
      <c r="AH109" s="172"/>
      <c r="AI109" s="110"/>
      <c r="AJ109" s="111"/>
      <c r="AK109" s="229"/>
      <c r="AL109" s="211"/>
      <c r="AM109" s="217"/>
      <c r="AN109" s="297"/>
      <c r="AO109" s="260"/>
      <c r="AP109" s="146"/>
      <c r="AQ109" s="147"/>
      <c r="AR109" s="70"/>
      <c r="AS109" s="70"/>
      <c r="AT109" s="95"/>
      <c r="AU109" s="95"/>
      <c r="AV109" s="95"/>
      <c r="AW109" s="70"/>
      <c r="AX109" s="298"/>
      <c r="AY109" s="297"/>
      <c r="AZ109" s="211"/>
      <c r="BA109" s="294"/>
      <c r="BB109" s="70"/>
      <c r="BC109" s="141"/>
      <c r="BD109" s="211"/>
      <c r="BE109" s="257"/>
      <c r="BF109" s="70"/>
      <c r="BG109" s="261"/>
      <c r="BH109" s="211"/>
      <c r="BI109" s="211"/>
      <c r="BJ109" s="211"/>
      <c r="BK109" s="211"/>
      <c r="BL109" s="161"/>
      <c r="BM109" s="70"/>
      <c r="BN109" s="211"/>
      <c r="BO109" s="211"/>
      <c r="BP109" s="211"/>
      <c r="BQ109" s="262"/>
      <c r="BR109" s="229"/>
      <c r="BS109" s="229"/>
      <c r="BT109" s="229"/>
      <c r="BU109" s="229"/>
    </row>
    <row r="110" spans="1:73" ht="12.75">
      <c r="A110" s="211"/>
      <c r="B110" s="70"/>
      <c r="C110" s="231"/>
      <c r="D110" s="211"/>
      <c r="E110" s="211"/>
      <c r="F110" s="296"/>
      <c r="G110" s="296"/>
      <c r="H110" s="296"/>
      <c r="I110" s="170"/>
      <c r="J110" s="170"/>
      <c r="K110" s="171"/>
      <c r="L110" s="296"/>
      <c r="M110" s="211"/>
      <c r="N110" s="161"/>
      <c r="O110" s="161"/>
      <c r="P110" s="161"/>
      <c r="Q110" s="161"/>
      <c r="R110" s="161"/>
      <c r="S110" s="101"/>
      <c r="T110" s="161"/>
      <c r="U110" s="175"/>
      <c r="V110" s="95"/>
      <c r="W110" s="95"/>
      <c r="X110" s="95"/>
      <c r="Y110" s="95"/>
      <c r="Z110" s="96"/>
      <c r="AA110" s="88"/>
      <c r="AB110" s="155"/>
      <c r="AC110" s="296"/>
      <c r="AD110" s="211"/>
      <c r="AE110" s="260"/>
      <c r="AF110" s="294"/>
      <c r="AG110" s="172"/>
      <c r="AH110" s="172"/>
      <c r="AI110" s="110"/>
      <c r="AJ110" s="111"/>
      <c r="AK110" s="229"/>
      <c r="AL110" s="211"/>
      <c r="AM110" s="217"/>
      <c r="AN110" s="297"/>
      <c r="AO110" s="260"/>
      <c r="AP110" s="146"/>
      <c r="AQ110" s="147"/>
      <c r="AR110" s="70"/>
      <c r="AS110" s="70"/>
      <c r="AT110" s="95"/>
      <c r="AU110" s="95"/>
      <c r="AV110" s="95"/>
      <c r="AW110" s="70"/>
      <c r="AX110" s="298"/>
      <c r="AY110" s="297"/>
      <c r="AZ110" s="211"/>
      <c r="BA110" s="294"/>
      <c r="BB110" s="70"/>
      <c r="BC110" s="141"/>
      <c r="BD110" s="211"/>
      <c r="BE110" s="257"/>
      <c r="BF110" s="70"/>
      <c r="BG110" s="261"/>
      <c r="BH110" s="211"/>
      <c r="BI110" s="211"/>
      <c r="BJ110" s="211"/>
      <c r="BK110" s="211"/>
      <c r="BL110" s="161"/>
      <c r="BM110" s="70"/>
      <c r="BN110" s="211"/>
      <c r="BO110" s="211"/>
      <c r="BP110" s="211"/>
      <c r="BQ110" s="262"/>
      <c r="BR110" s="229"/>
      <c r="BS110" s="229"/>
      <c r="BT110" s="229"/>
      <c r="BU110" s="229"/>
    </row>
    <row r="111" spans="1:73" ht="12.75">
      <c r="A111" s="211"/>
      <c r="B111" s="70"/>
      <c r="C111" s="231"/>
      <c r="D111" s="211"/>
      <c r="E111" s="211"/>
      <c r="F111" s="296"/>
      <c r="G111" s="296"/>
      <c r="H111" s="296"/>
      <c r="I111" s="170"/>
      <c r="J111" s="170"/>
      <c r="K111" s="171"/>
      <c r="L111" s="296"/>
      <c r="M111" s="211"/>
      <c r="N111" s="161"/>
      <c r="O111" s="161"/>
      <c r="P111" s="161"/>
      <c r="Q111" s="161"/>
      <c r="R111" s="161"/>
      <c r="S111" s="101"/>
      <c r="T111" s="161"/>
      <c r="U111" s="175"/>
      <c r="V111" s="95"/>
      <c r="W111" s="95"/>
      <c r="X111" s="95"/>
      <c r="Y111" s="95"/>
      <c r="Z111" s="96"/>
      <c r="AA111" s="88"/>
      <c r="AB111" s="155"/>
      <c r="AC111" s="296"/>
      <c r="AD111" s="211"/>
      <c r="AE111" s="260"/>
      <c r="AF111" s="294"/>
      <c r="AG111" s="172"/>
      <c r="AH111" s="172"/>
      <c r="AI111" s="110"/>
      <c r="AJ111" s="111"/>
      <c r="AK111" s="229"/>
      <c r="AL111" s="211"/>
      <c r="AM111" s="217"/>
      <c r="AN111" s="297"/>
      <c r="AO111" s="260"/>
      <c r="AP111" s="146"/>
      <c r="AQ111" s="147"/>
      <c r="AR111" s="70"/>
      <c r="AS111" s="70"/>
      <c r="AT111" s="95"/>
      <c r="AU111" s="95"/>
      <c r="AV111" s="95"/>
      <c r="AW111" s="70"/>
      <c r="AX111" s="298"/>
      <c r="AY111" s="297"/>
      <c r="AZ111" s="211"/>
      <c r="BA111" s="294"/>
      <c r="BB111" s="70"/>
      <c r="BC111" s="141"/>
      <c r="BD111" s="211"/>
      <c r="BE111" s="257"/>
      <c r="BF111" s="70"/>
      <c r="BG111" s="261"/>
      <c r="BH111" s="211"/>
      <c r="BI111" s="211"/>
      <c r="BJ111" s="211"/>
      <c r="BK111" s="211"/>
      <c r="BL111" s="161"/>
      <c r="BM111" s="70"/>
      <c r="BN111" s="211"/>
      <c r="BO111" s="211"/>
      <c r="BP111" s="211"/>
      <c r="BQ111" s="262"/>
      <c r="BR111" s="229"/>
      <c r="BS111" s="229"/>
      <c r="BT111" s="229"/>
      <c r="BU111" s="229"/>
    </row>
    <row r="112" spans="1:73" ht="12.75">
      <c r="A112" s="211"/>
      <c r="B112" s="70"/>
      <c r="C112" s="231"/>
      <c r="D112" s="211"/>
      <c r="E112" s="211"/>
      <c r="F112" s="296"/>
      <c r="G112" s="296"/>
      <c r="H112" s="296"/>
      <c r="I112" s="170"/>
      <c r="J112" s="170"/>
      <c r="K112" s="171"/>
      <c r="L112" s="296"/>
      <c r="M112" s="211"/>
      <c r="N112" s="161"/>
      <c r="O112" s="161"/>
      <c r="P112" s="161"/>
      <c r="Q112" s="161"/>
      <c r="R112" s="161"/>
      <c r="S112" s="101"/>
      <c r="T112" s="161"/>
      <c r="U112" s="175"/>
      <c r="V112" s="95"/>
      <c r="W112" s="95"/>
      <c r="X112" s="95"/>
      <c r="Y112" s="95"/>
      <c r="Z112" s="96"/>
      <c r="AA112" s="88"/>
      <c r="AB112" s="155"/>
      <c r="AC112" s="296"/>
      <c r="AD112" s="211"/>
      <c r="AE112" s="260"/>
      <c r="AF112" s="294"/>
      <c r="AG112" s="172"/>
      <c r="AH112" s="172"/>
      <c r="AI112" s="110"/>
      <c r="AJ112" s="111"/>
      <c r="AK112" s="229"/>
      <c r="AL112" s="211"/>
      <c r="AM112" s="217"/>
      <c r="AN112" s="297"/>
      <c r="AO112" s="260"/>
      <c r="AP112" s="146"/>
      <c r="AQ112" s="147"/>
      <c r="AR112" s="70"/>
      <c r="AS112" s="70"/>
      <c r="AT112" s="95"/>
      <c r="AU112" s="95"/>
      <c r="AV112" s="95"/>
      <c r="AW112" s="70"/>
      <c r="AX112" s="298"/>
      <c r="AY112" s="297"/>
      <c r="AZ112" s="211"/>
      <c r="BA112" s="294"/>
      <c r="BB112" s="70"/>
      <c r="BC112" s="141"/>
      <c r="BD112" s="211"/>
      <c r="BE112" s="257"/>
      <c r="BF112" s="70"/>
      <c r="BG112" s="261"/>
      <c r="BH112" s="211"/>
      <c r="BI112" s="211"/>
      <c r="BJ112" s="211"/>
      <c r="BK112" s="211"/>
      <c r="BL112" s="161"/>
      <c r="BM112" s="70"/>
      <c r="BN112" s="211"/>
      <c r="BO112" s="211"/>
      <c r="BP112" s="211"/>
      <c r="BQ112" s="262"/>
      <c r="BR112" s="229"/>
      <c r="BS112" s="229"/>
      <c r="BT112" s="229"/>
      <c r="BU112" s="229"/>
    </row>
    <row r="113" spans="1:73" ht="12.75">
      <c r="A113" s="211"/>
      <c r="B113" s="70"/>
      <c r="C113" s="231"/>
      <c r="D113" s="211"/>
      <c r="E113" s="211"/>
      <c r="F113" s="296"/>
      <c r="G113" s="296"/>
      <c r="H113" s="296"/>
      <c r="I113" s="170"/>
      <c r="J113" s="170"/>
      <c r="K113" s="171"/>
      <c r="L113" s="296"/>
      <c r="M113" s="211"/>
      <c r="N113" s="161"/>
      <c r="O113" s="161"/>
      <c r="P113" s="161"/>
      <c r="Q113" s="161"/>
      <c r="R113" s="161"/>
      <c r="S113" s="101"/>
      <c r="T113" s="161"/>
      <c r="U113" s="175"/>
      <c r="V113" s="95"/>
      <c r="W113" s="95"/>
      <c r="X113" s="95"/>
      <c r="Y113" s="95"/>
      <c r="Z113" s="96"/>
      <c r="AA113" s="88"/>
      <c r="AB113" s="155"/>
      <c r="AC113" s="296"/>
      <c r="AD113" s="211"/>
      <c r="AE113" s="260"/>
      <c r="AF113" s="294"/>
      <c r="AG113" s="172"/>
      <c r="AH113" s="172"/>
      <c r="AI113" s="110"/>
      <c r="AJ113" s="111"/>
      <c r="AK113" s="229"/>
      <c r="AL113" s="211"/>
      <c r="AM113" s="217"/>
      <c r="AN113" s="297"/>
      <c r="AO113" s="260"/>
      <c r="AP113" s="146"/>
      <c r="AQ113" s="147"/>
      <c r="AR113" s="70"/>
      <c r="AS113" s="70"/>
      <c r="AT113" s="95"/>
      <c r="AU113" s="95"/>
      <c r="AV113" s="95"/>
      <c r="AW113" s="70"/>
      <c r="AX113" s="298"/>
      <c r="AY113" s="297"/>
      <c r="AZ113" s="211"/>
      <c r="BA113" s="294"/>
      <c r="BB113" s="70"/>
      <c r="BC113" s="141"/>
      <c r="BD113" s="211"/>
      <c r="BE113" s="257"/>
      <c r="BF113" s="70"/>
      <c r="BG113" s="261"/>
      <c r="BH113" s="211"/>
      <c r="BI113" s="211"/>
      <c r="BJ113" s="211"/>
      <c r="BK113" s="211"/>
      <c r="BL113" s="161"/>
      <c r="BM113" s="70"/>
      <c r="BN113" s="211"/>
      <c r="BO113" s="211"/>
      <c r="BP113" s="211"/>
      <c r="BQ113" s="262"/>
      <c r="BR113" s="229"/>
      <c r="BS113" s="229"/>
      <c r="BT113" s="229"/>
      <c r="BU113" s="229"/>
    </row>
    <row r="114" spans="1:73" ht="12.75">
      <c r="A114" s="211"/>
      <c r="B114" s="70"/>
      <c r="C114" s="231"/>
      <c r="D114" s="211"/>
      <c r="E114" s="211"/>
      <c r="F114" s="296"/>
      <c r="G114" s="296"/>
      <c r="H114" s="296"/>
      <c r="I114" s="170"/>
      <c r="J114" s="170"/>
      <c r="K114" s="171"/>
      <c r="L114" s="296"/>
      <c r="M114" s="211"/>
      <c r="N114" s="161"/>
      <c r="O114" s="161"/>
      <c r="P114" s="161"/>
      <c r="Q114" s="161"/>
      <c r="R114" s="161"/>
      <c r="S114" s="101"/>
      <c r="T114" s="161"/>
      <c r="U114" s="175"/>
      <c r="V114" s="95"/>
      <c r="W114" s="95"/>
      <c r="X114" s="95"/>
      <c r="Y114" s="95"/>
      <c r="Z114" s="96"/>
      <c r="AA114" s="88"/>
      <c r="AB114" s="155"/>
      <c r="AC114" s="296"/>
      <c r="AD114" s="211"/>
      <c r="AE114" s="260"/>
      <c r="AF114" s="294"/>
      <c r="AG114" s="172"/>
      <c r="AH114" s="172"/>
      <c r="AI114" s="110"/>
      <c r="AJ114" s="111"/>
      <c r="AK114" s="229"/>
      <c r="AL114" s="211"/>
      <c r="AM114" s="217"/>
      <c r="AN114" s="297"/>
      <c r="AO114" s="260"/>
      <c r="AP114" s="146"/>
      <c r="AQ114" s="147"/>
      <c r="AR114" s="70"/>
      <c r="AS114" s="70"/>
      <c r="AT114" s="95"/>
      <c r="AU114" s="95"/>
      <c r="AV114" s="95"/>
      <c r="AW114" s="70"/>
      <c r="AX114" s="298"/>
      <c r="AY114" s="297"/>
      <c r="AZ114" s="211"/>
      <c r="BA114" s="294"/>
      <c r="BB114" s="70"/>
      <c r="BC114" s="141"/>
      <c r="BD114" s="211"/>
      <c r="BE114" s="257"/>
      <c r="BF114" s="70"/>
      <c r="BG114" s="261"/>
      <c r="BH114" s="211"/>
      <c r="BI114" s="211"/>
      <c r="BJ114" s="211"/>
      <c r="BK114" s="211"/>
      <c r="BL114" s="161"/>
      <c r="BM114" s="70"/>
      <c r="BN114" s="211"/>
      <c r="BO114" s="211"/>
      <c r="BP114" s="211"/>
      <c r="BQ114" s="262"/>
      <c r="BR114" s="229"/>
      <c r="BS114" s="229"/>
      <c r="BT114" s="229"/>
      <c r="BU114" s="229"/>
    </row>
    <row r="115" spans="1:73" ht="12.75">
      <c r="A115" s="211"/>
      <c r="B115" s="70"/>
      <c r="C115" s="231"/>
      <c r="D115" s="211"/>
      <c r="E115" s="211"/>
      <c r="F115" s="296"/>
      <c r="G115" s="296"/>
      <c r="H115" s="296"/>
      <c r="I115" s="170"/>
      <c r="J115" s="170"/>
      <c r="K115" s="171"/>
      <c r="L115" s="296"/>
      <c r="M115" s="211"/>
      <c r="N115" s="161"/>
      <c r="O115" s="161"/>
      <c r="P115" s="161"/>
      <c r="Q115" s="161"/>
      <c r="R115" s="161"/>
      <c r="S115" s="101"/>
      <c r="T115" s="161"/>
      <c r="U115" s="175"/>
      <c r="V115" s="95"/>
      <c r="W115" s="95"/>
      <c r="X115" s="95"/>
      <c r="Y115" s="95"/>
      <c r="Z115" s="96"/>
      <c r="AA115" s="88"/>
      <c r="AB115" s="155"/>
      <c r="AC115" s="296"/>
      <c r="AD115" s="211"/>
      <c r="AE115" s="260"/>
      <c r="AF115" s="294"/>
      <c r="AG115" s="172"/>
      <c r="AH115" s="172"/>
      <c r="AI115" s="110"/>
      <c r="AJ115" s="111"/>
      <c r="AK115" s="229"/>
      <c r="AL115" s="211"/>
      <c r="AM115" s="217"/>
      <c r="AN115" s="297"/>
      <c r="AO115" s="260"/>
      <c r="AP115" s="146"/>
      <c r="AQ115" s="147"/>
      <c r="AR115" s="70"/>
      <c r="AS115" s="70"/>
      <c r="AT115" s="95"/>
      <c r="AU115" s="95"/>
      <c r="AV115" s="95"/>
      <c r="AW115" s="70"/>
      <c r="AX115" s="298"/>
      <c r="AY115" s="297"/>
      <c r="AZ115" s="211"/>
      <c r="BA115" s="294"/>
      <c r="BB115" s="70"/>
      <c r="BC115" s="141"/>
      <c r="BD115" s="211"/>
      <c r="BE115" s="257"/>
      <c r="BF115" s="70"/>
      <c r="BG115" s="261"/>
      <c r="BH115" s="211"/>
      <c r="BI115" s="211"/>
      <c r="BJ115" s="211"/>
      <c r="BK115" s="211"/>
      <c r="BL115" s="161"/>
      <c r="BM115" s="70"/>
      <c r="BN115" s="211"/>
      <c r="BO115" s="211"/>
      <c r="BP115" s="211"/>
      <c r="BQ115" s="262"/>
      <c r="BR115" s="229"/>
      <c r="BS115" s="229"/>
      <c r="BT115" s="229"/>
      <c r="BU115" s="229"/>
    </row>
    <row r="116" spans="1:73" ht="12.75">
      <c r="A116" s="211"/>
      <c r="B116" s="70"/>
      <c r="C116" s="231"/>
      <c r="D116" s="211"/>
      <c r="E116" s="211"/>
      <c r="F116" s="296"/>
      <c r="G116" s="296"/>
      <c r="H116" s="296"/>
      <c r="I116" s="170"/>
      <c r="J116" s="170"/>
      <c r="K116" s="171"/>
      <c r="L116" s="296"/>
      <c r="M116" s="211"/>
      <c r="N116" s="161"/>
      <c r="O116" s="161"/>
      <c r="P116" s="161"/>
      <c r="Q116" s="161"/>
      <c r="R116" s="161"/>
      <c r="S116" s="101"/>
      <c r="T116" s="161"/>
      <c r="U116" s="175"/>
      <c r="V116" s="95"/>
      <c r="W116" s="95"/>
      <c r="X116" s="95"/>
      <c r="Y116" s="95"/>
      <c r="Z116" s="96"/>
      <c r="AA116" s="88"/>
      <c r="AB116" s="155"/>
      <c r="AC116" s="296"/>
      <c r="AD116" s="211"/>
      <c r="AE116" s="260"/>
      <c r="AF116" s="294"/>
      <c r="AG116" s="172"/>
      <c r="AH116" s="172"/>
      <c r="AI116" s="110"/>
      <c r="AJ116" s="111"/>
      <c r="AK116" s="229"/>
      <c r="AL116" s="211"/>
      <c r="AM116" s="217"/>
      <c r="AN116" s="297"/>
      <c r="AO116" s="260"/>
      <c r="AP116" s="146"/>
      <c r="AQ116" s="147"/>
      <c r="AR116" s="70"/>
      <c r="AS116" s="70"/>
      <c r="AT116" s="95"/>
      <c r="AU116" s="95"/>
      <c r="AV116" s="95"/>
      <c r="AW116" s="70"/>
      <c r="AX116" s="298"/>
      <c r="AY116" s="297"/>
      <c r="AZ116" s="211"/>
      <c r="BA116" s="294"/>
      <c r="BB116" s="70"/>
      <c r="BC116" s="141"/>
      <c r="BD116" s="211"/>
      <c r="BE116" s="257"/>
      <c r="BF116" s="70"/>
      <c r="BG116" s="261"/>
      <c r="BH116" s="211"/>
      <c r="BI116" s="211"/>
      <c r="BJ116" s="211"/>
      <c r="BK116" s="211"/>
      <c r="BL116" s="161"/>
      <c r="BM116" s="70"/>
      <c r="BN116" s="211"/>
      <c r="BO116" s="211"/>
      <c r="BP116" s="211"/>
      <c r="BQ116" s="262"/>
      <c r="BR116" s="229"/>
      <c r="BS116" s="229"/>
      <c r="BT116" s="229"/>
      <c r="BU116" s="229"/>
    </row>
    <row r="117" spans="1:73" ht="12.75">
      <c r="A117" s="211"/>
      <c r="B117" s="70"/>
      <c r="C117" s="231"/>
      <c r="D117" s="211"/>
      <c r="E117" s="211"/>
      <c r="F117" s="296"/>
      <c r="G117" s="296"/>
      <c r="H117" s="296"/>
      <c r="I117" s="170"/>
      <c r="J117" s="170"/>
      <c r="K117" s="171"/>
      <c r="L117" s="296"/>
      <c r="M117" s="211"/>
      <c r="N117" s="161"/>
      <c r="O117" s="161"/>
      <c r="P117" s="161"/>
      <c r="Q117" s="161"/>
      <c r="R117" s="161"/>
      <c r="S117" s="101"/>
      <c r="T117" s="161"/>
      <c r="U117" s="175"/>
      <c r="V117" s="95"/>
      <c r="W117" s="95"/>
      <c r="X117" s="95"/>
      <c r="Y117" s="95"/>
      <c r="Z117" s="96"/>
      <c r="AA117" s="88"/>
      <c r="AB117" s="155"/>
      <c r="AC117" s="296"/>
      <c r="AD117" s="211"/>
      <c r="AE117" s="260"/>
      <c r="AF117" s="294"/>
      <c r="AG117" s="172"/>
      <c r="AH117" s="172"/>
      <c r="AI117" s="110"/>
      <c r="AJ117" s="111"/>
      <c r="AK117" s="229"/>
      <c r="AL117" s="211"/>
      <c r="AM117" s="217"/>
      <c r="AN117" s="297"/>
      <c r="AO117" s="260"/>
      <c r="AP117" s="146"/>
      <c r="AQ117" s="147"/>
      <c r="AR117" s="70"/>
      <c r="AS117" s="70"/>
      <c r="AT117" s="95"/>
      <c r="AU117" s="95"/>
      <c r="AV117" s="95"/>
      <c r="AW117" s="70"/>
      <c r="AX117" s="298"/>
      <c r="AY117" s="297"/>
      <c r="AZ117" s="211"/>
      <c r="BA117" s="294"/>
      <c r="BB117" s="70"/>
      <c r="BC117" s="141"/>
      <c r="BD117" s="211"/>
      <c r="BE117" s="257"/>
      <c r="BF117" s="70"/>
      <c r="BG117" s="261"/>
      <c r="BH117" s="211"/>
      <c r="BI117" s="211"/>
      <c r="BJ117" s="211"/>
      <c r="BK117" s="211"/>
      <c r="BL117" s="161"/>
      <c r="BM117" s="70"/>
      <c r="BN117" s="211"/>
      <c r="BO117" s="211"/>
      <c r="BP117" s="211"/>
      <c r="BQ117" s="262"/>
      <c r="BR117" s="229"/>
      <c r="BS117" s="229"/>
      <c r="BT117" s="229"/>
      <c r="BU117" s="229"/>
    </row>
    <row r="118" spans="1:73" ht="12.75">
      <c r="A118" s="211"/>
      <c r="B118" s="70"/>
      <c r="C118" s="231"/>
      <c r="D118" s="211"/>
      <c r="E118" s="211"/>
      <c r="F118" s="296"/>
      <c r="G118" s="296"/>
      <c r="H118" s="296"/>
      <c r="I118" s="170"/>
      <c r="J118" s="170"/>
      <c r="K118" s="171"/>
      <c r="L118" s="296"/>
      <c r="M118" s="211"/>
      <c r="N118" s="161"/>
      <c r="O118" s="161"/>
      <c r="P118" s="161"/>
      <c r="Q118" s="161"/>
      <c r="R118" s="161"/>
      <c r="S118" s="101"/>
      <c r="T118" s="161"/>
      <c r="U118" s="175"/>
      <c r="V118" s="95"/>
      <c r="W118" s="95"/>
      <c r="X118" s="95"/>
      <c r="Y118" s="95"/>
      <c r="Z118" s="96"/>
      <c r="AA118" s="88"/>
      <c r="AB118" s="155"/>
      <c r="AC118" s="296"/>
      <c r="AD118" s="211"/>
      <c r="AE118" s="260"/>
      <c r="AF118" s="294"/>
      <c r="AG118" s="172"/>
      <c r="AH118" s="172"/>
      <c r="AI118" s="110"/>
      <c r="AJ118" s="111"/>
      <c r="AK118" s="229"/>
      <c r="AL118" s="211"/>
      <c r="AM118" s="217"/>
      <c r="AN118" s="297"/>
      <c r="AO118" s="260"/>
      <c r="AP118" s="146"/>
      <c r="AQ118" s="147"/>
      <c r="AR118" s="70"/>
      <c r="AS118" s="70"/>
      <c r="AT118" s="95"/>
      <c r="AU118" s="95"/>
      <c r="AV118" s="95"/>
      <c r="AW118" s="70"/>
      <c r="AX118" s="298"/>
      <c r="AY118" s="297"/>
      <c r="AZ118" s="211"/>
      <c r="BA118" s="294"/>
      <c r="BB118" s="70"/>
      <c r="BC118" s="141"/>
      <c r="BD118" s="211"/>
      <c r="BE118" s="257"/>
      <c r="BF118" s="70"/>
      <c r="BG118" s="261"/>
      <c r="BH118" s="211"/>
      <c r="BI118" s="211"/>
      <c r="BJ118" s="211"/>
      <c r="BK118" s="211"/>
      <c r="BL118" s="161"/>
      <c r="BM118" s="70"/>
      <c r="BN118" s="211"/>
      <c r="BO118" s="211"/>
      <c r="BP118" s="211"/>
      <c r="BQ118" s="262"/>
      <c r="BR118" s="229"/>
      <c r="BS118" s="229"/>
      <c r="BT118" s="229"/>
      <c r="BU118" s="229"/>
    </row>
    <row r="119" spans="1:73" ht="12.75">
      <c r="A119" s="211"/>
      <c r="B119" s="70"/>
      <c r="C119" s="231"/>
      <c r="D119" s="211"/>
      <c r="E119" s="211"/>
      <c r="F119" s="296"/>
      <c r="G119" s="296"/>
      <c r="H119" s="296"/>
      <c r="I119" s="170"/>
      <c r="J119" s="170"/>
      <c r="K119" s="171"/>
      <c r="L119" s="296"/>
      <c r="M119" s="211"/>
      <c r="N119" s="161"/>
      <c r="O119" s="161"/>
      <c r="P119" s="161"/>
      <c r="Q119" s="161"/>
      <c r="R119" s="161"/>
      <c r="S119" s="101"/>
      <c r="T119" s="161"/>
      <c r="U119" s="175"/>
      <c r="V119" s="95"/>
      <c r="W119" s="95"/>
      <c r="X119" s="95"/>
      <c r="Y119" s="95"/>
      <c r="Z119" s="96"/>
      <c r="AA119" s="88"/>
      <c r="AB119" s="155"/>
      <c r="AC119" s="296"/>
      <c r="AD119" s="211"/>
      <c r="AE119" s="260"/>
      <c r="AF119" s="294"/>
      <c r="AG119" s="172"/>
      <c r="AH119" s="172"/>
      <c r="AI119" s="110"/>
      <c r="AJ119" s="111"/>
      <c r="AK119" s="229"/>
      <c r="AL119" s="211"/>
      <c r="AM119" s="217"/>
      <c r="AN119" s="297"/>
      <c r="AO119" s="260"/>
      <c r="AP119" s="146"/>
      <c r="AQ119" s="147"/>
      <c r="AR119" s="70"/>
      <c r="AS119" s="70"/>
      <c r="AT119" s="95"/>
      <c r="AU119" s="95"/>
      <c r="AV119" s="95"/>
      <c r="AW119" s="70"/>
      <c r="AX119" s="298"/>
      <c r="AY119" s="297"/>
      <c r="AZ119" s="211"/>
      <c r="BA119" s="294"/>
      <c r="BB119" s="70"/>
      <c r="BC119" s="141"/>
      <c r="BD119" s="211"/>
      <c r="BE119" s="257"/>
      <c r="BF119" s="70"/>
      <c r="BG119" s="261"/>
      <c r="BH119" s="211"/>
      <c r="BI119" s="211"/>
      <c r="BJ119" s="211"/>
      <c r="BK119" s="211"/>
      <c r="BL119" s="161"/>
      <c r="BM119" s="70"/>
      <c r="BN119" s="211"/>
      <c r="BO119" s="211"/>
      <c r="BP119" s="211"/>
      <c r="BQ119" s="262"/>
      <c r="BR119" s="229"/>
      <c r="BS119" s="229"/>
      <c r="BT119" s="229"/>
      <c r="BU119" s="229"/>
    </row>
    <row r="120" spans="1:73" ht="12.75">
      <c r="A120" s="211"/>
      <c r="B120" s="70"/>
      <c r="C120" s="231"/>
      <c r="D120" s="211"/>
      <c r="E120" s="211"/>
      <c r="F120" s="296"/>
      <c r="G120" s="296"/>
      <c r="H120" s="296"/>
      <c r="I120" s="170"/>
      <c r="J120" s="170"/>
      <c r="K120" s="171"/>
      <c r="L120" s="296"/>
      <c r="M120" s="211"/>
      <c r="N120" s="161"/>
      <c r="O120" s="161"/>
      <c r="P120" s="161"/>
      <c r="Q120" s="161"/>
      <c r="R120" s="161"/>
      <c r="S120" s="101"/>
      <c r="T120" s="161"/>
      <c r="U120" s="175"/>
      <c r="V120" s="95"/>
      <c r="W120" s="95"/>
      <c r="X120" s="95"/>
      <c r="Y120" s="95"/>
      <c r="Z120" s="96"/>
      <c r="AA120" s="88"/>
      <c r="AB120" s="155"/>
      <c r="AC120" s="296"/>
      <c r="AD120" s="211"/>
      <c r="AE120" s="260"/>
      <c r="AF120" s="294"/>
      <c r="AG120" s="172"/>
      <c r="AH120" s="172"/>
      <c r="AI120" s="110"/>
      <c r="AJ120" s="111"/>
      <c r="AK120" s="229"/>
      <c r="AL120" s="211"/>
      <c r="AM120" s="217"/>
      <c r="AN120" s="297"/>
      <c r="AO120" s="260"/>
      <c r="AP120" s="146"/>
      <c r="AQ120" s="147"/>
      <c r="AR120" s="70"/>
      <c r="AS120" s="70"/>
      <c r="AT120" s="95"/>
      <c r="AU120" s="95"/>
      <c r="AV120" s="95"/>
      <c r="AW120" s="70"/>
      <c r="AX120" s="298"/>
      <c r="AY120" s="297"/>
      <c r="AZ120" s="211"/>
      <c r="BA120" s="294"/>
      <c r="BB120" s="70"/>
      <c r="BC120" s="141"/>
      <c r="BD120" s="211"/>
      <c r="BE120" s="257"/>
      <c r="BF120" s="70"/>
      <c r="BG120" s="261"/>
      <c r="BH120" s="211"/>
      <c r="BI120" s="211"/>
      <c r="BJ120" s="211"/>
      <c r="BK120" s="211"/>
      <c r="BL120" s="161"/>
      <c r="BM120" s="70"/>
      <c r="BN120" s="211"/>
      <c r="BO120" s="211"/>
      <c r="BP120" s="211"/>
      <c r="BQ120" s="262"/>
      <c r="BR120" s="229"/>
      <c r="BS120" s="229"/>
      <c r="BT120" s="229"/>
      <c r="BU120" s="229"/>
    </row>
    <row r="121" spans="1:73" ht="12.75">
      <c r="A121" s="211"/>
      <c r="B121" s="70"/>
      <c r="C121" s="231"/>
      <c r="D121" s="211"/>
      <c r="E121" s="211"/>
      <c r="F121" s="296"/>
      <c r="G121" s="296"/>
      <c r="H121" s="296"/>
      <c r="I121" s="170"/>
      <c r="J121" s="170"/>
      <c r="K121" s="171"/>
      <c r="L121" s="296"/>
      <c r="M121" s="211"/>
      <c r="N121" s="161"/>
      <c r="O121" s="161"/>
      <c r="P121" s="161"/>
      <c r="Q121" s="161"/>
      <c r="R121" s="161"/>
      <c r="S121" s="101"/>
      <c r="T121" s="161"/>
      <c r="U121" s="175"/>
      <c r="V121" s="95"/>
      <c r="W121" s="95"/>
      <c r="X121" s="95"/>
      <c r="Y121" s="95"/>
      <c r="Z121" s="96"/>
      <c r="AA121" s="88"/>
      <c r="AB121" s="155"/>
      <c r="AC121" s="296"/>
      <c r="AD121" s="211"/>
      <c r="AE121" s="260"/>
      <c r="AF121" s="294"/>
      <c r="AG121" s="172"/>
      <c r="AH121" s="172"/>
      <c r="AI121" s="110"/>
      <c r="AJ121" s="111"/>
      <c r="AK121" s="229"/>
      <c r="AL121" s="211"/>
      <c r="AM121" s="217"/>
      <c r="AN121" s="297"/>
      <c r="AO121" s="260"/>
      <c r="AP121" s="146"/>
      <c r="AQ121" s="147"/>
      <c r="AR121" s="70"/>
      <c r="AS121" s="70"/>
      <c r="AT121" s="95"/>
      <c r="AU121" s="95"/>
      <c r="AV121" s="95"/>
      <c r="AW121" s="70"/>
      <c r="AX121" s="298"/>
      <c r="AY121" s="297"/>
      <c r="AZ121" s="211"/>
      <c r="BA121" s="294"/>
      <c r="BB121" s="70"/>
      <c r="BC121" s="141"/>
      <c r="BD121" s="211"/>
      <c r="BE121" s="257"/>
      <c r="BF121" s="70"/>
      <c r="BG121" s="261"/>
      <c r="BH121" s="211"/>
      <c r="BI121" s="211"/>
      <c r="BJ121" s="211"/>
      <c r="BK121" s="211"/>
      <c r="BL121" s="161"/>
      <c r="BM121" s="70"/>
      <c r="BN121" s="211"/>
      <c r="BO121" s="211"/>
      <c r="BP121" s="211"/>
      <c r="BQ121" s="262"/>
      <c r="BR121" s="229"/>
      <c r="BS121" s="229"/>
      <c r="BT121" s="229"/>
      <c r="BU121" s="229"/>
    </row>
    <row r="122" spans="1:73" ht="12.75">
      <c r="A122" s="211"/>
      <c r="B122" s="70"/>
      <c r="C122" s="231"/>
      <c r="D122" s="211"/>
      <c r="E122" s="211"/>
      <c r="F122" s="296"/>
      <c r="G122" s="296"/>
      <c r="H122" s="296"/>
      <c r="I122" s="170"/>
      <c r="J122" s="170"/>
      <c r="K122" s="171"/>
      <c r="L122" s="296"/>
      <c r="M122" s="211"/>
      <c r="N122" s="161"/>
      <c r="O122" s="161"/>
      <c r="P122" s="161"/>
      <c r="Q122" s="161"/>
      <c r="R122" s="161"/>
      <c r="S122" s="101"/>
      <c r="T122" s="161"/>
      <c r="U122" s="175"/>
      <c r="V122" s="95"/>
      <c r="W122" s="95"/>
      <c r="X122" s="95"/>
      <c r="Y122" s="95"/>
      <c r="Z122" s="96"/>
      <c r="AA122" s="88"/>
      <c r="AB122" s="155"/>
      <c r="AC122" s="296"/>
      <c r="AD122" s="211"/>
      <c r="AE122" s="260"/>
      <c r="AF122" s="294"/>
      <c r="AG122" s="172"/>
      <c r="AH122" s="172"/>
      <c r="AI122" s="110"/>
      <c r="AJ122" s="111"/>
      <c r="AK122" s="229"/>
      <c r="AL122" s="211"/>
      <c r="AM122" s="217"/>
      <c r="AN122" s="297"/>
      <c r="AO122" s="260"/>
      <c r="AP122" s="146"/>
      <c r="AQ122" s="147"/>
      <c r="AR122" s="70"/>
      <c r="AS122" s="70"/>
      <c r="AT122" s="95"/>
      <c r="AU122" s="95"/>
      <c r="AV122" s="95"/>
      <c r="AW122" s="70"/>
      <c r="AX122" s="298"/>
      <c r="AY122" s="297"/>
      <c r="AZ122" s="211"/>
      <c r="BA122" s="294"/>
      <c r="BB122" s="70"/>
      <c r="BC122" s="141"/>
      <c r="BD122" s="211"/>
      <c r="BE122" s="257"/>
      <c r="BF122" s="70"/>
      <c r="BG122" s="261"/>
      <c r="BH122" s="211"/>
      <c r="BI122" s="211"/>
      <c r="BJ122" s="211"/>
      <c r="BK122" s="211"/>
      <c r="BL122" s="161"/>
      <c r="BM122" s="70"/>
      <c r="BN122" s="211"/>
      <c r="BO122" s="211"/>
      <c r="BP122" s="211"/>
      <c r="BQ122" s="262"/>
      <c r="BR122" s="229"/>
      <c r="BS122" s="229"/>
      <c r="BT122" s="229"/>
      <c r="BU122" s="229"/>
    </row>
    <row r="123" spans="1:73" ht="12.75">
      <c r="A123" s="211"/>
      <c r="B123" s="70"/>
      <c r="C123" s="231"/>
      <c r="D123" s="211"/>
      <c r="E123" s="211"/>
      <c r="F123" s="296"/>
      <c r="G123" s="296"/>
      <c r="H123" s="296"/>
      <c r="I123" s="170"/>
      <c r="J123" s="170"/>
      <c r="K123" s="171"/>
      <c r="L123" s="296"/>
      <c r="M123" s="211"/>
      <c r="N123" s="161"/>
      <c r="O123" s="161"/>
      <c r="P123" s="161"/>
      <c r="Q123" s="161"/>
      <c r="R123" s="161"/>
      <c r="S123" s="101"/>
      <c r="T123" s="161"/>
      <c r="U123" s="175"/>
      <c r="V123" s="95"/>
      <c r="W123" s="95"/>
      <c r="X123" s="95"/>
      <c r="Y123" s="95"/>
      <c r="Z123" s="96"/>
      <c r="AA123" s="88"/>
      <c r="AB123" s="155"/>
      <c r="AC123" s="296"/>
      <c r="AD123" s="211"/>
      <c r="AE123" s="260"/>
      <c r="AF123" s="294"/>
      <c r="AG123" s="172"/>
      <c r="AH123" s="172"/>
      <c r="AI123" s="110"/>
      <c r="AJ123" s="111"/>
      <c r="AK123" s="229"/>
      <c r="AL123" s="211"/>
      <c r="AM123" s="217"/>
      <c r="AN123" s="297"/>
      <c r="AO123" s="260"/>
      <c r="AP123" s="146"/>
      <c r="AQ123" s="147"/>
      <c r="AR123" s="70"/>
      <c r="AS123" s="70"/>
      <c r="AT123" s="95"/>
      <c r="AU123" s="95"/>
      <c r="AV123" s="95"/>
      <c r="AW123" s="70"/>
      <c r="AX123" s="298"/>
      <c r="AY123" s="297"/>
      <c r="AZ123" s="211"/>
      <c r="BA123" s="294"/>
      <c r="BB123" s="70"/>
      <c r="BC123" s="141"/>
      <c r="BD123" s="211"/>
      <c r="BE123" s="257"/>
      <c r="BF123" s="70"/>
      <c r="BG123" s="261"/>
      <c r="BH123" s="211"/>
      <c r="BI123" s="211"/>
      <c r="BJ123" s="211"/>
      <c r="BK123" s="211"/>
      <c r="BL123" s="161"/>
      <c r="BM123" s="70"/>
      <c r="BN123" s="211"/>
      <c r="BO123" s="211"/>
      <c r="BP123" s="211"/>
      <c r="BQ123" s="262"/>
      <c r="BR123" s="229"/>
      <c r="BS123" s="229"/>
      <c r="BT123" s="229"/>
      <c r="BU123" s="229"/>
    </row>
    <row r="124" spans="1:73" ht="12.75">
      <c r="A124" s="211"/>
      <c r="B124" s="70"/>
      <c r="C124" s="231"/>
      <c r="D124" s="211"/>
      <c r="E124" s="211"/>
      <c r="F124" s="296"/>
      <c r="G124" s="296"/>
      <c r="H124" s="296"/>
      <c r="I124" s="170"/>
      <c r="J124" s="170"/>
      <c r="K124" s="171"/>
      <c r="L124" s="296"/>
      <c r="M124" s="211"/>
      <c r="N124" s="161"/>
      <c r="O124" s="161"/>
      <c r="P124" s="161"/>
      <c r="Q124" s="161"/>
      <c r="R124" s="161"/>
      <c r="S124" s="101"/>
      <c r="T124" s="161"/>
      <c r="U124" s="175"/>
      <c r="V124" s="95"/>
      <c r="W124" s="95"/>
      <c r="X124" s="95"/>
      <c r="Y124" s="95"/>
      <c r="Z124" s="96"/>
      <c r="AA124" s="88"/>
      <c r="AB124" s="155"/>
      <c r="AC124" s="296"/>
      <c r="AD124" s="211"/>
      <c r="AE124" s="260"/>
      <c r="AF124" s="294"/>
      <c r="AG124" s="172"/>
      <c r="AH124" s="172"/>
      <c r="AI124" s="110"/>
      <c r="AJ124" s="111"/>
      <c r="AK124" s="229"/>
      <c r="AL124" s="211"/>
      <c r="AM124" s="217"/>
      <c r="AN124" s="297"/>
      <c r="AO124" s="260"/>
      <c r="AP124" s="146"/>
      <c r="AQ124" s="147"/>
      <c r="AR124" s="70"/>
      <c r="AS124" s="70"/>
      <c r="AT124" s="95"/>
      <c r="AU124" s="95"/>
      <c r="AV124" s="95"/>
      <c r="AW124" s="70"/>
      <c r="AX124" s="298"/>
      <c r="AY124" s="297"/>
      <c r="AZ124" s="211"/>
      <c r="BA124" s="294"/>
      <c r="BB124" s="70"/>
      <c r="BC124" s="141"/>
      <c r="BD124" s="211"/>
      <c r="BE124" s="257"/>
      <c r="BF124" s="70"/>
      <c r="BG124" s="261"/>
      <c r="BH124" s="211"/>
      <c r="BI124" s="211"/>
      <c r="BJ124" s="211"/>
      <c r="BK124" s="211"/>
      <c r="BL124" s="161"/>
      <c r="BM124" s="70"/>
      <c r="BN124" s="211"/>
      <c r="BO124" s="211"/>
      <c r="BP124" s="211"/>
      <c r="BQ124" s="262"/>
      <c r="BR124" s="229"/>
      <c r="BS124" s="229"/>
      <c r="BT124" s="229"/>
      <c r="BU124" s="229"/>
    </row>
    <row r="125" spans="1:73" ht="12.75">
      <c r="A125" s="211"/>
      <c r="B125" s="70"/>
      <c r="C125" s="231"/>
      <c r="D125" s="211"/>
      <c r="E125" s="211"/>
      <c r="F125" s="296"/>
      <c r="G125" s="296"/>
      <c r="H125" s="296"/>
      <c r="I125" s="170"/>
      <c r="J125" s="170"/>
      <c r="K125" s="171"/>
      <c r="L125" s="296"/>
      <c r="M125" s="211"/>
      <c r="N125" s="161"/>
      <c r="O125" s="161"/>
      <c r="P125" s="161"/>
      <c r="Q125" s="161"/>
      <c r="R125" s="161"/>
      <c r="S125" s="101"/>
      <c r="T125" s="161"/>
      <c r="U125" s="175"/>
      <c r="V125" s="95"/>
      <c r="W125" s="95"/>
      <c r="X125" s="95"/>
      <c r="Y125" s="95"/>
      <c r="Z125" s="96"/>
      <c r="AA125" s="88"/>
      <c r="AB125" s="155"/>
      <c r="AC125" s="296"/>
      <c r="AD125" s="211"/>
      <c r="AE125" s="260"/>
      <c r="AF125" s="294"/>
      <c r="AG125" s="172"/>
      <c r="AH125" s="172"/>
      <c r="AI125" s="110"/>
      <c r="AJ125" s="111"/>
      <c r="AK125" s="229"/>
      <c r="AL125" s="211"/>
      <c r="AM125" s="217"/>
      <c r="AN125" s="297"/>
      <c r="AO125" s="260"/>
      <c r="AP125" s="146"/>
      <c r="AQ125" s="147"/>
      <c r="AR125" s="70"/>
      <c r="AS125" s="70"/>
      <c r="AT125" s="95"/>
      <c r="AU125" s="95"/>
      <c r="AV125" s="95"/>
      <c r="AW125" s="70"/>
      <c r="AX125" s="298"/>
      <c r="AY125" s="297"/>
      <c r="AZ125" s="211"/>
      <c r="BA125" s="294"/>
      <c r="BB125" s="70"/>
      <c r="BC125" s="141"/>
      <c r="BD125" s="211"/>
      <c r="BE125" s="257"/>
      <c r="BF125" s="70"/>
      <c r="BG125" s="261"/>
      <c r="BH125" s="211"/>
      <c r="BI125" s="211"/>
      <c r="BJ125" s="211"/>
      <c r="BK125" s="211"/>
      <c r="BL125" s="161"/>
      <c r="BM125" s="70"/>
      <c r="BN125" s="211"/>
      <c r="BO125" s="211"/>
      <c r="BP125" s="211"/>
      <c r="BQ125" s="262"/>
      <c r="BR125" s="229"/>
      <c r="BS125" s="229"/>
      <c r="BT125" s="229"/>
      <c r="BU125" s="229"/>
    </row>
    <row r="126" spans="1:73" ht="12.75">
      <c r="A126" s="211"/>
      <c r="B126" s="70"/>
      <c r="C126" s="231"/>
      <c r="D126" s="211"/>
      <c r="E126" s="211"/>
      <c r="F126" s="296"/>
      <c r="G126" s="296"/>
      <c r="H126" s="296"/>
      <c r="I126" s="170"/>
      <c r="J126" s="170"/>
      <c r="K126" s="171"/>
      <c r="L126" s="296"/>
      <c r="M126" s="211"/>
      <c r="N126" s="161"/>
      <c r="O126" s="161"/>
      <c r="P126" s="161"/>
      <c r="Q126" s="161"/>
      <c r="R126" s="161"/>
      <c r="S126" s="101"/>
      <c r="T126" s="161"/>
      <c r="U126" s="175"/>
      <c r="V126" s="95"/>
      <c r="W126" s="95"/>
      <c r="X126" s="95"/>
      <c r="Y126" s="95"/>
      <c r="Z126" s="96"/>
      <c r="AA126" s="88"/>
      <c r="AB126" s="155"/>
      <c r="AC126" s="296"/>
      <c r="AD126" s="211"/>
      <c r="AE126" s="260"/>
      <c r="AF126" s="294"/>
      <c r="AG126" s="172"/>
      <c r="AH126" s="172"/>
      <c r="AI126" s="110"/>
      <c r="AJ126" s="111"/>
      <c r="AK126" s="229"/>
      <c r="AL126" s="211"/>
      <c r="AM126" s="217"/>
      <c r="AN126" s="297"/>
      <c r="AO126" s="260"/>
      <c r="AP126" s="146"/>
      <c r="AQ126" s="147"/>
      <c r="AR126" s="70"/>
      <c r="AS126" s="70"/>
      <c r="AT126" s="95"/>
      <c r="AU126" s="95"/>
      <c r="AV126" s="95"/>
      <c r="AW126" s="70"/>
      <c r="AX126" s="298"/>
      <c r="AY126" s="297"/>
      <c r="AZ126" s="211"/>
      <c r="BA126" s="294"/>
      <c r="BB126" s="70"/>
      <c r="BC126" s="141"/>
      <c r="BD126" s="211"/>
      <c r="BE126" s="257"/>
      <c r="BF126" s="70"/>
      <c r="BG126" s="261"/>
      <c r="BH126" s="211"/>
      <c r="BI126" s="211"/>
      <c r="BJ126" s="211"/>
      <c r="BK126" s="211"/>
      <c r="BL126" s="161"/>
      <c r="BM126" s="70"/>
      <c r="BN126" s="211"/>
      <c r="BO126" s="211"/>
      <c r="BP126" s="211"/>
      <c r="BQ126" s="262"/>
      <c r="BR126" s="229"/>
      <c r="BS126" s="229"/>
      <c r="BT126" s="229"/>
      <c r="BU126" s="229"/>
    </row>
    <row r="127" spans="1:73" ht="12.75">
      <c r="A127" s="211"/>
      <c r="B127" s="70"/>
      <c r="C127" s="231"/>
      <c r="D127" s="211"/>
      <c r="E127" s="211"/>
      <c r="F127" s="296"/>
      <c r="G127" s="296"/>
      <c r="H127" s="296"/>
      <c r="I127" s="170"/>
      <c r="J127" s="170"/>
      <c r="K127" s="171"/>
      <c r="L127" s="296"/>
      <c r="M127" s="211"/>
      <c r="N127" s="161"/>
      <c r="O127" s="161"/>
      <c r="P127" s="161"/>
      <c r="Q127" s="161"/>
      <c r="R127" s="161"/>
      <c r="S127" s="101"/>
      <c r="T127" s="161"/>
      <c r="U127" s="175"/>
      <c r="V127" s="95"/>
      <c r="W127" s="95"/>
      <c r="X127" s="95"/>
      <c r="Y127" s="95"/>
      <c r="Z127" s="96"/>
      <c r="AA127" s="88"/>
      <c r="AB127" s="155"/>
      <c r="AC127" s="296"/>
      <c r="AD127" s="211"/>
      <c r="AE127" s="260"/>
      <c r="AF127" s="294"/>
      <c r="AG127" s="172"/>
      <c r="AH127" s="172"/>
      <c r="AI127" s="110"/>
      <c r="AJ127" s="111"/>
      <c r="AK127" s="229"/>
      <c r="AL127" s="211"/>
      <c r="AM127" s="217"/>
      <c r="AN127" s="297"/>
      <c r="AO127" s="260"/>
      <c r="AP127" s="146"/>
      <c r="AQ127" s="147"/>
      <c r="AR127" s="70"/>
      <c r="AS127" s="70"/>
      <c r="AT127" s="95"/>
      <c r="AU127" s="95"/>
      <c r="AV127" s="95"/>
      <c r="AW127" s="70"/>
      <c r="AX127" s="298"/>
      <c r="AY127" s="297"/>
      <c r="AZ127" s="211"/>
      <c r="BA127" s="294"/>
      <c r="BB127" s="70"/>
      <c r="BC127" s="141"/>
      <c r="BD127" s="211"/>
      <c r="BE127" s="257"/>
      <c r="BF127" s="70"/>
      <c r="BG127" s="261"/>
      <c r="BH127" s="211"/>
      <c r="BI127" s="211"/>
      <c r="BJ127" s="211"/>
      <c r="BK127" s="211"/>
      <c r="BL127" s="161"/>
      <c r="BM127" s="70"/>
      <c r="BN127" s="211"/>
      <c r="BO127" s="211"/>
      <c r="BP127" s="211"/>
      <c r="BQ127" s="262"/>
      <c r="BR127" s="229"/>
      <c r="BS127" s="229"/>
      <c r="BT127" s="229"/>
      <c r="BU127" s="229"/>
    </row>
    <row r="128" spans="1:73" ht="12.75">
      <c r="A128" s="211"/>
      <c r="B128" s="70"/>
      <c r="C128" s="231"/>
      <c r="D128" s="211"/>
      <c r="E128" s="211"/>
      <c r="F128" s="296"/>
      <c r="G128" s="296"/>
      <c r="H128" s="296"/>
      <c r="I128" s="170"/>
      <c r="J128" s="170"/>
      <c r="K128" s="171"/>
      <c r="L128" s="296"/>
      <c r="M128" s="211"/>
      <c r="N128" s="161"/>
      <c r="O128" s="161"/>
      <c r="P128" s="161"/>
      <c r="Q128" s="161"/>
      <c r="R128" s="161"/>
      <c r="S128" s="101"/>
      <c r="T128" s="161"/>
      <c r="U128" s="175"/>
      <c r="V128" s="95"/>
      <c r="W128" s="95"/>
      <c r="X128" s="95"/>
      <c r="Y128" s="95"/>
      <c r="Z128" s="96"/>
      <c r="AA128" s="88"/>
      <c r="AB128" s="155"/>
      <c r="AC128" s="296"/>
      <c r="AD128" s="211"/>
      <c r="AE128" s="260"/>
      <c r="AF128" s="294"/>
      <c r="AG128" s="172"/>
      <c r="AH128" s="172"/>
      <c r="AI128" s="110"/>
      <c r="AJ128" s="111"/>
      <c r="AK128" s="229"/>
      <c r="AL128" s="211"/>
      <c r="AM128" s="217"/>
      <c r="AN128" s="297"/>
      <c r="AO128" s="260"/>
      <c r="AP128" s="146"/>
      <c r="AQ128" s="147"/>
      <c r="AR128" s="70"/>
      <c r="AS128" s="70"/>
      <c r="AT128" s="95"/>
      <c r="AU128" s="95"/>
      <c r="AV128" s="95"/>
      <c r="AW128" s="70"/>
      <c r="AX128" s="298"/>
      <c r="AY128" s="297"/>
      <c r="AZ128" s="211"/>
      <c r="BA128" s="294"/>
      <c r="BB128" s="70"/>
      <c r="BC128" s="141"/>
      <c r="BD128" s="211"/>
      <c r="BE128" s="257"/>
      <c r="BF128" s="70"/>
      <c r="BG128" s="261"/>
      <c r="BH128" s="211"/>
      <c r="BI128" s="211"/>
      <c r="BJ128" s="211"/>
      <c r="BK128" s="211"/>
      <c r="BL128" s="161"/>
      <c r="BM128" s="70"/>
      <c r="BN128" s="211"/>
      <c r="BO128" s="211"/>
      <c r="BP128" s="211"/>
      <c r="BQ128" s="262"/>
      <c r="BR128" s="229"/>
      <c r="BS128" s="229"/>
      <c r="BT128" s="229"/>
      <c r="BU128" s="229"/>
    </row>
    <row r="129" spans="1:73" ht="12.75">
      <c r="A129" s="211"/>
      <c r="B129" s="70"/>
      <c r="C129" s="231"/>
      <c r="D129" s="211"/>
      <c r="E129" s="211"/>
      <c r="F129" s="296"/>
      <c r="G129" s="296"/>
      <c r="H129" s="296"/>
      <c r="I129" s="170"/>
      <c r="J129" s="170"/>
      <c r="K129" s="171"/>
      <c r="L129" s="296"/>
      <c r="M129" s="211"/>
      <c r="N129" s="161"/>
      <c r="O129" s="161"/>
      <c r="P129" s="161"/>
      <c r="Q129" s="161"/>
      <c r="R129" s="161"/>
      <c r="S129" s="101"/>
      <c r="T129" s="161"/>
      <c r="U129" s="175"/>
      <c r="V129" s="95"/>
      <c r="W129" s="95"/>
      <c r="X129" s="95"/>
      <c r="Y129" s="95"/>
      <c r="Z129" s="96"/>
      <c r="AA129" s="88"/>
      <c r="AB129" s="155"/>
      <c r="AC129" s="296"/>
      <c r="AD129" s="211"/>
      <c r="AE129" s="260"/>
      <c r="AF129" s="294"/>
      <c r="AG129" s="172"/>
      <c r="AH129" s="172"/>
      <c r="AI129" s="110"/>
      <c r="AJ129" s="111"/>
      <c r="AK129" s="229"/>
      <c r="AL129" s="211"/>
      <c r="AM129" s="217"/>
      <c r="AN129" s="297"/>
      <c r="AO129" s="260"/>
      <c r="AP129" s="146"/>
      <c r="AQ129" s="147"/>
      <c r="AR129" s="70"/>
      <c r="AS129" s="70"/>
      <c r="AT129" s="95"/>
      <c r="AU129" s="95"/>
      <c r="AV129" s="95"/>
      <c r="AW129" s="70"/>
      <c r="AX129" s="298"/>
      <c r="AY129" s="297"/>
      <c r="AZ129" s="211"/>
      <c r="BA129" s="294"/>
      <c r="BB129" s="70"/>
      <c r="BC129" s="141"/>
      <c r="BD129" s="211"/>
      <c r="BE129" s="257"/>
      <c r="BF129" s="70"/>
      <c r="BG129" s="261"/>
      <c r="BH129" s="211"/>
      <c r="BI129" s="211"/>
      <c r="BJ129" s="211"/>
      <c r="BK129" s="211"/>
      <c r="BL129" s="161"/>
      <c r="BM129" s="70"/>
      <c r="BN129" s="211"/>
      <c r="BO129" s="211"/>
      <c r="BP129" s="211"/>
      <c r="BQ129" s="262"/>
      <c r="BR129" s="229"/>
      <c r="BS129" s="229"/>
      <c r="BT129" s="229"/>
      <c r="BU129" s="229"/>
    </row>
    <row r="130" spans="1:73" ht="12.75">
      <c r="A130" s="211"/>
      <c r="B130" s="70"/>
      <c r="C130" s="231"/>
      <c r="D130" s="211"/>
      <c r="E130" s="211"/>
      <c r="F130" s="296"/>
      <c r="G130" s="296"/>
      <c r="H130" s="296"/>
      <c r="I130" s="170"/>
      <c r="J130" s="170"/>
      <c r="K130" s="171"/>
      <c r="L130" s="296"/>
      <c r="M130" s="211"/>
      <c r="N130" s="161"/>
      <c r="O130" s="161"/>
      <c r="P130" s="161"/>
      <c r="Q130" s="161"/>
      <c r="R130" s="161"/>
      <c r="S130" s="101"/>
      <c r="T130" s="161"/>
      <c r="U130" s="175"/>
      <c r="V130" s="95"/>
      <c r="W130" s="95"/>
      <c r="X130" s="95"/>
      <c r="Y130" s="95"/>
      <c r="Z130" s="96"/>
      <c r="AA130" s="88"/>
      <c r="AB130" s="155"/>
      <c r="AC130" s="296"/>
      <c r="AD130" s="211"/>
      <c r="AE130" s="260"/>
      <c r="AF130" s="294"/>
      <c r="AG130" s="172"/>
      <c r="AH130" s="172"/>
      <c r="AI130" s="110"/>
      <c r="AJ130" s="111"/>
      <c r="AK130" s="229"/>
      <c r="AL130" s="211"/>
      <c r="AM130" s="217"/>
      <c r="AN130" s="297"/>
      <c r="AO130" s="260"/>
      <c r="AP130" s="146"/>
      <c r="AQ130" s="147"/>
      <c r="AR130" s="70"/>
      <c r="AS130" s="70"/>
      <c r="AT130" s="95"/>
      <c r="AU130" s="95"/>
      <c r="AV130" s="95"/>
      <c r="AW130" s="70"/>
      <c r="AX130" s="298"/>
      <c r="AY130" s="297"/>
      <c r="AZ130" s="211"/>
      <c r="BA130" s="294"/>
      <c r="BB130" s="70"/>
      <c r="BC130" s="141"/>
      <c r="BD130" s="211"/>
      <c r="BE130" s="257"/>
      <c r="BF130" s="70"/>
      <c r="BG130" s="261"/>
      <c r="BH130" s="211"/>
      <c r="BI130" s="211"/>
      <c r="BJ130" s="211"/>
      <c r="BK130" s="211"/>
      <c r="BL130" s="161"/>
      <c r="BM130" s="70"/>
      <c r="BN130" s="211"/>
      <c r="BO130" s="211"/>
      <c r="BP130" s="211"/>
      <c r="BQ130" s="262"/>
      <c r="BR130" s="229"/>
      <c r="BS130" s="229"/>
      <c r="BT130" s="229"/>
      <c r="BU130" s="229"/>
    </row>
    <row r="131" spans="1:73" ht="12.75">
      <c r="A131" s="211"/>
      <c r="B131" s="70"/>
      <c r="C131" s="231"/>
      <c r="D131" s="211"/>
      <c r="E131" s="211"/>
      <c r="F131" s="296"/>
      <c r="G131" s="296"/>
      <c r="H131" s="296"/>
      <c r="I131" s="170"/>
      <c r="J131" s="170"/>
      <c r="K131" s="171"/>
      <c r="L131" s="296"/>
      <c r="M131" s="211"/>
      <c r="N131" s="161"/>
      <c r="O131" s="161"/>
      <c r="P131" s="161"/>
      <c r="Q131" s="161"/>
      <c r="R131" s="161"/>
      <c r="S131" s="101"/>
      <c r="T131" s="161"/>
      <c r="U131" s="175"/>
      <c r="V131" s="95"/>
      <c r="W131" s="95"/>
      <c r="X131" s="95"/>
      <c r="Y131" s="95"/>
      <c r="Z131" s="96"/>
      <c r="AA131" s="88"/>
      <c r="AB131" s="155"/>
      <c r="AC131" s="296"/>
      <c r="AD131" s="211"/>
      <c r="AE131" s="260"/>
      <c r="AF131" s="294"/>
      <c r="AG131" s="172"/>
      <c r="AH131" s="172"/>
      <c r="AI131" s="110"/>
      <c r="AJ131" s="111"/>
      <c r="AK131" s="229"/>
      <c r="AL131" s="211"/>
      <c r="AM131" s="217"/>
      <c r="AN131" s="297"/>
      <c r="AO131" s="260"/>
      <c r="AP131" s="146"/>
      <c r="AQ131" s="147"/>
      <c r="AR131" s="70"/>
      <c r="AS131" s="70"/>
      <c r="AT131" s="95"/>
      <c r="AU131" s="95"/>
      <c r="AV131" s="95"/>
      <c r="AW131" s="70"/>
      <c r="AX131" s="298"/>
      <c r="AY131" s="297"/>
      <c r="AZ131" s="211"/>
      <c r="BA131" s="294"/>
      <c r="BB131" s="70"/>
      <c r="BC131" s="141"/>
      <c r="BD131" s="211"/>
      <c r="BE131" s="257"/>
      <c r="BF131" s="70"/>
      <c r="BG131" s="261"/>
      <c r="BH131" s="211"/>
      <c r="BI131" s="211"/>
      <c r="BJ131" s="211"/>
      <c r="BK131" s="211"/>
      <c r="BL131" s="161"/>
      <c r="BM131" s="70"/>
      <c r="BN131" s="211"/>
      <c r="BO131" s="211"/>
      <c r="BP131" s="211"/>
      <c r="BQ131" s="262"/>
      <c r="BR131" s="229"/>
      <c r="BS131" s="229"/>
      <c r="BT131" s="229"/>
      <c r="BU131" s="229"/>
    </row>
    <row r="132" spans="1:73" ht="12.75">
      <c r="A132" s="211"/>
      <c r="B132" s="70"/>
      <c r="C132" s="231"/>
      <c r="D132" s="211"/>
      <c r="E132" s="211"/>
      <c r="F132" s="296"/>
      <c r="G132" s="296"/>
      <c r="H132" s="296"/>
      <c r="I132" s="170"/>
      <c r="J132" s="170"/>
      <c r="K132" s="171"/>
      <c r="L132" s="296"/>
      <c r="M132" s="211"/>
      <c r="N132" s="161"/>
      <c r="O132" s="161"/>
      <c r="P132" s="161"/>
      <c r="Q132" s="161"/>
      <c r="R132" s="161"/>
      <c r="S132" s="101"/>
      <c r="T132" s="161"/>
      <c r="U132" s="175"/>
      <c r="V132" s="95"/>
      <c r="W132" s="95"/>
      <c r="X132" s="95"/>
      <c r="Y132" s="95"/>
      <c r="Z132" s="96"/>
      <c r="AA132" s="88"/>
      <c r="AB132" s="155"/>
      <c r="AC132" s="296"/>
      <c r="AD132" s="211"/>
      <c r="AE132" s="260"/>
      <c r="AF132" s="294"/>
      <c r="AG132" s="172"/>
      <c r="AH132" s="172"/>
      <c r="AI132" s="110"/>
      <c r="AJ132" s="111"/>
      <c r="AK132" s="229"/>
      <c r="AL132" s="211"/>
      <c r="AM132" s="217"/>
      <c r="AN132" s="297"/>
      <c r="AO132" s="260"/>
      <c r="AP132" s="146"/>
      <c r="AQ132" s="147"/>
      <c r="AR132" s="70"/>
      <c r="AS132" s="70"/>
      <c r="AT132" s="95"/>
      <c r="AU132" s="95"/>
      <c r="AV132" s="95"/>
      <c r="AW132" s="70"/>
      <c r="AX132" s="298"/>
      <c r="AY132" s="297"/>
      <c r="AZ132" s="211"/>
      <c r="BA132" s="294"/>
      <c r="BB132" s="70"/>
      <c r="BC132" s="141"/>
      <c r="BD132" s="211"/>
      <c r="BE132" s="257"/>
      <c r="BF132" s="70"/>
      <c r="BG132" s="261"/>
      <c r="BH132" s="211"/>
      <c r="BI132" s="211"/>
      <c r="BJ132" s="211"/>
      <c r="BK132" s="211"/>
      <c r="BL132" s="161"/>
      <c r="BM132" s="70"/>
      <c r="BN132" s="211"/>
      <c r="BO132" s="211"/>
      <c r="BP132" s="211"/>
      <c r="BQ132" s="262"/>
      <c r="BR132" s="229"/>
      <c r="BS132" s="229"/>
      <c r="BT132" s="229"/>
      <c r="BU132" s="229"/>
    </row>
    <row r="133" spans="1:73" ht="12.75">
      <c r="A133" s="211"/>
      <c r="B133" s="70"/>
      <c r="C133" s="231"/>
      <c r="D133" s="211"/>
      <c r="E133" s="211"/>
      <c r="F133" s="296"/>
      <c r="G133" s="296"/>
      <c r="H133" s="296"/>
      <c r="I133" s="170"/>
      <c r="J133" s="170"/>
      <c r="K133" s="171"/>
      <c r="L133" s="296"/>
      <c r="M133" s="211"/>
      <c r="N133" s="161"/>
      <c r="O133" s="161"/>
      <c r="P133" s="161"/>
      <c r="Q133" s="161"/>
      <c r="R133" s="161"/>
      <c r="S133" s="101"/>
      <c r="T133" s="161"/>
      <c r="U133" s="175"/>
      <c r="V133" s="95"/>
      <c r="W133" s="95"/>
      <c r="X133" s="95"/>
      <c r="Y133" s="95"/>
      <c r="Z133" s="96"/>
      <c r="AA133" s="88"/>
      <c r="AB133" s="155"/>
      <c r="AC133" s="296"/>
      <c r="AD133" s="211"/>
      <c r="AE133" s="260"/>
      <c r="AF133" s="294"/>
      <c r="AG133" s="172"/>
      <c r="AH133" s="172"/>
      <c r="AI133" s="110"/>
      <c r="AJ133" s="111"/>
      <c r="AK133" s="229"/>
      <c r="AL133" s="211"/>
      <c r="AM133" s="217"/>
      <c r="AN133" s="297"/>
      <c r="AO133" s="260"/>
      <c r="AP133" s="146"/>
      <c r="AQ133" s="147"/>
      <c r="AR133" s="70"/>
      <c r="AS133" s="70"/>
      <c r="AT133" s="95"/>
      <c r="AU133" s="95"/>
      <c r="AV133" s="95"/>
      <c r="AW133" s="70"/>
      <c r="AX133" s="298"/>
      <c r="AY133" s="297"/>
      <c r="AZ133" s="211"/>
      <c r="BA133" s="294"/>
      <c r="BB133" s="70"/>
      <c r="BC133" s="141"/>
      <c r="BD133" s="211"/>
      <c r="BE133" s="257"/>
      <c r="BF133" s="70"/>
      <c r="BG133" s="261"/>
      <c r="BH133" s="211"/>
      <c r="BI133" s="211"/>
      <c r="BJ133" s="211"/>
      <c r="BK133" s="211"/>
      <c r="BL133" s="161"/>
      <c r="BM133" s="70"/>
      <c r="BN133" s="211"/>
      <c r="BO133" s="211"/>
      <c r="BP133" s="211"/>
      <c r="BQ133" s="262"/>
      <c r="BR133" s="229"/>
      <c r="BS133" s="229"/>
      <c r="BT133" s="229"/>
      <c r="BU133" s="229"/>
    </row>
    <row r="134" spans="1:73" ht="12.75">
      <c r="A134" s="211"/>
      <c r="B134" s="70"/>
      <c r="C134" s="231"/>
      <c r="D134" s="211"/>
      <c r="E134" s="211"/>
      <c r="F134" s="296"/>
      <c r="G134" s="296"/>
      <c r="H134" s="296"/>
      <c r="I134" s="170"/>
      <c r="J134" s="170"/>
      <c r="K134" s="171"/>
      <c r="L134" s="296"/>
      <c r="M134" s="211"/>
      <c r="N134" s="161"/>
      <c r="O134" s="161"/>
      <c r="P134" s="161"/>
      <c r="Q134" s="161"/>
      <c r="R134" s="161"/>
      <c r="S134" s="101"/>
      <c r="T134" s="161"/>
      <c r="U134" s="175"/>
      <c r="V134" s="95"/>
      <c r="W134" s="95"/>
      <c r="X134" s="95"/>
      <c r="Y134" s="95"/>
      <c r="Z134" s="96"/>
      <c r="AA134" s="88"/>
      <c r="AB134" s="155"/>
      <c r="AC134" s="296"/>
      <c r="AD134" s="211"/>
      <c r="AE134" s="260"/>
      <c r="AF134" s="294"/>
      <c r="AG134" s="172"/>
      <c r="AH134" s="172"/>
      <c r="AI134" s="110"/>
      <c r="AJ134" s="111"/>
      <c r="AK134" s="229"/>
      <c r="AL134" s="211"/>
      <c r="AM134" s="217"/>
      <c r="AN134" s="297"/>
      <c r="AO134" s="260"/>
      <c r="AP134" s="146"/>
      <c r="AQ134" s="147"/>
      <c r="AR134" s="70"/>
      <c r="AS134" s="70"/>
      <c r="AT134" s="95"/>
      <c r="AU134" s="95"/>
      <c r="AV134" s="95"/>
      <c r="AW134" s="70"/>
      <c r="AX134" s="298"/>
      <c r="AY134" s="297"/>
      <c r="AZ134" s="211"/>
      <c r="BA134" s="294"/>
      <c r="BB134" s="70"/>
      <c r="BC134" s="141"/>
      <c r="BD134" s="211"/>
      <c r="BE134" s="257"/>
      <c r="BF134" s="70"/>
      <c r="BG134" s="261"/>
      <c r="BH134" s="211"/>
      <c r="BI134" s="211"/>
      <c r="BJ134" s="211"/>
      <c r="BK134" s="211"/>
      <c r="BL134" s="161"/>
      <c r="BM134" s="70"/>
      <c r="BN134" s="211"/>
      <c r="BO134" s="211"/>
      <c r="BP134" s="211"/>
      <c r="BQ134" s="262"/>
      <c r="BR134" s="229"/>
      <c r="BS134" s="229"/>
      <c r="BT134" s="229"/>
      <c r="BU134" s="229"/>
    </row>
    <row r="135" spans="1:73" ht="12.75">
      <c r="A135" s="211"/>
      <c r="B135" s="70"/>
      <c r="C135" s="231"/>
      <c r="D135" s="211"/>
      <c r="E135" s="211"/>
      <c r="F135" s="296"/>
      <c r="G135" s="296"/>
      <c r="H135" s="296"/>
      <c r="I135" s="170"/>
      <c r="J135" s="170"/>
      <c r="K135" s="171"/>
      <c r="L135" s="296"/>
      <c r="M135" s="211"/>
      <c r="N135" s="161"/>
      <c r="O135" s="161"/>
      <c r="P135" s="161"/>
      <c r="Q135" s="161"/>
      <c r="R135" s="161"/>
      <c r="S135" s="101"/>
      <c r="T135" s="161"/>
      <c r="U135" s="175"/>
      <c r="V135" s="95"/>
      <c r="W135" s="95"/>
      <c r="X135" s="95"/>
      <c r="Y135" s="95"/>
      <c r="Z135" s="96"/>
      <c r="AA135" s="88"/>
      <c r="AB135" s="155"/>
      <c r="AC135" s="296"/>
      <c r="AD135" s="211"/>
      <c r="AE135" s="260"/>
      <c r="AF135" s="294"/>
      <c r="AG135" s="172"/>
      <c r="AH135" s="172"/>
      <c r="AI135" s="110"/>
      <c r="AJ135" s="111"/>
      <c r="AK135" s="229"/>
      <c r="AL135" s="211"/>
      <c r="AM135" s="217"/>
      <c r="AN135" s="297"/>
      <c r="AO135" s="260"/>
      <c r="AP135" s="146"/>
      <c r="AQ135" s="147"/>
      <c r="AR135" s="70"/>
      <c r="AS135" s="70"/>
      <c r="AT135" s="95"/>
      <c r="AU135" s="95"/>
      <c r="AV135" s="95"/>
      <c r="AW135" s="70"/>
      <c r="AX135" s="298"/>
      <c r="AY135" s="297"/>
      <c r="AZ135" s="211"/>
      <c r="BA135" s="294"/>
      <c r="BB135" s="70"/>
      <c r="BC135" s="141"/>
      <c r="BD135" s="211"/>
      <c r="BE135" s="257"/>
      <c r="BF135" s="70"/>
      <c r="BG135" s="261"/>
      <c r="BH135" s="211"/>
      <c r="BI135" s="211"/>
      <c r="BJ135" s="211"/>
      <c r="BK135" s="211"/>
      <c r="BL135" s="161"/>
      <c r="BM135" s="70"/>
      <c r="BN135" s="211"/>
      <c r="BO135" s="211"/>
      <c r="BP135" s="211"/>
      <c r="BQ135" s="262"/>
      <c r="BR135" s="229"/>
      <c r="BS135" s="229"/>
      <c r="BT135" s="229"/>
      <c r="BU135" s="229"/>
    </row>
    <row r="136" spans="1:73" ht="12.75">
      <c r="A136" s="211"/>
      <c r="B136" s="70"/>
      <c r="C136" s="231"/>
      <c r="D136" s="211"/>
      <c r="E136" s="211"/>
      <c r="F136" s="296"/>
      <c r="G136" s="296"/>
      <c r="H136" s="296"/>
      <c r="I136" s="170"/>
      <c r="J136" s="170"/>
      <c r="K136" s="171"/>
      <c r="L136" s="296"/>
      <c r="M136" s="211"/>
      <c r="N136" s="161"/>
      <c r="O136" s="161"/>
      <c r="P136" s="161"/>
      <c r="Q136" s="161"/>
      <c r="R136" s="161"/>
      <c r="S136" s="101"/>
      <c r="T136" s="161"/>
      <c r="U136" s="175"/>
      <c r="V136" s="95"/>
      <c r="W136" s="95"/>
      <c r="X136" s="95"/>
      <c r="Y136" s="95"/>
      <c r="Z136" s="96"/>
      <c r="AA136" s="88"/>
      <c r="AB136" s="155"/>
      <c r="AC136" s="296"/>
      <c r="AD136" s="211"/>
      <c r="AE136" s="260"/>
      <c r="AF136" s="294"/>
      <c r="AG136" s="172"/>
      <c r="AH136" s="172"/>
      <c r="AI136" s="110"/>
      <c r="AJ136" s="111"/>
      <c r="AK136" s="229"/>
      <c r="AL136" s="211"/>
      <c r="AM136" s="217"/>
      <c r="AN136" s="297"/>
      <c r="AO136" s="260"/>
      <c r="AP136" s="146"/>
      <c r="AQ136" s="147"/>
      <c r="AR136" s="70"/>
      <c r="AS136" s="70"/>
      <c r="AT136" s="95"/>
      <c r="AU136" s="95"/>
      <c r="AV136" s="95"/>
      <c r="AW136" s="70"/>
      <c r="AX136" s="298"/>
      <c r="AY136" s="297"/>
      <c r="AZ136" s="211"/>
      <c r="BA136" s="294"/>
      <c r="BB136" s="70"/>
      <c r="BC136" s="141"/>
      <c r="BD136" s="211"/>
      <c r="BE136" s="257"/>
      <c r="BF136" s="70"/>
      <c r="BG136" s="261"/>
      <c r="BH136" s="211"/>
      <c r="BI136" s="211"/>
      <c r="BJ136" s="211"/>
      <c r="BK136" s="211"/>
      <c r="BL136" s="161"/>
      <c r="BM136" s="70"/>
      <c r="BN136" s="211"/>
      <c r="BO136" s="211"/>
      <c r="BP136" s="211"/>
      <c r="BQ136" s="262"/>
      <c r="BR136" s="229"/>
      <c r="BS136" s="229"/>
      <c r="BT136" s="229"/>
      <c r="BU136" s="229"/>
    </row>
    <row r="137" spans="1:73" ht="12.75">
      <c r="A137" s="211"/>
      <c r="B137" s="70"/>
      <c r="C137" s="231"/>
      <c r="D137" s="211"/>
      <c r="E137" s="211"/>
      <c r="F137" s="296"/>
      <c r="G137" s="296"/>
      <c r="H137" s="296"/>
      <c r="I137" s="170"/>
      <c r="J137" s="170"/>
      <c r="K137" s="171"/>
      <c r="L137" s="296"/>
      <c r="M137" s="211"/>
      <c r="N137" s="161"/>
      <c r="O137" s="161"/>
      <c r="P137" s="161"/>
      <c r="Q137" s="161"/>
      <c r="R137" s="161"/>
      <c r="S137" s="101"/>
      <c r="T137" s="161"/>
      <c r="U137" s="175"/>
      <c r="V137" s="95"/>
      <c r="W137" s="95"/>
      <c r="X137" s="95"/>
      <c r="Y137" s="95"/>
      <c r="Z137" s="96"/>
      <c r="AA137" s="88"/>
      <c r="AB137" s="155"/>
      <c r="AC137" s="296"/>
      <c r="AD137" s="211"/>
      <c r="AE137" s="260"/>
      <c r="AF137" s="294"/>
      <c r="AG137" s="172"/>
      <c r="AH137" s="172"/>
      <c r="AI137" s="110"/>
      <c r="AJ137" s="111"/>
      <c r="AK137" s="229"/>
      <c r="AL137" s="211"/>
      <c r="AM137" s="217"/>
      <c r="AN137" s="297"/>
      <c r="AO137" s="260"/>
      <c r="AP137" s="146"/>
      <c r="AQ137" s="147"/>
      <c r="AR137" s="70"/>
      <c r="AS137" s="70"/>
      <c r="AT137" s="95"/>
      <c r="AU137" s="95"/>
      <c r="AV137" s="95"/>
      <c r="AW137" s="70"/>
      <c r="AX137" s="298"/>
      <c r="AY137" s="297"/>
      <c r="AZ137" s="211"/>
      <c r="BA137" s="294"/>
      <c r="BB137" s="70"/>
      <c r="BC137" s="141"/>
      <c r="BD137" s="211"/>
      <c r="BE137" s="257"/>
      <c r="BF137" s="70"/>
      <c r="BG137" s="261"/>
      <c r="BH137" s="211"/>
      <c r="BI137" s="211"/>
      <c r="BJ137" s="211"/>
      <c r="BK137" s="211"/>
      <c r="BL137" s="161"/>
      <c r="BM137" s="70"/>
      <c r="BN137" s="211"/>
      <c r="BO137" s="211"/>
      <c r="BP137" s="211"/>
      <c r="BQ137" s="262"/>
      <c r="BR137" s="229"/>
      <c r="BS137" s="229"/>
      <c r="BT137" s="229"/>
      <c r="BU137" s="229"/>
    </row>
    <row r="138" spans="1:73" ht="12.75">
      <c r="A138" s="211"/>
      <c r="B138" s="70"/>
      <c r="C138" s="231"/>
      <c r="D138" s="211"/>
      <c r="E138" s="211"/>
      <c r="F138" s="296"/>
      <c r="G138" s="296"/>
      <c r="H138" s="296"/>
      <c r="I138" s="170"/>
      <c r="J138" s="170"/>
      <c r="K138" s="171"/>
      <c r="L138" s="296"/>
      <c r="M138" s="211"/>
      <c r="N138" s="161"/>
      <c r="O138" s="161"/>
      <c r="P138" s="161"/>
      <c r="Q138" s="161"/>
      <c r="R138" s="161"/>
      <c r="S138" s="101"/>
      <c r="T138" s="161"/>
      <c r="U138" s="175"/>
      <c r="V138" s="95"/>
      <c r="W138" s="95"/>
      <c r="X138" s="95"/>
      <c r="Y138" s="95"/>
      <c r="Z138" s="96"/>
      <c r="AA138" s="88"/>
      <c r="AB138" s="155"/>
      <c r="AC138" s="296"/>
      <c r="AD138" s="211"/>
      <c r="AE138" s="260"/>
      <c r="AF138" s="294"/>
      <c r="AG138" s="172"/>
      <c r="AH138" s="172"/>
      <c r="AI138" s="110"/>
      <c r="AJ138" s="111"/>
      <c r="AK138" s="229"/>
      <c r="AL138" s="211"/>
      <c r="AM138" s="217"/>
      <c r="AN138" s="297"/>
      <c r="AO138" s="260"/>
      <c r="AP138" s="146"/>
      <c r="AQ138" s="147"/>
      <c r="AR138" s="70"/>
      <c r="AS138" s="70"/>
      <c r="AT138" s="95"/>
      <c r="AU138" s="95"/>
      <c r="AV138" s="95"/>
      <c r="AW138" s="70"/>
      <c r="AX138" s="298"/>
      <c r="AY138" s="297"/>
      <c r="AZ138" s="211"/>
      <c r="BA138" s="294"/>
      <c r="BB138" s="70"/>
      <c r="BC138" s="141"/>
      <c r="BD138" s="211"/>
      <c r="BE138" s="257"/>
      <c r="BF138" s="70"/>
      <c r="BG138" s="261"/>
      <c r="BH138" s="211"/>
      <c r="BI138" s="211"/>
      <c r="BJ138" s="211"/>
      <c r="BK138" s="211"/>
      <c r="BL138" s="161"/>
      <c r="BM138" s="70"/>
      <c r="BN138" s="211"/>
      <c r="BO138" s="211"/>
      <c r="BP138" s="211"/>
      <c r="BQ138" s="262"/>
      <c r="BR138" s="229"/>
      <c r="BS138" s="229"/>
      <c r="BT138" s="229"/>
      <c r="BU138" s="229"/>
    </row>
    <row r="139" spans="1:73" ht="12.75">
      <c r="A139" s="211"/>
      <c r="B139" s="70"/>
      <c r="C139" s="231"/>
      <c r="D139" s="211"/>
      <c r="E139" s="211"/>
      <c r="F139" s="296"/>
      <c r="G139" s="296"/>
      <c r="H139" s="296"/>
      <c r="I139" s="170"/>
      <c r="J139" s="170"/>
      <c r="K139" s="171"/>
      <c r="L139" s="296"/>
      <c r="M139" s="211"/>
      <c r="N139" s="161"/>
      <c r="O139" s="161"/>
      <c r="P139" s="161"/>
      <c r="Q139" s="161"/>
      <c r="R139" s="161"/>
      <c r="S139" s="101"/>
      <c r="T139" s="161"/>
      <c r="U139" s="175"/>
      <c r="V139" s="95"/>
      <c r="W139" s="95"/>
      <c r="X139" s="95"/>
      <c r="Y139" s="95"/>
      <c r="Z139" s="96"/>
      <c r="AA139" s="88"/>
      <c r="AB139" s="155"/>
      <c r="AC139" s="296"/>
      <c r="AD139" s="211"/>
      <c r="AE139" s="260"/>
      <c r="AF139" s="294"/>
      <c r="AG139" s="172"/>
      <c r="AH139" s="172"/>
      <c r="AI139" s="110"/>
      <c r="AJ139" s="111"/>
      <c r="AK139" s="229"/>
      <c r="AL139" s="211"/>
      <c r="AM139" s="217"/>
      <c r="AN139" s="297"/>
      <c r="AO139" s="260"/>
      <c r="AP139" s="146"/>
      <c r="AQ139" s="147"/>
      <c r="AR139" s="70"/>
      <c r="AS139" s="70"/>
      <c r="AT139" s="95"/>
      <c r="AU139" s="95"/>
      <c r="AV139" s="95"/>
      <c r="AW139" s="70"/>
      <c r="AX139" s="298"/>
      <c r="AY139" s="297"/>
      <c r="AZ139" s="211"/>
      <c r="BA139" s="294"/>
      <c r="BB139" s="70"/>
      <c r="BC139" s="141"/>
      <c r="BD139" s="211"/>
      <c r="BE139" s="257"/>
      <c r="BF139" s="70"/>
      <c r="BG139" s="261"/>
      <c r="BH139" s="211"/>
      <c r="BI139" s="211"/>
      <c r="BJ139" s="211"/>
      <c r="BK139" s="211"/>
      <c r="BL139" s="161"/>
      <c r="BM139" s="70"/>
      <c r="BN139" s="211"/>
      <c r="BO139" s="211"/>
      <c r="BP139" s="211"/>
      <c r="BQ139" s="262"/>
      <c r="BR139" s="229"/>
      <c r="BS139" s="229"/>
      <c r="BT139" s="229"/>
      <c r="BU139" s="229"/>
    </row>
    <row r="140" spans="1:73" ht="12.75">
      <c r="A140" s="211"/>
      <c r="B140" s="70"/>
      <c r="C140" s="231"/>
      <c r="D140" s="211"/>
      <c r="E140" s="211"/>
      <c r="F140" s="296"/>
      <c r="G140" s="296"/>
      <c r="H140" s="296"/>
      <c r="I140" s="170"/>
      <c r="J140" s="170"/>
      <c r="K140" s="171"/>
      <c r="L140" s="296"/>
      <c r="M140" s="211"/>
      <c r="N140" s="161"/>
      <c r="O140" s="161"/>
      <c r="P140" s="161"/>
      <c r="Q140" s="161"/>
      <c r="R140" s="161"/>
      <c r="S140" s="101"/>
      <c r="T140" s="161"/>
      <c r="U140" s="175"/>
      <c r="V140" s="95"/>
      <c r="W140" s="95"/>
      <c r="X140" s="95"/>
      <c r="Y140" s="95"/>
      <c r="Z140" s="96"/>
      <c r="AA140" s="88"/>
      <c r="AB140" s="155"/>
      <c r="AC140" s="296"/>
      <c r="AD140" s="211"/>
      <c r="AE140" s="260"/>
      <c r="AF140" s="294"/>
      <c r="AG140" s="172"/>
      <c r="AH140" s="172"/>
      <c r="AI140" s="110"/>
      <c r="AJ140" s="111"/>
      <c r="AK140" s="229"/>
      <c r="AL140" s="211"/>
      <c r="AM140" s="217"/>
      <c r="AN140" s="297"/>
      <c r="AO140" s="260"/>
      <c r="AP140" s="146"/>
      <c r="AQ140" s="147"/>
      <c r="AR140" s="70"/>
      <c r="AS140" s="70"/>
      <c r="AT140" s="95"/>
      <c r="AU140" s="95"/>
      <c r="AV140" s="95"/>
      <c r="AW140" s="70"/>
      <c r="AX140" s="298"/>
      <c r="AY140" s="297"/>
      <c r="AZ140" s="211"/>
      <c r="BA140" s="294"/>
      <c r="BB140" s="70"/>
      <c r="BC140" s="141"/>
      <c r="BD140" s="211"/>
      <c r="BE140" s="257"/>
      <c r="BF140" s="70"/>
      <c r="BG140" s="261"/>
      <c r="BH140" s="211"/>
      <c r="BI140" s="211"/>
      <c r="BJ140" s="211"/>
      <c r="BK140" s="211"/>
      <c r="BL140" s="161"/>
      <c r="BM140" s="70"/>
      <c r="BN140" s="211"/>
      <c r="BO140" s="211"/>
      <c r="BP140" s="211"/>
      <c r="BQ140" s="262"/>
      <c r="BR140" s="229"/>
      <c r="BS140" s="229"/>
      <c r="BT140" s="229"/>
      <c r="BU140" s="229"/>
    </row>
    <row r="141" spans="1:73" ht="12.75">
      <c r="A141" s="211"/>
      <c r="B141" s="70"/>
      <c r="C141" s="231"/>
      <c r="D141" s="211"/>
      <c r="E141" s="211"/>
      <c r="F141" s="296"/>
      <c r="G141" s="296"/>
      <c r="H141" s="296"/>
      <c r="I141" s="170"/>
      <c r="J141" s="170"/>
      <c r="K141" s="171"/>
      <c r="L141" s="296"/>
      <c r="M141" s="211"/>
      <c r="N141" s="161"/>
      <c r="O141" s="161"/>
      <c r="P141" s="161"/>
      <c r="Q141" s="161"/>
      <c r="R141" s="161"/>
      <c r="S141" s="101"/>
      <c r="T141" s="161"/>
      <c r="U141" s="175"/>
      <c r="V141" s="95"/>
      <c r="W141" s="95"/>
      <c r="X141" s="95"/>
      <c r="Y141" s="95"/>
      <c r="Z141" s="96"/>
      <c r="AA141" s="88"/>
      <c r="AB141" s="155"/>
      <c r="AC141" s="296"/>
      <c r="AD141" s="211"/>
      <c r="AE141" s="260"/>
      <c r="AF141" s="294"/>
      <c r="AG141" s="172"/>
      <c r="AH141" s="172"/>
      <c r="AI141" s="110"/>
      <c r="AJ141" s="111"/>
      <c r="AK141" s="229"/>
      <c r="AL141" s="211"/>
      <c r="AM141" s="217"/>
      <c r="AN141" s="297"/>
      <c r="AO141" s="260"/>
      <c r="AP141" s="146"/>
      <c r="AQ141" s="147"/>
      <c r="AR141" s="70"/>
      <c r="AS141" s="70"/>
      <c r="AT141" s="95"/>
      <c r="AU141" s="95"/>
      <c r="AV141" s="95"/>
      <c r="AW141" s="70"/>
      <c r="AX141" s="298"/>
      <c r="AY141" s="297"/>
      <c r="AZ141" s="211"/>
      <c r="BA141" s="294"/>
      <c r="BB141" s="70"/>
      <c r="BC141" s="141"/>
      <c r="BD141" s="211"/>
      <c r="BE141" s="257"/>
      <c r="BF141" s="70"/>
      <c r="BG141" s="261"/>
      <c r="BH141" s="211"/>
      <c r="BI141" s="211"/>
      <c r="BJ141" s="211"/>
      <c r="BK141" s="211"/>
      <c r="BL141" s="161"/>
      <c r="BM141" s="70"/>
      <c r="BN141" s="211"/>
      <c r="BO141" s="211"/>
      <c r="BP141" s="211"/>
      <c r="BQ141" s="262"/>
      <c r="BR141" s="229"/>
      <c r="BS141" s="229"/>
      <c r="BT141" s="229"/>
      <c r="BU141" s="229"/>
    </row>
    <row r="142" spans="1:73" ht="12.75">
      <c r="A142" s="211"/>
      <c r="B142" s="70"/>
      <c r="C142" s="231"/>
      <c r="D142" s="211"/>
      <c r="E142" s="211"/>
      <c r="F142" s="296"/>
      <c r="G142" s="296"/>
      <c r="H142" s="296"/>
      <c r="I142" s="170"/>
      <c r="J142" s="170"/>
      <c r="K142" s="171"/>
      <c r="L142" s="296"/>
      <c r="M142" s="211"/>
      <c r="N142" s="161"/>
      <c r="O142" s="161"/>
      <c r="P142" s="161"/>
      <c r="Q142" s="161"/>
      <c r="R142" s="161"/>
      <c r="S142" s="101"/>
      <c r="T142" s="161"/>
      <c r="U142" s="175"/>
      <c r="V142" s="95"/>
      <c r="W142" s="95"/>
      <c r="X142" s="95"/>
      <c r="Y142" s="95"/>
      <c r="Z142" s="96"/>
      <c r="AA142" s="88"/>
      <c r="AB142" s="155"/>
      <c r="AC142" s="296"/>
      <c r="AD142" s="211"/>
      <c r="AE142" s="260"/>
      <c r="AF142" s="294"/>
      <c r="AG142" s="172"/>
      <c r="AH142" s="172"/>
      <c r="AI142" s="110"/>
      <c r="AJ142" s="111"/>
      <c r="AK142" s="229"/>
      <c r="AL142" s="211"/>
      <c r="AM142" s="217"/>
      <c r="AN142" s="297"/>
      <c r="AO142" s="260"/>
      <c r="AP142" s="146"/>
      <c r="AQ142" s="147"/>
      <c r="AR142" s="70"/>
      <c r="AS142" s="70"/>
      <c r="AT142" s="95"/>
      <c r="AU142" s="95"/>
      <c r="AV142" s="95"/>
      <c r="AW142" s="70"/>
      <c r="AX142" s="298"/>
      <c r="AY142" s="297"/>
      <c r="AZ142" s="211"/>
      <c r="BA142" s="294"/>
      <c r="BB142" s="70"/>
      <c r="BC142" s="141"/>
      <c r="BD142" s="211"/>
      <c r="BE142" s="257"/>
      <c r="BF142" s="70"/>
      <c r="BG142" s="261"/>
      <c r="BH142" s="211"/>
      <c r="BI142" s="211"/>
      <c r="BJ142" s="211"/>
      <c r="BK142" s="211"/>
      <c r="BL142" s="161"/>
      <c r="BM142" s="70"/>
      <c r="BN142" s="211"/>
      <c r="BO142" s="211"/>
      <c r="BP142" s="211"/>
      <c r="BQ142" s="262"/>
      <c r="BR142" s="229"/>
      <c r="BS142" s="229"/>
      <c r="BT142" s="229"/>
      <c r="BU142" s="229"/>
    </row>
    <row r="143" spans="1:73" ht="12.75">
      <c r="A143" s="211"/>
      <c r="B143" s="70"/>
      <c r="C143" s="231"/>
      <c r="D143" s="211"/>
      <c r="E143" s="211"/>
      <c r="F143" s="296"/>
      <c r="G143" s="296"/>
      <c r="H143" s="296"/>
      <c r="I143" s="170"/>
      <c r="J143" s="170"/>
      <c r="K143" s="171"/>
      <c r="L143" s="296"/>
      <c r="M143" s="211"/>
      <c r="N143" s="161"/>
      <c r="O143" s="161"/>
      <c r="P143" s="161"/>
      <c r="Q143" s="161"/>
      <c r="R143" s="161"/>
      <c r="S143" s="101"/>
      <c r="T143" s="161"/>
      <c r="U143" s="175"/>
      <c r="V143" s="95"/>
      <c r="W143" s="95"/>
      <c r="X143" s="95"/>
      <c r="Y143" s="95"/>
      <c r="Z143" s="96"/>
      <c r="AA143" s="88"/>
      <c r="AB143" s="155"/>
      <c r="AC143" s="296"/>
      <c r="AD143" s="211"/>
      <c r="AE143" s="260"/>
      <c r="AF143" s="294"/>
      <c r="AG143" s="172"/>
      <c r="AH143" s="172"/>
      <c r="AI143" s="110"/>
      <c r="AJ143" s="111"/>
      <c r="AK143" s="229"/>
      <c r="AL143" s="211"/>
      <c r="AM143" s="217"/>
      <c r="AN143" s="297"/>
      <c r="AO143" s="260"/>
      <c r="AP143" s="146"/>
      <c r="AQ143" s="147"/>
      <c r="AR143" s="70"/>
      <c r="AS143" s="70"/>
      <c r="AT143" s="95"/>
      <c r="AU143" s="95"/>
      <c r="AV143" s="95"/>
      <c r="AW143" s="70"/>
      <c r="AX143" s="298"/>
      <c r="AY143" s="297"/>
      <c r="AZ143" s="211"/>
      <c r="BA143" s="294"/>
      <c r="BB143" s="70"/>
      <c r="BC143" s="141"/>
      <c r="BD143" s="211"/>
      <c r="BE143" s="257"/>
      <c r="BF143" s="70"/>
      <c r="BG143" s="261"/>
      <c r="BH143" s="211"/>
      <c r="BI143" s="211"/>
      <c r="BJ143" s="211"/>
      <c r="BK143" s="211"/>
      <c r="BL143" s="161"/>
      <c r="BM143" s="70"/>
      <c r="BN143" s="211"/>
      <c r="BO143" s="211"/>
      <c r="BP143" s="211"/>
      <c r="BQ143" s="262"/>
      <c r="BR143" s="229"/>
      <c r="BS143" s="229"/>
      <c r="BT143" s="229"/>
      <c r="BU143" s="229"/>
    </row>
    <row r="144" spans="1:73" ht="12.75">
      <c r="A144" s="211"/>
      <c r="B144" s="70"/>
      <c r="C144" s="231"/>
      <c r="D144" s="211"/>
      <c r="E144" s="211"/>
      <c r="F144" s="296"/>
      <c r="G144" s="296"/>
      <c r="H144" s="296"/>
      <c r="I144" s="170"/>
      <c r="J144" s="170"/>
      <c r="K144" s="171"/>
      <c r="L144" s="296"/>
      <c r="M144" s="211"/>
      <c r="N144" s="161"/>
      <c r="O144" s="161"/>
      <c r="P144" s="161"/>
      <c r="Q144" s="161"/>
      <c r="R144" s="161"/>
      <c r="S144" s="101"/>
      <c r="T144" s="161"/>
      <c r="U144" s="175"/>
      <c r="V144" s="95"/>
      <c r="W144" s="95"/>
      <c r="X144" s="95"/>
      <c r="Y144" s="95"/>
      <c r="Z144" s="96"/>
      <c r="AA144" s="88"/>
      <c r="AB144" s="155"/>
      <c r="AC144" s="296"/>
      <c r="AD144" s="211"/>
      <c r="AE144" s="260"/>
      <c r="AF144" s="294"/>
      <c r="AG144" s="172"/>
      <c r="AH144" s="172"/>
      <c r="AI144" s="110"/>
      <c r="AJ144" s="111"/>
      <c r="AK144" s="229"/>
      <c r="AL144" s="211"/>
      <c r="AM144" s="217"/>
      <c r="AN144" s="297"/>
      <c r="AO144" s="260"/>
      <c r="AP144" s="146"/>
      <c r="AQ144" s="147"/>
      <c r="AR144" s="70"/>
      <c r="AS144" s="70"/>
      <c r="AT144" s="95"/>
      <c r="AU144" s="95"/>
      <c r="AV144" s="95"/>
      <c r="AW144" s="70"/>
      <c r="AX144" s="298"/>
      <c r="AY144" s="297"/>
      <c r="AZ144" s="211"/>
      <c r="BA144" s="294"/>
      <c r="BB144" s="70"/>
      <c r="BC144" s="141"/>
      <c r="BD144" s="211"/>
      <c r="BE144" s="257"/>
      <c r="BF144" s="70"/>
      <c r="BG144" s="261"/>
      <c r="BH144" s="211"/>
      <c r="BI144" s="211"/>
      <c r="BJ144" s="211"/>
      <c r="BK144" s="211"/>
      <c r="BL144" s="161"/>
      <c r="BM144" s="70"/>
      <c r="BN144" s="211"/>
      <c r="BO144" s="211"/>
      <c r="BP144" s="211"/>
      <c r="BQ144" s="262"/>
      <c r="BR144" s="229"/>
      <c r="BS144" s="229"/>
      <c r="BT144" s="229"/>
      <c r="BU144" s="229"/>
    </row>
    <row r="145" spans="1:73" ht="12.75">
      <c r="A145" s="211"/>
      <c r="B145" s="70"/>
      <c r="C145" s="231"/>
      <c r="D145" s="211"/>
      <c r="E145" s="211"/>
      <c r="F145" s="296"/>
      <c r="G145" s="296"/>
      <c r="H145" s="296"/>
      <c r="I145" s="170"/>
      <c r="J145" s="170"/>
      <c r="K145" s="171"/>
      <c r="L145" s="296"/>
      <c r="M145" s="211"/>
      <c r="N145" s="161"/>
      <c r="O145" s="161"/>
      <c r="P145" s="161"/>
      <c r="Q145" s="161"/>
      <c r="R145" s="161"/>
      <c r="S145" s="101"/>
      <c r="T145" s="161"/>
      <c r="U145" s="175"/>
      <c r="V145" s="95"/>
      <c r="W145" s="95"/>
      <c r="X145" s="95"/>
      <c r="Y145" s="95"/>
      <c r="Z145" s="96"/>
      <c r="AA145" s="88"/>
      <c r="AB145" s="155"/>
      <c r="AC145" s="296"/>
      <c r="AD145" s="211"/>
      <c r="AE145" s="260"/>
      <c r="AF145" s="294"/>
      <c r="AG145" s="172"/>
      <c r="AH145" s="172"/>
      <c r="AI145" s="110"/>
      <c r="AJ145" s="111"/>
      <c r="AK145" s="229"/>
      <c r="AL145" s="211"/>
      <c r="AM145" s="217"/>
      <c r="AN145" s="297"/>
      <c r="AO145" s="260"/>
      <c r="AP145" s="146"/>
      <c r="AQ145" s="147"/>
      <c r="AR145" s="70"/>
      <c r="AS145" s="70"/>
      <c r="AT145" s="95"/>
      <c r="AU145" s="95"/>
      <c r="AV145" s="95"/>
      <c r="AW145" s="70"/>
      <c r="AX145" s="298"/>
      <c r="AY145" s="297"/>
      <c r="AZ145" s="211"/>
      <c r="BA145" s="294"/>
      <c r="BB145" s="70"/>
      <c r="BC145" s="141"/>
      <c r="BD145" s="211"/>
      <c r="BE145" s="257"/>
      <c r="BF145" s="70"/>
      <c r="BG145" s="261"/>
      <c r="BH145" s="211"/>
      <c r="BI145" s="211"/>
      <c r="BJ145" s="211"/>
      <c r="BK145" s="211"/>
      <c r="BL145" s="161"/>
      <c r="BM145" s="70"/>
      <c r="BN145" s="211"/>
      <c r="BO145" s="211"/>
      <c r="BP145" s="211"/>
      <c r="BQ145" s="262"/>
      <c r="BR145" s="229"/>
      <c r="BS145" s="229"/>
      <c r="BT145" s="229"/>
      <c r="BU145" s="229"/>
    </row>
    <row r="146" spans="1:73" ht="12.75">
      <c r="A146" s="211"/>
      <c r="B146" s="70"/>
      <c r="C146" s="231"/>
      <c r="D146" s="211"/>
      <c r="E146" s="211"/>
      <c r="F146" s="296"/>
      <c r="G146" s="296"/>
      <c r="H146" s="296"/>
      <c r="I146" s="170"/>
      <c r="J146" s="170"/>
      <c r="K146" s="171"/>
      <c r="L146" s="296"/>
      <c r="M146" s="211"/>
      <c r="N146" s="161"/>
      <c r="O146" s="161"/>
      <c r="P146" s="161"/>
      <c r="Q146" s="161"/>
      <c r="R146" s="161"/>
      <c r="S146" s="101"/>
      <c r="T146" s="161"/>
      <c r="U146" s="175"/>
      <c r="V146" s="95"/>
      <c r="W146" s="95"/>
      <c r="X146" s="95"/>
      <c r="Y146" s="95"/>
      <c r="Z146" s="96"/>
      <c r="AA146" s="88"/>
      <c r="AB146" s="155"/>
      <c r="AC146" s="296"/>
      <c r="AD146" s="211"/>
      <c r="AE146" s="260"/>
      <c r="AF146" s="294"/>
      <c r="AG146" s="172"/>
      <c r="AH146" s="172"/>
      <c r="AI146" s="110"/>
      <c r="AJ146" s="111"/>
      <c r="AK146" s="229"/>
      <c r="AL146" s="211"/>
      <c r="AM146" s="217"/>
      <c r="AN146" s="297"/>
      <c r="AO146" s="260"/>
      <c r="AP146" s="146"/>
      <c r="AQ146" s="147"/>
      <c r="AR146" s="70"/>
      <c r="AS146" s="70"/>
      <c r="AT146" s="95"/>
      <c r="AU146" s="95"/>
      <c r="AV146" s="95"/>
      <c r="AW146" s="70"/>
      <c r="AX146" s="298"/>
      <c r="AY146" s="297"/>
      <c r="AZ146" s="211"/>
      <c r="BA146" s="294"/>
      <c r="BB146" s="70"/>
      <c r="BC146" s="141"/>
      <c r="BD146" s="211"/>
      <c r="BE146" s="257"/>
      <c r="BF146" s="70"/>
      <c r="BG146" s="261"/>
      <c r="BH146" s="211"/>
      <c r="BI146" s="211"/>
      <c r="BJ146" s="211"/>
      <c r="BK146" s="211"/>
      <c r="BL146" s="161"/>
      <c r="BM146" s="70"/>
      <c r="BN146" s="211"/>
      <c r="BO146" s="211"/>
      <c r="BP146" s="211"/>
      <c r="BQ146" s="262"/>
      <c r="BR146" s="229"/>
      <c r="BS146" s="229"/>
      <c r="BT146" s="229"/>
      <c r="BU146" s="229"/>
    </row>
    <row r="147" spans="1:73" ht="12.75">
      <c r="A147" s="211"/>
      <c r="B147" s="70"/>
      <c r="C147" s="231"/>
      <c r="D147" s="211"/>
      <c r="E147" s="211"/>
      <c r="F147" s="296"/>
      <c r="G147" s="296"/>
      <c r="H147" s="296"/>
      <c r="I147" s="170"/>
      <c r="J147" s="170"/>
      <c r="K147" s="171"/>
      <c r="L147" s="296"/>
      <c r="M147" s="211"/>
      <c r="N147" s="161"/>
      <c r="O147" s="161"/>
      <c r="P147" s="161"/>
      <c r="Q147" s="161"/>
      <c r="R147" s="161"/>
      <c r="S147" s="101"/>
      <c r="T147" s="161"/>
      <c r="U147" s="175"/>
      <c r="V147" s="95"/>
      <c r="W147" s="95"/>
      <c r="X147" s="95"/>
      <c r="Y147" s="95"/>
      <c r="Z147" s="96"/>
      <c r="AA147" s="88"/>
      <c r="AB147" s="155"/>
      <c r="AC147" s="296"/>
      <c r="AD147" s="211"/>
      <c r="AE147" s="260"/>
      <c r="AF147" s="294"/>
      <c r="AG147" s="172"/>
      <c r="AH147" s="172"/>
      <c r="AI147" s="110"/>
      <c r="AJ147" s="111"/>
      <c r="AK147" s="229"/>
      <c r="AL147" s="211"/>
      <c r="AM147" s="217"/>
      <c r="AN147" s="297"/>
      <c r="AO147" s="260"/>
      <c r="AP147" s="146"/>
      <c r="AQ147" s="147"/>
      <c r="AR147" s="70"/>
      <c r="AS147" s="70"/>
      <c r="AT147" s="95"/>
      <c r="AU147" s="95"/>
      <c r="AV147" s="95"/>
      <c r="AW147" s="70"/>
      <c r="AX147" s="298"/>
      <c r="AY147" s="297"/>
      <c r="AZ147" s="211"/>
      <c r="BA147" s="294"/>
      <c r="BB147" s="70"/>
      <c r="BC147" s="141"/>
      <c r="BD147" s="211"/>
      <c r="BE147" s="257"/>
      <c r="BF147" s="70"/>
      <c r="BG147" s="261"/>
      <c r="BH147" s="211"/>
      <c r="BI147" s="211"/>
      <c r="BJ147" s="211"/>
      <c r="BK147" s="211"/>
      <c r="BL147" s="161"/>
      <c r="BM147" s="70"/>
      <c r="BN147" s="211"/>
      <c r="BO147" s="211"/>
      <c r="BP147" s="211"/>
      <c r="BQ147" s="262"/>
      <c r="BR147" s="229"/>
      <c r="BS147" s="229"/>
      <c r="BT147" s="229"/>
      <c r="BU147" s="229"/>
    </row>
    <row r="148" spans="1:73" ht="12.75">
      <c r="A148" s="211"/>
      <c r="B148" s="70"/>
      <c r="C148" s="231"/>
      <c r="D148" s="211"/>
      <c r="E148" s="211"/>
      <c r="F148" s="296"/>
      <c r="G148" s="296"/>
      <c r="H148" s="296"/>
      <c r="I148" s="170"/>
      <c r="J148" s="170"/>
      <c r="K148" s="171"/>
      <c r="L148" s="296"/>
      <c r="M148" s="211"/>
      <c r="N148" s="161"/>
      <c r="O148" s="161"/>
      <c r="P148" s="161"/>
      <c r="Q148" s="161"/>
      <c r="R148" s="161"/>
      <c r="S148" s="101"/>
      <c r="T148" s="161"/>
      <c r="U148" s="175"/>
      <c r="V148" s="95"/>
      <c r="W148" s="95"/>
      <c r="X148" s="95"/>
      <c r="Y148" s="95"/>
      <c r="Z148" s="96"/>
      <c r="AA148" s="88"/>
      <c r="AB148" s="155"/>
      <c r="AC148" s="296"/>
      <c r="AD148" s="211"/>
      <c r="AE148" s="260"/>
      <c r="AF148" s="294"/>
      <c r="AG148" s="172"/>
      <c r="AH148" s="172"/>
      <c r="AI148" s="110"/>
      <c r="AJ148" s="111"/>
      <c r="AK148" s="229"/>
      <c r="AL148" s="211"/>
      <c r="AM148" s="217"/>
      <c r="AN148" s="297"/>
      <c r="AO148" s="260"/>
      <c r="AP148" s="146"/>
      <c r="AQ148" s="147"/>
      <c r="AR148" s="70"/>
      <c r="AS148" s="70"/>
      <c r="AT148" s="95"/>
      <c r="AU148" s="95"/>
      <c r="AV148" s="95"/>
      <c r="AW148" s="70"/>
      <c r="AX148" s="298"/>
      <c r="AY148" s="297"/>
      <c r="AZ148" s="211"/>
      <c r="BA148" s="294"/>
      <c r="BB148" s="70"/>
      <c r="BC148" s="141"/>
      <c r="BD148" s="211"/>
      <c r="BE148" s="257"/>
      <c r="BF148" s="70"/>
      <c r="BG148" s="261"/>
      <c r="BH148" s="211"/>
      <c r="BI148" s="211"/>
      <c r="BJ148" s="211"/>
      <c r="BK148" s="211"/>
      <c r="BL148" s="161"/>
      <c r="BM148" s="70"/>
      <c r="BN148" s="211"/>
      <c r="BO148" s="211"/>
      <c r="BP148" s="211"/>
      <c r="BQ148" s="262"/>
      <c r="BR148" s="229"/>
      <c r="BS148" s="229"/>
      <c r="BT148" s="229"/>
      <c r="BU148" s="229"/>
    </row>
    <row r="149" spans="1:73" ht="12.75">
      <c r="A149" s="211"/>
      <c r="B149" s="70"/>
      <c r="C149" s="231"/>
      <c r="D149" s="211"/>
      <c r="E149" s="211"/>
      <c r="F149" s="296"/>
      <c r="G149" s="296"/>
      <c r="H149" s="296"/>
      <c r="I149" s="170"/>
      <c r="J149" s="170"/>
      <c r="K149" s="171"/>
      <c r="L149" s="296"/>
      <c r="M149" s="211"/>
      <c r="N149" s="161"/>
      <c r="O149" s="161"/>
      <c r="P149" s="161"/>
      <c r="Q149" s="161"/>
      <c r="R149" s="161"/>
      <c r="S149" s="101"/>
      <c r="T149" s="161"/>
      <c r="U149" s="175"/>
      <c r="V149" s="95"/>
      <c r="W149" s="95"/>
      <c r="X149" s="95"/>
      <c r="Y149" s="95"/>
      <c r="Z149" s="96"/>
      <c r="AA149" s="88"/>
      <c r="AB149" s="155"/>
      <c r="AC149" s="296"/>
      <c r="AD149" s="211"/>
      <c r="AE149" s="260"/>
      <c r="AF149" s="294"/>
      <c r="AG149" s="172"/>
      <c r="AH149" s="172"/>
      <c r="AI149" s="110"/>
      <c r="AJ149" s="111"/>
      <c r="AK149" s="229"/>
      <c r="AL149" s="211"/>
      <c r="AM149" s="217"/>
      <c r="AN149" s="297"/>
      <c r="AO149" s="260"/>
      <c r="AP149" s="146"/>
      <c r="AQ149" s="147"/>
      <c r="AR149" s="70"/>
      <c r="AS149" s="70"/>
      <c r="AT149" s="95"/>
      <c r="AU149" s="95"/>
      <c r="AV149" s="95"/>
      <c r="AW149" s="70"/>
      <c r="AX149" s="298"/>
      <c r="AY149" s="297"/>
      <c r="AZ149" s="211"/>
      <c r="BA149" s="294"/>
      <c r="BB149" s="70"/>
      <c r="BC149" s="141"/>
      <c r="BD149" s="211"/>
      <c r="BE149" s="257"/>
      <c r="BF149" s="70"/>
      <c r="BG149" s="261"/>
      <c r="BH149" s="211"/>
      <c r="BI149" s="211"/>
      <c r="BJ149" s="211"/>
      <c r="BK149" s="211"/>
      <c r="BL149" s="161"/>
      <c r="BM149" s="70"/>
      <c r="BN149" s="211"/>
      <c r="BO149" s="211"/>
      <c r="BP149" s="211"/>
      <c r="BQ149" s="262"/>
      <c r="BR149" s="229"/>
      <c r="BS149" s="229"/>
      <c r="BT149" s="229"/>
      <c r="BU149" s="229"/>
    </row>
    <row r="150" spans="1:73" ht="12.75">
      <c r="A150" s="211"/>
      <c r="B150" s="70"/>
      <c r="C150" s="231"/>
      <c r="D150" s="211"/>
      <c r="E150" s="211"/>
      <c r="F150" s="296"/>
      <c r="G150" s="296"/>
      <c r="H150" s="296"/>
      <c r="I150" s="170"/>
      <c r="J150" s="170"/>
      <c r="K150" s="171"/>
      <c r="L150" s="296"/>
      <c r="M150" s="211"/>
      <c r="N150" s="161"/>
      <c r="O150" s="161"/>
      <c r="P150" s="161"/>
      <c r="Q150" s="161"/>
      <c r="R150" s="161"/>
      <c r="S150" s="101"/>
      <c r="T150" s="161"/>
      <c r="U150" s="175"/>
      <c r="V150" s="95"/>
      <c r="W150" s="95"/>
      <c r="X150" s="95"/>
      <c r="Y150" s="95"/>
      <c r="Z150" s="96"/>
      <c r="AA150" s="88"/>
      <c r="AB150" s="155"/>
      <c r="AC150" s="296"/>
      <c r="AD150" s="211"/>
      <c r="AE150" s="260"/>
      <c r="AF150" s="294"/>
      <c r="AG150" s="172"/>
      <c r="AH150" s="172"/>
      <c r="AI150" s="110"/>
      <c r="AJ150" s="111"/>
      <c r="AK150" s="229"/>
      <c r="AL150" s="211"/>
      <c r="AM150" s="217"/>
      <c r="AN150" s="297"/>
      <c r="AO150" s="260"/>
      <c r="AP150" s="146"/>
      <c r="AQ150" s="147"/>
      <c r="AR150" s="70"/>
      <c r="AS150" s="70"/>
      <c r="AT150" s="95"/>
      <c r="AU150" s="95"/>
      <c r="AV150" s="95"/>
      <c r="AW150" s="70"/>
      <c r="AX150" s="298"/>
      <c r="AY150" s="297"/>
      <c r="AZ150" s="211"/>
      <c r="BA150" s="294"/>
      <c r="BB150" s="70"/>
      <c r="BC150" s="141"/>
      <c r="BD150" s="211"/>
      <c r="BE150" s="257"/>
      <c r="BF150" s="70"/>
      <c r="BG150" s="261"/>
      <c r="BH150" s="211"/>
      <c r="BI150" s="211"/>
      <c r="BJ150" s="211"/>
      <c r="BK150" s="211"/>
      <c r="BL150" s="161"/>
      <c r="BM150" s="70"/>
      <c r="BN150" s="211"/>
      <c r="BO150" s="211"/>
      <c r="BP150" s="211"/>
      <c r="BQ150" s="262"/>
      <c r="BR150" s="229"/>
      <c r="BS150" s="229"/>
      <c r="BT150" s="229"/>
      <c r="BU150" s="229"/>
    </row>
    <row r="151" spans="1:73" ht="12.75">
      <c r="A151" s="211"/>
      <c r="B151" s="70"/>
      <c r="C151" s="231"/>
      <c r="D151" s="211"/>
      <c r="E151" s="211"/>
      <c r="F151" s="296"/>
      <c r="G151" s="296"/>
      <c r="H151" s="296"/>
      <c r="I151" s="170"/>
      <c r="J151" s="170"/>
      <c r="K151" s="171"/>
      <c r="L151" s="296"/>
      <c r="M151" s="211"/>
      <c r="N151" s="161"/>
      <c r="O151" s="161"/>
      <c r="P151" s="161"/>
      <c r="Q151" s="161"/>
      <c r="R151" s="161"/>
      <c r="S151" s="101"/>
      <c r="T151" s="161"/>
      <c r="U151" s="175"/>
      <c r="V151" s="95"/>
      <c r="W151" s="95"/>
      <c r="X151" s="95"/>
      <c r="Y151" s="95"/>
      <c r="Z151" s="96"/>
      <c r="AA151" s="88"/>
      <c r="AB151" s="155"/>
      <c r="AC151" s="296"/>
      <c r="AD151" s="211"/>
      <c r="AE151" s="260"/>
      <c r="AF151" s="294"/>
      <c r="AG151" s="172"/>
      <c r="AH151" s="172"/>
      <c r="AI151" s="110"/>
      <c r="AJ151" s="111"/>
      <c r="AK151" s="229"/>
      <c r="AL151" s="211"/>
      <c r="AM151" s="217"/>
      <c r="AN151" s="297"/>
      <c r="AO151" s="260"/>
      <c r="AP151" s="146"/>
      <c r="AQ151" s="147"/>
      <c r="AR151" s="70"/>
      <c r="AS151" s="70"/>
      <c r="AT151" s="95"/>
      <c r="AU151" s="95"/>
      <c r="AV151" s="95"/>
      <c r="AW151" s="70"/>
      <c r="AX151" s="298"/>
      <c r="AY151" s="297"/>
      <c r="AZ151" s="211"/>
      <c r="BA151" s="294"/>
      <c r="BB151" s="70"/>
      <c r="BC151" s="141"/>
      <c r="BD151" s="211"/>
      <c r="BE151" s="257"/>
      <c r="BF151" s="70"/>
      <c r="BG151" s="261"/>
      <c r="BH151" s="211"/>
      <c r="BI151" s="211"/>
      <c r="BJ151" s="211"/>
      <c r="BK151" s="211"/>
      <c r="BL151" s="161"/>
      <c r="BM151" s="70"/>
      <c r="BN151" s="211"/>
      <c r="BO151" s="211"/>
      <c r="BP151" s="211"/>
      <c r="BQ151" s="262"/>
      <c r="BR151" s="229"/>
      <c r="BS151" s="229"/>
      <c r="BT151" s="229"/>
      <c r="BU151" s="229"/>
    </row>
    <row r="152" spans="1:73" ht="12.75">
      <c r="A152" s="211"/>
      <c r="B152" s="70"/>
      <c r="C152" s="231"/>
      <c r="D152" s="211"/>
      <c r="E152" s="211"/>
      <c r="F152" s="296"/>
      <c r="G152" s="296"/>
      <c r="H152" s="296"/>
      <c r="I152" s="170"/>
      <c r="J152" s="170"/>
      <c r="K152" s="171"/>
      <c r="L152" s="296"/>
      <c r="M152" s="211"/>
      <c r="N152" s="161"/>
      <c r="O152" s="161"/>
      <c r="P152" s="161"/>
      <c r="Q152" s="161"/>
      <c r="R152" s="161"/>
      <c r="S152" s="101"/>
      <c r="T152" s="161"/>
      <c r="U152" s="175"/>
      <c r="V152" s="95"/>
      <c r="W152" s="95"/>
      <c r="X152" s="95"/>
      <c r="Y152" s="95"/>
      <c r="Z152" s="96"/>
      <c r="AA152" s="88"/>
      <c r="AB152" s="155"/>
      <c r="AC152" s="296"/>
      <c r="AD152" s="211"/>
      <c r="AE152" s="260"/>
      <c r="AF152" s="294"/>
      <c r="AG152" s="172"/>
      <c r="AH152" s="172"/>
      <c r="AI152" s="110"/>
      <c r="AJ152" s="111"/>
      <c r="AK152" s="229"/>
      <c r="AL152" s="211"/>
      <c r="AM152" s="217"/>
      <c r="AN152" s="297"/>
      <c r="AO152" s="260"/>
      <c r="AP152" s="146"/>
      <c r="AQ152" s="147"/>
      <c r="AR152" s="70"/>
      <c r="AS152" s="70"/>
      <c r="AT152" s="95"/>
      <c r="AU152" s="95"/>
      <c r="AV152" s="95"/>
      <c r="AW152" s="70"/>
      <c r="AX152" s="298"/>
      <c r="AY152" s="297"/>
      <c r="AZ152" s="211"/>
      <c r="BA152" s="294"/>
      <c r="BB152" s="70"/>
      <c r="BC152" s="141"/>
      <c r="BD152" s="211"/>
      <c r="BE152" s="257"/>
      <c r="BF152" s="70"/>
      <c r="BG152" s="261"/>
      <c r="BH152" s="211"/>
      <c r="BI152" s="211"/>
      <c r="BJ152" s="211"/>
      <c r="BK152" s="211"/>
      <c r="BL152" s="161"/>
      <c r="BM152" s="70"/>
      <c r="BN152" s="211"/>
      <c r="BO152" s="211"/>
      <c r="BP152" s="211"/>
      <c r="BQ152" s="262"/>
      <c r="BR152" s="229"/>
      <c r="BS152" s="229"/>
      <c r="BT152" s="229"/>
      <c r="BU152" s="229"/>
    </row>
    <row r="153" spans="1:73" ht="12.75">
      <c r="A153" s="211"/>
      <c r="B153" s="70"/>
      <c r="C153" s="231"/>
      <c r="D153" s="211"/>
      <c r="E153" s="211"/>
      <c r="F153" s="296"/>
      <c r="G153" s="296"/>
      <c r="H153" s="296"/>
      <c r="I153" s="170"/>
      <c r="J153" s="170"/>
      <c r="K153" s="171"/>
      <c r="L153" s="296"/>
      <c r="M153" s="211"/>
      <c r="N153" s="161"/>
      <c r="O153" s="161"/>
      <c r="P153" s="161"/>
      <c r="Q153" s="161"/>
      <c r="R153" s="161"/>
      <c r="S153" s="101"/>
      <c r="T153" s="161"/>
      <c r="U153" s="175"/>
      <c r="V153" s="95"/>
      <c r="W153" s="95"/>
      <c r="X153" s="95"/>
      <c r="Y153" s="95"/>
      <c r="Z153" s="96"/>
      <c r="AA153" s="88"/>
      <c r="AB153" s="155"/>
      <c r="AC153" s="296"/>
      <c r="AD153" s="211"/>
      <c r="AE153" s="260"/>
      <c r="AF153" s="294"/>
      <c r="AG153" s="172"/>
      <c r="AH153" s="172"/>
      <c r="AI153" s="110"/>
      <c r="AJ153" s="111"/>
      <c r="AK153" s="229"/>
      <c r="AL153" s="211"/>
      <c r="AM153" s="217"/>
      <c r="AN153" s="297"/>
      <c r="AO153" s="260"/>
      <c r="AP153" s="146"/>
      <c r="AQ153" s="147"/>
      <c r="AR153" s="70"/>
      <c r="AS153" s="70"/>
      <c r="AT153" s="95"/>
      <c r="AU153" s="95"/>
      <c r="AV153" s="95"/>
      <c r="AW153" s="70"/>
      <c r="AX153" s="298"/>
      <c r="AY153" s="297"/>
      <c r="AZ153" s="211"/>
      <c r="BA153" s="294"/>
      <c r="BB153" s="70"/>
      <c r="BC153" s="141"/>
      <c r="BD153" s="211"/>
      <c r="BE153" s="257"/>
      <c r="BF153" s="70"/>
      <c r="BG153" s="261"/>
      <c r="BH153" s="211"/>
      <c r="BI153" s="211"/>
      <c r="BJ153" s="211"/>
      <c r="BK153" s="211"/>
      <c r="BL153" s="161"/>
      <c r="BM153" s="70"/>
      <c r="BN153" s="211"/>
      <c r="BO153" s="211"/>
      <c r="BP153" s="211"/>
      <c r="BQ153" s="262"/>
      <c r="BR153" s="229"/>
      <c r="BS153" s="229"/>
      <c r="BT153" s="229"/>
      <c r="BU153" s="229"/>
    </row>
    <row r="154" spans="1:73" ht="12.75">
      <c r="A154" s="211"/>
      <c r="B154" s="70"/>
      <c r="C154" s="231"/>
      <c r="D154" s="211"/>
      <c r="E154" s="211"/>
      <c r="F154" s="296"/>
      <c r="G154" s="296"/>
      <c r="H154" s="296"/>
      <c r="I154" s="170"/>
      <c r="J154" s="170"/>
      <c r="K154" s="171"/>
      <c r="L154" s="296"/>
      <c r="M154" s="211"/>
      <c r="N154" s="161"/>
      <c r="O154" s="161"/>
      <c r="P154" s="161"/>
      <c r="Q154" s="161"/>
      <c r="R154" s="161"/>
      <c r="S154" s="101"/>
      <c r="T154" s="161"/>
      <c r="U154" s="175"/>
      <c r="V154" s="95"/>
      <c r="W154" s="95"/>
      <c r="X154" s="95"/>
      <c r="Y154" s="95"/>
      <c r="Z154" s="96"/>
      <c r="AA154" s="88"/>
      <c r="AB154" s="155"/>
      <c r="AC154" s="296"/>
      <c r="AD154" s="211"/>
      <c r="AE154" s="260"/>
      <c r="AF154" s="294"/>
      <c r="AG154" s="172"/>
      <c r="AH154" s="172"/>
      <c r="AI154" s="110"/>
      <c r="AJ154" s="111"/>
      <c r="AK154" s="229"/>
      <c r="AL154" s="211"/>
      <c r="AM154" s="217"/>
      <c r="AN154" s="297"/>
      <c r="AO154" s="260"/>
      <c r="AP154" s="146"/>
      <c r="AQ154" s="147"/>
      <c r="AR154" s="70"/>
      <c r="AS154" s="70"/>
      <c r="AT154" s="95"/>
      <c r="AU154" s="95"/>
      <c r="AV154" s="95"/>
      <c r="AW154" s="70"/>
      <c r="AX154" s="298"/>
      <c r="AY154" s="297"/>
      <c r="AZ154" s="211"/>
      <c r="BA154" s="294"/>
      <c r="BB154" s="70"/>
      <c r="BC154" s="141"/>
      <c r="BD154" s="211"/>
      <c r="BE154" s="257"/>
      <c r="BF154" s="70"/>
      <c r="BG154" s="261"/>
      <c r="BH154" s="211"/>
      <c r="BI154" s="211"/>
      <c r="BJ154" s="211"/>
      <c r="BK154" s="211"/>
      <c r="BL154" s="161"/>
      <c r="BM154" s="70"/>
      <c r="BN154" s="211"/>
      <c r="BO154" s="211"/>
      <c r="BP154" s="211"/>
      <c r="BQ154" s="262"/>
      <c r="BR154" s="229"/>
      <c r="BS154" s="229"/>
      <c r="BT154" s="229"/>
      <c r="BU154" s="229"/>
    </row>
    <row r="155" spans="1:73" ht="12.75">
      <c r="A155" s="211"/>
      <c r="B155" s="70"/>
      <c r="C155" s="231"/>
      <c r="D155" s="211"/>
      <c r="E155" s="211"/>
      <c r="F155" s="296"/>
      <c r="G155" s="296"/>
      <c r="H155" s="296"/>
      <c r="I155" s="170"/>
      <c r="J155" s="170"/>
      <c r="K155" s="171"/>
      <c r="L155" s="296"/>
      <c r="M155" s="211"/>
      <c r="N155" s="161"/>
      <c r="O155" s="161"/>
      <c r="P155" s="161"/>
      <c r="Q155" s="161"/>
      <c r="R155" s="161"/>
      <c r="S155" s="101"/>
      <c r="T155" s="161"/>
      <c r="U155" s="175"/>
      <c r="V155" s="95"/>
      <c r="W155" s="95"/>
      <c r="X155" s="95"/>
      <c r="Y155" s="95"/>
      <c r="Z155" s="96"/>
      <c r="AA155" s="88"/>
      <c r="AB155" s="155"/>
      <c r="AC155" s="296"/>
      <c r="AD155" s="211"/>
      <c r="AE155" s="260"/>
      <c r="AF155" s="294"/>
      <c r="AG155" s="172"/>
      <c r="AH155" s="172"/>
      <c r="AI155" s="110"/>
      <c r="AJ155" s="111"/>
      <c r="AK155" s="229"/>
      <c r="AL155" s="211"/>
      <c r="AM155" s="217"/>
      <c r="AN155" s="297"/>
      <c r="AO155" s="260"/>
      <c r="AP155" s="146"/>
      <c r="AQ155" s="147"/>
      <c r="AR155" s="70"/>
      <c r="AS155" s="70"/>
      <c r="AT155" s="95"/>
      <c r="AU155" s="95"/>
      <c r="AV155" s="95"/>
      <c r="AW155" s="70"/>
      <c r="AX155" s="298"/>
      <c r="AY155" s="297"/>
      <c r="AZ155" s="211"/>
      <c r="BA155" s="294"/>
      <c r="BB155" s="70"/>
      <c r="BC155" s="141"/>
      <c r="BD155" s="211"/>
      <c r="BE155" s="257"/>
      <c r="BF155" s="70"/>
      <c r="BG155" s="261"/>
      <c r="BH155" s="211"/>
      <c r="BI155" s="211"/>
      <c r="BJ155" s="211"/>
      <c r="BK155" s="211"/>
      <c r="BL155" s="161"/>
      <c r="BM155" s="70"/>
      <c r="BN155" s="211"/>
      <c r="BO155" s="211"/>
      <c r="BP155" s="211"/>
      <c r="BQ155" s="262"/>
      <c r="BR155" s="229"/>
      <c r="BS155" s="229"/>
      <c r="BT155" s="229"/>
      <c r="BU155" s="229"/>
    </row>
    <row r="156" spans="1:73" ht="12.75">
      <c r="A156" s="211"/>
      <c r="B156" s="70"/>
      <c r="C156" s="231"/>
      <c r="D156" s="211"/>
      <c r="E156" s="211"/>
      <c r="F156" s="296"/>
      <c r="G156" s="296"/>
      <c r="H156" s="296"/>
      <c r="I156" s="170"/>
      <c r="J156" s="170"/>
      <c r="K156" s="171"/>
      <c r="L156" s="296"/>
      <c r="M156" s="211"/>
      <c r="N156" s="161"/>
      <c r="O156" s="161"/>
      <c r="P156" s="161"/>
      <c r="Q156" s="161"/>
      <c r="R156" s="161"/>
      <c r="S156" s="101"/>
      <c r="T156" s="161"/>
      <c r="U156" s="175"/>
      <c r="V156" s="95"/>
      <c r="W156" s="95"/>
      <c r="X156" s="95"/>
      <c r="Y156" s="95"/>
      <c r="Z156" s="96"/>
      <c r="AA156" s="88"/>
      <c r="AB156" s="155"/>
      <c r="AC156" s="296"/>
      <c r="AD156" s="211"/>
      <c r="AE156" s="260"/>
      <c r="AF156" s="294"/>
      <c r="AG156" s="172"/>
      <c r="AH156" s="172"/>
      <c r="AI156" s="110"/>
      <c r="AJ156" s="111"/>
      <c r="AK156" s="229"/>
      <c r="AL156" s="211"/>
      <c r="AM156" s="217"/>
      <c r="AN156" s="297"/>
      <c r="AO156" s="260"/>
      <c r="AP156" s="146"/>
      <c r="AQ156" s="147"/>
      <c r="AR156" s="70"/>
      <c r="AS156" s="70"/>
      <c r="AT156" s="95"/>
      <c r="AU156" s="95"/>
      <c r="AV156" s="95"/>
      <c r="AW156" s="70"/>
      <c r="AX156" s="298"/>
      <c r="AY156" s="297"/>
      <c r="AZ156" s="211"/>
      <c r="BA156" s="294"/>
      <c r="BB156" s="70"/>
      <c r="BC156" s="141"/>
      <c r="BD156" s="211"/>
      <c r="BE156" s="257"/>
      <c r="BF156" s="70"/>
      <c r="BG156" s="261"/>
      <c r="BH156" s="211"/>
      <c r="BI156" s="211"/>
      <c r="BJ156" s="211"/>
      <c r="BK156" s="211"/>
      <c r="BL156" s="161"/>
      <c r="BM156" s="70"/>
      <c r="BN156" s="211"/>
      <c r="BO156" s="211"/>
      <c r="BP156" s="211"/>
      <c r="BQ156" s="262"/>
      <c r="BR156" s="229"/>
      <c r="BS156" s="229"/>
      <c r="BT156" s="229"/>
      <c r="BU156" s="229"/>
    </row>
    <row r="157" spans="1:73" ht="12.75">
      <c r="A157" s="211"/>
      <c r="B157" s="70"/>
      <c r="C157" s="231"/>
      <c r="D157" s="211"/>
      <c r="E157" s="211"/>
      <c r="F157" s="296"/>
      <c r="G157" s="296"/>
      <c r="H157" s="296"/>
      <c r="I157" s="170"/>
      <c r="J157" s="170"/>
      <c r="K157" s="171"/>
      <c r="L157" s="296"/>
      <c r="M157" s="211"/>
      <c r="N157" s="161"/>
      <c r="O157" s="161"/>
      <c r="P157" s="161"/>
      <c r="Q157" s="161"/>
      <c r="R157" s="161"/>
      <c r="S157" s="101"/>
      <c r="T157" s="161"/>
      <c r="U157" s="175"/>
      <c r="V157" s="95"/>
      <c r="W157" s="95"/>
      <c r="X157" s="95"/>
      <c r="Y157" s="95"/>
      <c r="Z157" s="96"/>
      <c r="AA157" s="88"/>
      <c r="AB157" s="155"/>
      <c r="AC157" s="296"/>
      <c r="AD157" s="211"/>
      <c r="AE157" s="260"/>
      <c r="AF157" s="294"/>
      <c r="AG157" s="172"/>
      <c r="AH157" s="172"/>
      <c r="AI157" s="110"/>
      <c r="AJ157" s="111"/>
      <c r="AK157" s="229"/>
      <c r="AL157" s="211"/>
      <c r="AM157" s="217"/>
      <c r="AN157" s="297"/>
      <c r="AO157" s="260"/>
      <c r="AP157" s="146"/>
      <c r="AQ157" s="147"/>
      <c r="AR157" s="70"/>
      <c r="AS157" s="70"/>
      <c r="AT157" s="95"/>
      <c r="AU157" s="95"/>
      <c r="AV157" s="95"/>
      <c r="AW157" s="70"/>
      <c r="AX157" s="298"/>
      <c r="AY157" s="297"/>
      <c r="AZ157" s="211"/>
      <c r="BA157" s="294"/>
      <c r="BB157" s="70"/>
      <c r="BC157" s="141"/>
      <c r="BD157" s="211"/>
      <c r="BE157" s="257"/>
      <c r="BF157" s="70"/>
      <c r="BG157" s="261"/>
      <c r="BH157" s="211"/>
      <c r="BI157" s="211"/>
      <c r="BJ157" s="211"/>
      <c r="BK157" s="211"/>
      <c r="BL157" s="161"/>
      <c r="BM157" s="70"/>
      <c r="BN157" s="211"/>
      <c r="BO157" s="211"/>
      <c r="BP157" s="211"/>
      <c r="BQ157" s="262"/>
      <c r="BR157" s="229"/>
      <c r="BS157" s="229"/>
      <c r="BT157" s="229"/>
      <c r="BU157" s="229"/>
    </row>
    <row r="158" spans="1:73" ht="12.75">
      <c r="A158" s="211"/>
      <c r="B158" s="70"/>
      <c r="C158" s="231"/>
      <c r="D158" s="211"/>
      <c r="E158" s="211"/>
      <c r="F158" s="296"/>
      <c r="G158" s="296"/>
      <c r="H158" s="296"/>
      <c r="I158" s="170"/>
      <c r="J158" s="170"/>
      <c r="K158" s="171"/>
      <c r="L158" s="296"/>
      <c r="M158" s="211"/>
      <c r="N158" s="161"/>
      <c r="O158" s="161"/>
      <c r="P158" s="161"/>
      <c r="Q158" s="161"/>
      <c r="R158" s="161"/>
      <c r="S158" s="101"/>
      <c r="T158" s="161"/>
      <c r="U158" s="175"/>
      <c r="V158" s="95"/>
      <c r="W158" s="95"/>
      <c r="X158" s="95"/>
      <c r="Y158" s="95"/>
      <c r="Z158" s="96"/>
      <c r="AA158" s="88"/>
      <c r="AB158" s="155"/>
      <c r="AC158" s="296"/>
      <c r="AD158" s="211"/>
      <c r="AE158" s="260"/>
      <c r="AF158" s="294"/>
      <c r="AG158" s="172"/>
      <c r="AH158" s="172"/>
      <c r="AI158" s="110"/>
      <c r="AJ158" s="111"/>
      <c r="AK158" s="229"/>
      <c r="AL158" s="211"/>
      <c r="AM158" s="217"/>
      <c r="AN158" s="297"/>
      <c r="AO158" s="260"/>
      <c r="AP158" s="146"/>
      <c r="AQ158" s="147"/>
      <c r="AR158" s="70"/>
      <c r="AS158" s="70"/>
      <c r="AT158" s="95"/>
      <c r="AU158" s="95"/>
      <c r="AV158" s="95"/>
      <c r="AW158" s="70"/>
      <c r="AX158" s="298"/>
      <c r="AY158" s="297"/>
      <c r="AZ158" s="211"/>
      <c r="BA158" s="294"/>
      <c r="BB158" s="70"/>
      <c r="BC158" s="141"/>
      <c r="BD158" s="211"/>
      <c r="BE158" s="257"/>
      <c r="BF158" s="70"/>
      <c r="BG158" s="261"/>
      <c r="BH158" s="211"/>
      <c r="BI158" s="211"/>
      <c r="BJ158" s="211"/>
      <c r="BK158" s="211"/>
      <c r="BL158" s="161"/>
      <c r="BM158" s="70"/>
      <c r="BN158" s="211"/>
      <c r="BO158" s="211"/>
      <c r="BP158" s="211"/>
      <c r="BQ158" s="262"/>
      <c r="BR158" s="229"/>
      <c r="BS158" s="229"/>
      <c r="BT158" s="229"/>
      <c r="BU158" s="229"/>
    </row>
    <row r="159" spans="1:73" ht="12.75">
      <c r="A159" s="211"/>
      <c r="B159" s="70"/>
      <c r="C159" s="231"/>
      <c r="D159" s="211"/>
      <c r="E159" s="211"/>
      <c r="F159" s="296"/>
      <c r="G159" s="296"/>
      <c r="H159" s="296"/>
      <c r="I159" s="170"/>
      <c r="J159" s="170"/>
      <c r="K159" s="171"/>
      <c r="L159" s="296"/>
      <c r="M159" s="211"/>
      <c r="N159" s="161"/>
      <c r="O159" s="161"/>
      <c r="P159" s="161"/>
      <c r="Q159" s="161"/>
      <c r="R159" s="161"/>
      <c r="S159" s="101"/>
      <c r="T159" s="161"/>
      <c r="U159" s="175"/>
      <c r="V159" s="95"/>
      <c r="W159" s="95"/>
      <c r="X159" s="95"/>
      <c r="Y159" s="95"/>
      <c r="Z159" s="96"/>
      <c r="AA159" s="88"/>
      <c r="AB159" s="155"/>
      <c r="AC159" s="296"/>
      <c r="AD159" s="211"/>
      <c r="AE159" s="260"/>
      <c r="AF159" s="294"/>
      <c r="AG159" s="172"/>
      <c r="AH159" s="172"/>
      <c r="AI159" s="110"/>
      <c r="AJ159" s="111"/>
      <c r="AK159" s="229"/>
      <c r="AL159" s="211"/>
      <c r="AM159" s="217"/>
      <c r="AN159" s="297"/>
      <c r="AO159" s="260"/>
      <c r="AP159" s="146"/>
      <c r="AQ159" s="147"/>
      <c r="AR159" s="70"/>
      <c r="AS159" s="70"/>
      <c r="AT159" s="95"/>
      <c r="AU159" s="95"/>
      <c r="AV159" s="95"/>
      <c r="AW159" s="70"/>
      <c r="AX159" s="298"/>
      <c r="AY159" s="297"/>
      <c r="AZ159" s="211"/>
      <c r="BA159" s="294"/>
      <c r="BB159" s="70"/>
      <c r="BC159" s="141"/>
      <c r="BD159" s="211"/>
      <c r="BE159" s="257"/>
      <c r="BF159" s="70"/>
      <c r="BG159" s="261"/>
      <c r="BH159" s="211"/>
      <c r="BI159" s="211"/>
      <c r="BJ159" s="211"/>
      <c r="BK159" s="211"/>
      <c r="BL159" s="161"/>
      <c r="BM159" s="70"/>
      <c r="BN159" s="211"/>
      <c r="BO159" s="211"/>
      <c r="BP159" s="211"/>
      <c r="BQ159" s="262"/>
      <c r="BR159" s="229"/>
      <c r="BS159" s="229"/>
      <c r="BT159" s="229"/>
      <c r="BU159" s="229"/>
    </row>
    <row r="160" spans="1:73" ht="12.75">
      <c r="A160" s="211"/>
      <c r="B160" s="70"/>
      <c r="C160" s="231"/>
      <c r="D160" s="211"/>
      <c r="E160" s="211"/>
      <c r="F160" s="296"/>
      <c r="G160" s="296"/>
      <c r="H160" s="296"/>
      <c r="I160" s="170"/>
      <c r="J160" s="170"/>
      <c r="K160" s="171"/>
      <c r="L160" s="296"/>
      <c r="M160" s="211"/>
      <c r="N160" s="161"/>
      <c r="O160" s="161"/>
      <c r="P160" s="161"/>
      <c r="Q160" s="161"/>
      <c r="R160" s="161"/>
      <c r="S160" s="101"/>
      <c r="T160" s="161"/>
      <c r="U160" s="175"/>
      <c r="V160" s="95"/>
      <c r="W160" s="95"/>
      <c r="X160" s="95"/>
      <c r="Y160" s="95"/>
      <c r="Z160" s="96"/>
      <c r="AA160" s="88"/>
      <c r="AB160" s="155"/>
      <c r="AC160" s="296"/>
      <c r="AD160" s="211"/>
      <c r="AE160" s="260"/>
      <c r="AF160" s="294"/>
      <c r="AG160" s="172"/>
      <c r="AH160" s="172"/>
      <c r="AI160" s="110"/>
      <c r="AJ160" s="111"/>
      <c r="AK160" s="229"/>
      <c r="AL160" s="211"/>
      <c r="AM160" s="217"/>
      <c r="AN160" s="297"/>
      <c r="AO160" s="260"/>
      <c r="AP160" s="146"/>
      <c r="AQ160" s="147"/>
      <c r="AR160" s="70"/>
      <c r="AS160" s="70"/>
      <c r="AT160" s="95"/>
      <c r="AU160" s="95"/>
      <c r="AV160" s="95"/>
      <c r="AW160" s="70"/>
      <c r="AX160" s="298"/>
      <c r="AY160" s="297"/>
      <c r="AZ160" s="211"/>
      <c r="BA160" s="294"/>
      <c r="BB160" s="70"/>
      <c r="BC160" s="141"/>
      <c r="BD160" s="211"/>
      <c r="BE160" s="257"/>
      <c r="BF160" s="70"/>
      <c r="BG160" s="261"/>
      <c r="BH160" s="211"/>
      <c r="BI160" s="211"/>
      <c r="BJ160" s="211"/>
      <c r="BK160" s="211"/>
      <c r="BL160" s="161"/>
      <c r="BM160" s="70"/>
      <c r="BN160" s="211"/>
      <c r="BO160" s="211"/>
      <c r="BP160" s="211"/>
      <c r="BQ160" s="262"/>
      <c r="BR160" s="229"/>
      <c r="BS160" s="229"/>
      <c r="BT160" s="229"/>
      <c r="BU160" s="229"/>
    </row>
    <row r="161" spans="1:73" ht="12.75">
      <c r="A161" s="211"/>
      <c r="B161" s="70"/>
      <c r="C161" s="231"/>
      <c r="D161" s="211"/>
      <c r="E161" s="211"/>
      <c r="F161" s="296"/>
      <c r="G161" s="296"/>
      <c r="H161" s="296"/>
      <c r="I161" s="170"/>
      <c r="J161" s="170"/>
      <c r="K161" s="171"/>
      <c r="L161" s="296"/>
      <c r="M161" s="211"/>
      <c r="N161" s="161"/>
      <c r="O161" s="161"/>
      <c r="P161" s="161"/>
      <c r="Q161" s="161"/>
      <c r="R161" s="161"/>
      <c r="S161" s="101"/>
      <c r="T161" s="161"/>
      <c r="U161" s="175"/>
      <c r="V161" s="95"/>
      <c r="W161" s="95"/>
      <c r="X161" s="95"/>
      <c r="Y161" s="95"/>
      <c r="Z161" s="96"/>
      <c r="AA161" s="88"/>
      <c r="AB161" s="155"/>
      <c r="AC161" s="296"/>
      <c r="AD161" s="211"/>
      <c r="AE161" s="260"/>
      <c r="AF161" s="294"/>
      <c r="AG161" s="172"/>
      <c r="AH161" s="172"/>
      <c r="AI161" s="110"/>
      <c r="AJ161" s="111"/>
      <c r="AK161" s="229"/>
      <c r="AL161" s="211"/>
      <c r="AM161" s="217"/>
      <c r="AN161" s="297"/>
      <c r="AO161" s="260"/>
      <c r="AP161" s="146"/>
      <c r="AQ161" s="147"/>
      <c r="AR161" s="70"/>
      <c r="AS161" s="70"/>
      <c r="AT161" s="95"/>
      <c r="AU161" s="95"/>
      <c r="AV161" s="95"/>
      <c r="AW161" s="70"/>
      <c r="AX161" s="298"/>
      <c r="AY161" s="297"/>
      <c r="AZ161" s="211"/>
      <c r="BA161" s="294"/>
      <c r="BB161" s="70"/>
      <c r="BC161" s="141"/>
      <c r="BD161" s="211"/>
      <c r="BE161" s="257"/>
      <c r="BF161" s="70"/>
      <c r="BG161" s="261"/>
      <c r="BH161" s="211"/>
      <c r="BI161" s="211"/>
      <c r="BJ161" s="211"/>
      <c r="BK161" s="211"/>
      <c r="BL161" s="161"/>
      <c r="BM161" s="70"/>
      <c r="BN161" s="211"/>
      <c r="BO161" s="211"/>
      <c r="BP161" s="211"/>
      <c r="BQ161" s="262"/>
      <c r="BR161" s="229"/>
      <c r="BS161" s="229"/>
      <c r="BT161" s="229"/>
      <c r="BU161" s="229"/>
    </row>
    <row r="162" spans="1:73" ht="12.75">
      <c r="A162" s="211"/>
      <c r="B162" s="70"/>
      <c r="C162" s="231"/>
      <c r="D162" s="211"/>
      <c r="E162" s="211"/>
      <c r="F162" s="296"/>
      <c r="G162" s="296"/>
      <c r="H162" s="296"/>
      <c r="I162" s="170"/>
      <c r="J162" s="170"/>
      <c r="K162" s="171"/>
      <c r="L162" s="296"/>
      <c r="M162" s="211"/>
      <c r="N162" s="161"/>
      <c r="O162" s="161"/>
      <c r="P162" s="161"/>
      <c r="Q162" s="161"/>
      <c r="R162" s="161"/>
      <c r="S162" s="101"/>
      <c r="T162" s="161"/>
      <c r="U162" s="175"/>
      <c r="V162" s="95"/>
      <c r="W162" s="95"/>
      <c r="X162" s="95"/>
      <c r="Y162" s="95"/>
      <c r="Z162" s="96"/>
      <c r="AA162" s="88"/>
      <c r="AB162" s="155"/>
      <c r="AC162" s="296"/>
      <c r="AD162" s="211"/>
      <c r="AE162" s="260"/>
      <c r="AF162" s="294"/>
      <c r="AG162" s="172"/>
      <c r="AH162" s="172"/>
      <c r="AI162" s="110"/>
      <c r="AJ162" s="111"/>
      <c r="AK162" s="229"/>
      <c r="AL162" s="211"/>
      <c r="AM162" s="217"/>
      <c r="AN162" s="297"/>
      <c r="AO162" s="260"/>
      <c r="AP162" s="146"/>
      <c r="AQ162" s="147"/>
      <c r="AR162" s="70"/>
      <c r="AS162" s="70"/>
      <c r="AT162" s="95"/>
      <c r="AU162" s="95"/>
      <c r="AV162" s="95"/>
      <c r="AW162" s="70"/>
      <c r="AX162" s="298"/>
      <c r="AY162" s="297"/>
      <c r="AZ162" s="211"/>
      <c r="BA162" s="294"/>
      <c r="BB162" s="70"/>
      <c r="BC162" s="141"/>
      <c r="BD162" s="211"/>
      <c r="BE162" s="257"/>
      <c r="BF162" s="70"/>
      <c r="BG162" s="261"/>
      <c r="BH162" s="211"/>
      <c r="BI162" s="211"/>
      <c r="BJ162" s="211"/>
      <c r="BK162" s="211"/>
      <c r="BL162" s="161"/>
      <c r="BM162" s="70"/>
      <c r="BN162" s="211"/>
      <c r="BO162" s="211"/>
      <c r="BP162" s="211"/>
      <c r="BQ162" s="262"/>
      <c r="BR162" s="229"/>
      <c r="BS162" s="229"/>
      <c r="BT162" s="229"/>
      <c r="BU162" s="229"/>
    </row>
    <row r="163" spans="1:73" ht="12.75">
      <c r="A163" s="211"/>
      <c r="B163" s="70"/>
      <c r="C163" s="231"/>
      <c r="D163" s="211"/>
      <c r="E163" s="211"/>
      <c r="F163" s="296"/>
      <c r="G163" s="296"/>
      <c r="H163" s="296"/>
      <c r="I163" s="170"/>
      <c r="J163" s="170"/>
      <c r="K163" s="171"/>
      <c r="L163" s="296"/>
      <c r="M163" s="211"/>
      <c r="N163" s="161"/>
      <c r="O163" s="161"/>
      <c r="P163" s="161"/>
      <c r="Q163" s="161"/>
      <c r="R163" s="161"/>
      <c r="S163" s="101"/>
      <c r="T163" s="161"/>
      <c r="U163" s="175"/>
      <c r="V163" s="95"/>
      <c r="W163" s="95"/>
      <c r="X163" s="95"/>
      <c r="Y163" s="95"/>
      <c r="Z163" s="96"/>
      <c r="AA163" s="88"/>
      <c r="AB163" s="155"/>
      <c r="AC163" s="296"/>
      <c r="AD163" s="211"/>
      <c r="AE163" s="260"/>
      <c r="AF163" s="294"/>
      <c r="AG163" s="172"/>
      <c r="AH163" s="172"/>
      <c r="AI163" s="110"/>
      <c r="AJ163" s="111"/>
      <c r="AK163" s="229"/>
      <c r="AL163" s="211"/>
      <c r="AM163" s="217"/>
      <c r="AN163" s="297"/>
      <c r="AO163" s="260"/>
      <c r="AP163" s="146"/>
      <c r="AQ163" s="147"/>
      <c r="AR163" s="70"/>
      <c r="AS163" s="70"/>
      <c r="AT163" s="95"/>
      <c r="AU163" s="95"/>
      <c r="AV163" s="95"/>
      <c r="AW163" s="70"/>
      <c r="AX163" s="298"/>
      <c r="AY163" s="297"/>
      <c r="AZ163" s="211"/>
      <c r="BA163" s="294"/>
      <c r="BB163" s="70"/>
      <c r="BC163" s="141"/>
      <c r="BD163" s="211"/>
      <c r="BE163" s="257"/>
      <c r="BF163" s="70"/>
      <c r="BG163" s="261"/>
      <c r="BH163" s="211"/>
      <c r="BI163" s="211"/>
      <c r="BJ163" s="211"/>
      <c r="BK163" s="211"/>
      <c r="BL163" s="161"/>
      <c r="BM163" s="70"/>
      <c r="BN163" s="211"/>
      <c r="BO163" s="211"/>
      <c r="BP163" s="211"/>
      <c r="BQ163" s="262"/>
      <c r="BR163" s="229"/>
      <c r="BS163" s="229"/>
      <c r="BT163" s="229"/>
      <c r="BU163" s="229"/>
    </row>
    <row r="164" spans="1:73" ht="12.75">
      <c r="A164" s="211"/>
      <c r="B164" s="70"/>
      <c r="C164" s="231"/>
      <c r="D164" s="211"/>
      <c r="E164" s="211"/>
      <c r="F164" s="296"/>
      <c r="G164" s="296"/>
      <c r="H164" s="296"/>
      <c r="I164" s="170"/>
      <c r="J164" s="170"/>
      <c r="K164" s="171"/>
      <c r="L164" s="296"/>
      <c r="M164" s="211"/>
      <c r="N164" s="161"/>
      <c r="O164" s="161"/>
      <c r="P164" s="161"/>
      <c r="Q164" s="161"/>
      <c r="R164" s="161"/>
      <c r="S164" s="101"/>
      <c r="T164" s="161"/>
      <c r="U164" s="175"/>
      <c r="V164" s="95"/>
      <c r="W164" s="95"/>
      <c r="X164" s="95"/>
      <c r="Y164" s="95"/>
      <c r="Z164" s="96"/>
      <c r="AA164" s="88"/>
      <c r="AB164" s="155"/>
      <c r="AC164" s="296"/>
      <c r="AD164" s="211"/>
      <c r="AE164" s="260"/>
      <c r="AF164" s="294"/>
      <c r="AG164" s="172"/>
      <c r="AH164" s="172"/>
      <c r="AI164" s="110"/>
      <c r="AJ164" s="111"/>
      <c r="AK164" s="229"/>
      <c r="AL164" s="211"/>
      <c r="AM164" s="217"/>
      <c r="AN164" s="297"/>
      <c r="AO164" s="260"/>
      <c r="AP164" s="146"/>
      <c r="AQ164" s="147"/>
      <c r="AR164" s="70"/>
      <c r="AS164" s="70"/>
      <c r="AT164" s="95"/>
      <c r="AU164" s="95"/>
      <c r="AV164" s="95"/>
      <c r="AW164" s="70"/>
      <c r="AX164" s="298"/>
      <c r="AY164" s="297"/>
      <c r="AZ164" s="211"/>
      <c r="BA164" s="294"/>
      <c r="BB164" s="70"/>
      <c r="BC164" s="141"/>
      <c r="BD164" s="211"/>
      <c r="BE164" s="257"/>
      <c r="BF164" s="70"/>
      <c r="BG164" s="261"/>
      <c r="BH164" s="211"/>
      <c r="BI164" s="211"/>
      <c r="BJ164" s="211"/>
      <c r="BK164" s="211"/>
      <c r="BL164" s="161"/>
      <c r="BM164" s="70"/>
      <c r="BN164" s="211"/>
      <c r="BO164" s="211"/>
      <c r="BP164" s="211"/>
      <c r="BQ164" s="262"/>
      <c r="BR164" s="229"/>
      <c r="BS164" s="229"/>
      <c r="BT164" s="229"/>
      <c r="BU164" s="229"/>
    </row>
    <row r="165" spans="1:73" ht="12.75">
      <c r="A165" s="211"/>
      <c r="B165" s="70"/>
      <c r="C165" s="231"/>
      <c r="D165" s="211"/>
      <c r="E165" s="211"/>
      <c r="F165" s="296"/>
      <c r="G165" s="296"/>
      <c r="H165" s="296"/>
      <c r="I165" s="170"/>
      <c r="J165" s="170"/>
      <c r="K165" s="171"/>
      <c r="L165" s="296"/>
      <c r="M165" s="211"/>
      <c r="N165" s="161"/>
      <c r="O165" s="161"/>
      <c r="P165" s="161"/>
      <c r="Q165" s="161"/>
      <c r="R165" s="161"/>
      <c r="S165" s="101"/>
      <c r="T165" s="161"/>
      <c r="U165" s="175"/>
      <c r="V165" s="95"/>
      <c r="W165" s="95"/>
      <c r="X165" s="95"/>
      <c r="Y165" s="95"/>
      <c r="Z165" s="96"/>
      <c r="AA165" s="88"/>
      <c r="AB165" s="155"/>
      <c r="AC165" s="296"/>
      <c r="AD165" s="211"/>
      <c r="AE165" s="260"/>
      <c r="AF165" s="294"/>
      <c r="AG165" s="172"/>
      <c r="AH165" s="172"/>
      <c r="AI165" s="110"/>
      <c r="AJ165" s="111"/>
      <c r="AK165" s="229"/>
      <c r="AL165" s="211"/>
      <c r="AM165" s="217"/>
      <c r="AN165" s="297"/>
      <c r="AO165" s="260"/>
      <c r="AP165" s="146"/>
      <c r="AQ165" s="147"/>
      <c r="AR165" s="70"/>
      <c r="AS165" s="70"/>
      <c r="AT165" s="95"/>
      <c r="AU165" s="95"/>
      <c r="AV165" s="95"/>
      <c r="AW165" s="70"/>
      <c r="AX165" s="298"/>
      <c r="AY165" s="297"/>
      <c r="AZ165" s="211"/>
      <c r="BA165" s="294"/>
      <c r="BB165" s="70"/>
      <c r="BC165" s="141"/>
      <c r="BD165" s="211"/>
      <c r="BE165" s="257"/>
      <c r="BF165" s="70"/>
      <c r="BG165" s="261"/>
      <c r="BH165" s="211"/>
      <c r="BI165" s="211"/>
      <c r="BJ165" s="211"/>
      <c r="BK165" s="211"/>
      <c r="BL165" s="161"/>
      <c r="BM165" s="70"/>
      <c r="BN165" s="211"/>
      <c r="BO165" s="211"/>
      <c r="BP165" s="211"/>
      <c r="BQ165" s="262"/>
      <c r="BR165" s="229"/>
      <c r="BS165" s="229"/>
      <c r="BT165" s="229"/>
      <c r="BU165" s="229"/>
    </row>
    <row r="166" spans="1:73" ht="12.75">
      <c r="A166" s="211"/>
      <c r="B166" s="70"/>
      <c r="C166" s="231"/>
      <c r="D166" s="211"/>
      <c r="E166" s="211"/>
      <c r="F166" s="296"/>
      <c r="G166" s="296"/>
      <c r="H166" s="296"/>
      <c r="I166" s="170"/>
      <c r="J166" s="170"/>
      <c r="K166" s="171"/>
      <c r="L166" s="296"/>
      <c r="M166" s="211"/>
      <c r="N166" s="161"/>
      <c r="O166" s="161"/>
      <c r="P166" s="161"/>
      <c r="Q166" s="161"/>
      <c r="R166" s="161"/>
      <c r="S166" s="101"/>
      <c r="T166" s="161"/>
      <c r="U166" s="175"/>
      <c r="V166" s="95"/>
      <c r="W166" s="95"/>
      <c r="X166" s="95"/>
      <c r="Y166" s="95"/>
      <c r="Z166" s="96"/>
      <c r="AA166" s="88"/>
      <c r="AB166" s="155"/>
      <c r="AC166" s="296"/>
      <c r="AD166" s="211"/>
      <c r="AE166" s="260"/>
      <c r="AF166" s="294"/>
      <c r="AG166" s="172"/>
      <c r="AH166" s="172"/>
      <c r="AI166" s="110"/>
      <c r="AJ166" s="111"/>
      <c r="AK166" s="229"/>
      <c r="AL166" s="211"/>
      <c r="AM166" s="217"/>
      <c r="AN166" s="297"/>
      <c r="AO166" s="260"/>
      <c r="AP166" s="146"/>
      <c r="AQ166" s="147"/>
      <c r="AR166" s="70"/>
      <c r="AS166" s="70"/>
      <c r="AT166" s="95"/>
      <c r="AU166" s="95"/>
      <c r="AV166" s="95"/>
      <c r="AW166" s="70"/>
      <c r="AX166" s="298"/>
      <c r="AY166" s="297"/>
      <c r="AZ166" s="211"/>
      <c r="BA166" s="294"/>
      <c r="BB166" s="70"/>
      <c r="BC166" s="141"/>
      <c r="BD166" s="211"/>
      <c r="BE166" s="257"/>
      <c r="BF166" s="70"/>
      <c r="BG166" s="261"/>
      <c r="BH166" s="211"/>
      <c r="BI166" s="211"/>
      <c r="BJ166" s="211"/>
      <c r="BK166" s="211"/>
      <c r="BL166" s="161"/>
      <c r="BM166" s="70"/>
      <c r="BN166" s="211"/>
      <c r="BO166" s="211"/>
      <c r="BP166" s="211"/>
      <c r="BQ166" s="262"/>
      <c r="BR166" s="229"/>
      <c r="BS166" s="229"/>
      <c r="BT166" s="229"/>
      <c r="BU166" s="229"/>
    </row>
    <row r="167" spans="1:73" ht="12.75">
      <c r="A167" s="211"/>
      <c r="B167" s="70"/>
      <c r="C167" s="231"/>
      <c r="D167" s="211"/>
      <c r="E167" s="211"/>
      <c r="F167" s="296"/>
      <c r="G167" s="296"/>
      <c r="H167" s="296"/>
      <c r="I167" s="170"/>
      <c r="J167" s="170"/>
      <c r="K167" s="171"/>
      <c r="L167" s="296"/>
      <c r="M167" s="211"/>
      <c r="N167" s="161"/>
      <c r="O167" s="161"/>
      <c r="P167" s="161"/>
      <c r="Q167" s="161"/>
      <c r="R167" s="161"/>
      <c r="S167" s="101"/>
      <c r="T167" s="161"/>
      <c r="U167" s="175"/>
      <c r="V167" s="95"/>
      <c r="W167" s="95"/>
      <c r="X167" s="95"/>
      <c r="Y167" s="95"/>
      <c r="Z167" s="96"/>
      <c r="AA167" s="88"/>
      <c r="AB167" s="155"/>
      <c r="AC167" s="296"/>
      <c r="AD167" s="211"/>
      <c r="AE167" s="260"/>
      <c r="AF167" s="294"/>
      <c r="AG167" s="172"/>
      <c r="AH167" s="172"/>
      <c r="AI167" s="110"/>
      <c r="AJ167" s="111"/>
      <c r="AK167" s="229"/>
      <c r="AL167" s="211"/>
      <c r="AM167" s="217"/>
      <c r="AN167" s="297"/>
      <c r="AO167" s="260"/>
      <c r="AP167" s="146"/>
      <c r="AQ167" s="147"/>
      <c r="AR167" s="70"/>
      <c r="AS167" s="70"/>
      <c r="AT167" s="95"/>
      <c r="AU167" s="95"/>
      <c r="AV167" s="95"/>
      <c r="AW167" s="70"/>
      <c r="AX167" s="298"/>
      <c r="AY167" s="297"/>
      <c r="AZ167" s="211"/>
      <c r="BA167" s="294"/>
      <c r="BB167" s="70"/>
      <c r="BC167" s="141"/>
      <c r="BD167" s="211"/>
      <c r="BE167" s="257"/>
      <c r="BF167" s="70"/>
      <c r="BG167" s="261"/>
      <c r="BH167" s="211"/>
      <c r="BI167" s="211"/>
      <c r="BJ167" s="211"/>
      <c r="BK167" s="211"/>
      <c r="BL167" s="161"/>
      <c r="BM167" s="70"/>
      <c r="BN167" s="211"/>
      <c r="BO167" s="211"/>
      <c r="BP167" s="211"/>
      <c r="BQ167" s="262"/>
      <c r="BR167" s="229"/>
      <c r="BS167" s="229"/>
      <c r="BT167" s="229"/>
      <c r="BU167" s="229"/>
    </row>
    <row r="168" spans="1:73" ht="12.75">
      <c r="A168" s="211"/>
      <c r="B168" s="70"/>
      <c r="C168" s="231"/>
      <c r="D168" s="211"/>
      <c r="E168" s="211"/>
      <c r="F168" s="296"/>
      <c r="G168" s="296"/>
      <c r="H168" s="296"/>
      <c r="I168" s="170"/>
      <c r="J168" s="170"/>
      <c r="K168" s="171"/>
      <c r="L168" s="296"/>
      <c r="M168" s="211"/>
      <c r="N168" s="161"/>
      <c r="O168" s="161"/>
      <c r="P168" s="161"/>
      <c r="Q168" s="161"/>
      <c r="R168" s="161"/>
      <c r="S168" s="101"/>
      <c r="T168" s="161"/>
      <c r="U168" s="175"/>
      <c r="V168" s="95"/>
      <c r="W168" s="95"/>
      <c r="X168" s="95"/>
      <c r="Y168" s="95"/>
      <c r="Z168" s="96"/>
      <c r="AA168" s="88"/>
      <c r="AB168" s="155"/>
      <c r="AC168" s="296"/>
      <c r="AD168" s="211"/>
      <c r="AE168" s="260"/>
      <c r="AF168" s="294"/>
      <c r="AG168" s="172"/>
      <c r="AH168" s="172"/>
      <c r="AI168" s="110"/>
      <c r="AJ168" s="111"/>
      <c r="AK168" s="229"/>
      <c r="AL168" s="211"/>
      <c r="AM168" s="217"/>
      <c r="AN168" s="297"/>
      <c r="AO168" s="260"/>
      <c r="AP168" s="146"/>
      <c r="AQ168" s="147"/>
      <c r="AR168" s="70"/>
      <c r="AS168" s="70"/>
      <c r="AT168" s="95"/>
      <c r="AU168" s="95"/>
      <c r="AV168" s="95"/>
      <c r="AW168" s="70"/>
      <c r="AX168" s="298"/>
      <c r="AY168" s="297"/>
      <c r="AZ168" s="211"/>
      <c r="BA168" s="294"/>
      <c r="BB168" s="70"/>
      <c r="BC168" s="141"/>
      <c r="BD168" s="211"/>
      <c r="BE168" s="257"/>
      <c r="BF168" s="70"/>
      <c r="BG168" s="261"/>
      <c r="BH168" s="211"/>
      <c r="BI168" s="211"/>
      <c r="BJ168" s="211"/>
      <c r="BK168" s="211"/>
      <c r="BL168" s="161"/>
      <c r="BM168" s="70"/>
      <c r="BN168" s="211"/>
      <c r="BO168" s="211"/>
      <c r="BP168" s="211"/>
      <c r="BQ168" s="262"/>
      <c r="BR168" s="229"/>
      <c r="BS168" s="229"/>
      <c r="BT168" s="229"/>
      <c r="BU168" s="229"/>
    </row>
    <row r="169" spans="1:73" ht="12.75">
      <c r="A169" s="211"/>
      <c r="B169" s="70"/>
      <c r="C169" s="231"/>
      <c r="D169" s="211"/>
      <c r="E169" s="211"/>
      <c r="F169" s="296"/>
      <c r="G169" s="296"/>
      <c r="H169" s="296"/>
      <c r="I169" s="170"/>
      <c r="J169" s="170"/>
      <c r="K169" s="171"/>
      <c r="L169" s="296"/>
      <c r="M169" s="211"/>
      <c r="N169" s="161"/>
      <c r="O169" s="161"/>
      <c r="P169" s="161"/>
      <c r="Q169" s="161"/>
      <c r="R169" s="161"/>
      <c r="S169" s="101"/>
      <c r="T169" s="161"/>
      <c r="U169" s="175"/>
      <c r="V169" s="95"/>
      <c r="W169" s="95"/>
      <c r="X169" s="95"/>
      <c r="Y169" s="95"/>
      <c r="Z169" s="96"/>
      <c r="AA169" s="88"/>
      <c r="AB169" s="155"/>
      <c r="AC169" s="296"/>
      <c r="AD169" s="211"/>
      <c r="AE169" s="260"/>
      <c r="AF169" s="294"/>
      <c r="AG169" s="172"/>
      <c r="AH169" s="172"/>
      <c r="AI169" s="110"/>
      <c r="AJ169" s="111"/>
      <c r="AK169" s="229"/>
      <c r="AL169" s="211"/>
      <c r="AM169" s="217"/>
      <c r="AN169" s="297"/>
      <c r="AO169" s="260"/>
      <c r="AP169" s="146"/>
      <c r="AQ169" s="147"/>
      <c r="AR169" s="70"/>
      <c r="AS169" s="70"/>
      <c r="AT169" s="95"/>
      <c r="AU169" s="95"/>
      <c r="AV169" s="95"/>
      <c r="AW169" s="70"/>
      <c r="AX169" s="298"/>
      <c r="AY169" s="297"/>
      <c r="AZ169" s="211"/>
      <c r="BA169" s="294"/>
      <c r="BB169" s="70"/>
      <c r="BC169" s="141"/>
      <c r="BD169" s="211"/>
      <c r="BE169" s="257"/>
      <c r="BF169" s="70"/>
      <c r="BG169" s="261"/>
      <c r="BH169" s="211"/>
      <c r="BI169" s="211"/>
      <c r="BJ169" s="211"/>
      <c r="BK169" s="211"/>
      <c r="BL169" s="161"/>
      <c r="BM169" s="70"/>
      <c r="BN169" s="211"/>
      <c r="BO169" s="211"/>
      <c r="BP169" s="211"/>
      <c r="BQ169" s="262"/>
      <c r="BR169" s="229"/>
      <c r="BS169" s="229"/>
      <c r="BT169" s="229"/>
      <c r="BU169" s="229"/>
    </row>
    <row r="170" spans="1:73" ht="12.75">
      <c r="A170" s="211"/>
      <c r="B170" s="70"/>
      <c r="C170" s="231"/>
      <c r="D170" s="211"/>
      <c r="E170" s="211"/>
      <c r="F170" s="296"/>
      <c r="G170" s="296"/>
      <c r="H170" s="296"/>
      <c r="I170" s="170"/>
      <c r="J170" s="170"/>
      <c r="K170" s="171"/>
      <c r="L170" s="296"/>
      <c r="M170" s="211"/>
      <c r="N170" s="161"/>
      <c r="O170" s="161"/>
      <c r="P170" s="161"/>
      <c r="Q170" s="161"/>
      <c r="R170" s="161"/>
      <c r="S170" s="101"/>
      <c r="T170" s="161"/>
      <c r="U170" s="175"/>
      <c r="V170" s="95"/>
      <c r="W170" s="95"/>
      <c r="X170" s="95"/>
      <c r="Y170" s="95"/>
      <c r="Z170" s="96"/>
      <c r="AA170" s="88"/>
      <c r="AB170" s="155"/>
      <c r="AC170" s="296"/>
      <c r="AD170" s="211"/>
      <c r="AE170" s="260"/>
      <c r="AF170" s="294"/>
      <c r="AG170" s="172"/>
      <c r="AH170" s="172"/>
      <c r="AI170" s="110"/>
      <c r="AJ170" s="111"/>
      <c r="AK170" s="229"/>
      <c r="AL170" s="211"/>
      <c r="AM170" s="217"/>
      <c r="AN170" s="297"/>
      <c r="AO170" s="260"/>
      <c r="AP170" s="146"/>
      <c r="AQ170" s="147"/>
      <c r="AR170" s="70"/>
      <c r="AS170" s="70"/>
      <c r="AT170" s="95"/>
      <c r="AU170" s="95"/>
      <c r="AV170" s="95"/>
      <c r="AW170" s="70"/>
      <c r="AX170" s="298"/>
      <c r="AY170" s="297"/>
      <c r="AZ170" s="211"/>
      <c r="BA170" s="294"/>
      <c r="BB170" s="70"/>
      <c r="BC170" s="141"/>
      <c r="BD170" s="211"/>
      <c r="BE170" s="257"/>
      <c r="BF170" s="70"/>
      <c r="BG170" s="261"/>
      <c r="BH170" s="211"/>
      <c r="BI170" s="211"/>
      <c r="BJ170" s="211"/>
      <c r="BK170" s="211"/>
      <c r="BL170" s="161"/>
      <c r="BM170" s="70"/>
      <c r="BN170" s="211"/>
      <c r="BO170" s="211"/>
      <c r="BP170" s="211"/>
      <c r="BQ170" s="262"/>
      <c r="BR170" s="229"/>
      <c r="BS170" s="229"/>
      <c r="BT170" s="229"/>
      <c r="BU170" s="229"/>
    </row>
    <row r="171" spans="1:73" ht="12.75">
      <c r="A171" s="211"/>
      <c r="B171" s="70"/>
      <c r="C171" s="231"/>
      <c r="D171" s="211"/>
      <c r="E171" s="211"/>
      <c r="F171" s="296"/>
      <c r="G171" s="296"/>
      <c r="H171" s="296"/>
      <c r="I171" s="170"/>
      <c r="J171" s="170"/>
      <c r="K171" s="171"/>
      <c r="L171" s="296"/>
      <c r="M171" s="211"/>
      <c r="N171" s="161"/>
      <c r="O171" s="161"/>
      <c r="P171" s="161"/>
      <c r="Q171" s="161"/>
      <c r="R171" s="161"/>
      <c r="S171" s="101"/>
      <c r="T171" s="161"/>
      <c r="U171" s="175"/>
      <c r="V171" s="95"/>
      <c r="W171" s="95"/>
      <c r="X171" s="95"/>
      <c r="Y171" s="95"/>
      <c r="Z171" s="96"/>
      <c r="AA171" s="88"/>
      <c r="AB171" s="155"/>
      <c r="AC171" s="296"/>
      <c r="AD171" s="211"/>
      <c r="AE171" s="260"/>
      <c r="AF171" s="294"/>
      <c r="AG171" s="172"/>
      <c r="AH171" s="172"/>
      <c r="AI171" s="110"/>
      <c r="AJ171" s="111"/>
      <c r="AK171" s="229"/>
      <c r="AL171" s="211"/>
      <c r="AM171" s="217"/>
      <c r="AN171" s="297"/>
      <c r="AO171" s="260"/>
      <c r="AP171" s="146"/>
      <c r="AQ171" s="147"/>
      <c r="AR171" s="70"/>
      <c r="AS171" s="70"/>
      <c r="AT171" s="95"/>
      <c r="AU171" s="95"/>
      <c r="AV171" s="95"/>
      <c r="AW171" s="70"/>
      <c r="AX171" s="298"/>
      <c r="AY171" s="297"/>
      <c r="AZ171" s="211"/>
      <c r="BA171" s="294"/>
      <c r="BB171" s="70"/>
      <c r="BC171" s="141"/>
      <c r="BD171" s="211"/>
      <c r="BE171" s="257"/>
      <c r="BF171" s="70"/>
      <c r="BG171" s="261"/>
      <c r="BH171" s="211"/>
      <c r="BI171" s="211"/>
      <c r="BJ171" s="211"/>
      <c r="BK171" s="211"/>
      <c r="BL171" s="161"/>
      <c r="BM171" s="70"/>
      <c r="BN171" s="211"/>
      <c r="BO171" s="211"/>
      <c r="BP171" s="211"/>
      <c r="BQ171" s="262"/>
      <c r="BR171" s="229"/>
      <c r="BS171" s="229"/>
      <c r="BT171" s="229"/>
      <c r="BU171" s="229"/>
    </row>
    <row r="172" spans="1:73" ht="12.75">
      <c r="A172" s="211"/>
      <c r="B172" s="70"/>
      <c r="C172" s="231"/>
      <c r="D172" s="211"/>
      <c r="E172" s="211"/>
      <c r="F172" s="296"/>
      <c r="G172" s="296"/>
      <c r="H172" s="296"/>
      <c r="I172" s="170"/>
      <c r="J172" s="170"/>
      <c r="K172" s="171"/>
      <c r="L172" s="296"/>
      <c r="M172" s="211"/>
      <c r="N172" s="161"/>
      <c r="O172" s="161"/>
      <c r="P172" s="161"/>
      <c r="Q172" s="161"/>
      <c r="R172" s="161"/>
      <c r="S172" s="101"/>
      <c r="T172" s="161"/>
      <c r="U172" s="175"/>
      <c r="V172" s="95"/>
      <c r="W172" s="95"/>
      <c r="X172" s="95"/>
      <c r="Y172" s="95"/>
      <c r="Z172" s="96"/>
      <c r="AA172" s="88"/>
      <c r="AB172" s="155"/>
      <c r="AC172" s="296"/>
      <c r="AD172" s="211"/>
      <c r="AE172" s="260"/>
      <c r="AF172" s="294"/>
      <c r="AG172" s="172"/>
      <c r="AH172" s="172"/>
      <c r="AI172" s="110"/>
      <c r="AJ172" s="111"/>
      <c r="AK172" s="229"/>
      <c r="AL172" s="211"/>
      <c r="AM172" s="217"/>
      <c r="AN172" s="297"/>
      <c r="AO172" s="260"/>
      <c r="AP172" s="146"/>
      <c r="AQ172" s="147"/>
      <c r="AR172" s="70"/>
      <c r="AS172" s="70"/>
      <c r="AT172" s="95"/>
      <c r="AU172" s="95"/>
      <c r="AV172" s="95"/>
      <c r="AW172" s="70"/>
      <c r="AX172" s="298"/>
      <c r="AY172" s="297"/>
      <c r="AZ172" s="211"/>
      <c r="BA172" s="294"/>
      <c r="BB172" s="70"/>
      <c r="BC172" s="141"/>
      <c r="BD172" s="211"/>
      <c r="BE172" s="257"/>
      <c r="BF172" s="70"/>
      <c r="BG172" s="261"/>
      <c r="BH172" s="211"/>
      <c r="BI172" s="211"/>
      <c r="BJ172" s="211"/>
      <c r="BK172" s="211"/>
      <c r="BL172" s="161"/>
      <c r="BM172" s="70"/>
      <c r="BN172" s="211"/>
      <c r="BO172" s="211"/>
      <c r="BP172" s="211"/>
      <c r="BQ172" s="262"/>
      <c r="BR172" s="229"/>
      <c r="BS172" s="229"/>
      <c r="BT172" s="229"/>
      <c r="BU172" s="229"/>
    </row>
    <row r="173" spans="1:73" ht="12.75">
      <c r="A173" s="211"/>
      <c r="B173" s="70"/>
      <c r="C173" s="231"/>
      <c r="D173" s="211"/>
      <c r="E173" s="211"/>
      <c r="F173" s="296"/>
      <c r="G173" s="296"/>
      <c r="H173" s="296"/>
      <c r="I173" s="170"/>
      <c r="J173" s="170"/>
      <c r="K173" s="171"/>
      <c r="L173" s="296"/>
      <c r="M173" s="211"/>
      <c r="N173" s="161"/>
      <c r="O173" s="161"/>
      <c r="P173" s="161"/>
      <c r="Q173" s="161"/>
      <c r="R173" s="161"/>
      <c r="S173" s="101"/>
      <c r="T173" s="161"/>
      <c r="U173" s="175"/>
      <c r="V173" s="95"/>
      <c r="W173" s="95"/>
      <c r="X173" s="95"/>
      <c r="Y173" s="95"/>
      <c r="Z173" s="96"/>
      <c r="AA173" s="88"/>
      <c r="AB173" s="155"/>
      <c r="AC173" s="296"/>
      <c r="AD173" s="211"/>
      <c r="AE173" s="260"/>
      <c r="AF173" s="294"/>
      <c r="AG173" s="172"/>
      <c r="AH173" s="172"/>
      <c r="AI173" s="110"/>
      <c r="AJ173" s="111"/>
      <c r="AK173" s="229"/>
      <c r="AL173" s="211"/>
      <c r="AM173" s="217"/>
      <c r="AN173" s="297"/>
      <c r="AO173" s="260"/>
      <c r="AP173" s="146"/>
      <c r="AQ173" s="147"/>
      <c r="AR173" s="70"/>
      <c r="AS173" s="70"/>
      <c r="AT173" s="95"/>
      <c r="AU173" s="95"/>
      <c r="AV173" s="95"/>
      <c r="AW173" s="70"/>
      <c r="AX173" s="298"/>
      <c r="AY173" s="297"/>
      <c r="AZ173" s="211"/>
      <c r="BA173" s="294"/>
      <c r="BB173" s="70"/>
      <c r="BC173" s="141"/>
      <c r="BD173" s="211"/>
      <c r="BE173" s="257"/>
      <c r="BF173" s="70"/>
      <c r="BG173" s="261"/>
      <c r="BH173" s="211"/>
      <c r="BI173" s="211"/>
      <c r="BJ173" s="211"/>
      <c r="BK173" s="211"/>
      <c r="BL173" s="161"/>
      <c r="BM173" s="70"/>
      <c r="BN173" s="211"/>
      <c r="BO173" s="211"/>
      <c r="BP173" s="211"/>
      <c r="BQ173" s="262"/>
      <c r="BR173" s="229"/>
      <c r="BS173" s="229"/>
      <c r="BT173" s="229"/>
      <c r="BU173" s="229"/>
    </row>
    <row r="174" spans="1:73" ht="12.75">
      <c r="A174" s="211"/>
      <c r="B174" s="70"/>
      <c r="C174" s="231"/>
      <c r="D174" s="211"/>
      <c r="E174" s="211"/>
      <c r="F174" s="296"/>
      <c r="G174" s="296"/>
      <c r="H174" s="296"/>
      <c r="I174" s="170"/>
      <c r="J174" s="170"/>
      <c r="K174" s="171"/>
      <c r="L174" s="296"/>
      <c r="M174" s="211"/>
      <c r="N174" s="161"/>
      <c r="O174" s="161"/>
      <c r="P174" s="161"/>
      <c r="Q174" s="161"/>
      <c r="R174" s="161"/>
      <c r="S174" s="101"/>
      <c r="T174" s="161"/>
      <c r="U174" s="175"/>
      <c r="V174" s="95"/>
      <c r="W174" s="95"/>
      <c r="X174" s="95"/>
      <c r="Y174" s="95"/>
      <c r="Z174" s="96"/>
      <c r="AA174" s="88"/>
      <c r="AB174" s="155"/>
      <c r="AC174" s="296"/>
      <c r="AD174" s="211"/>
      <c r="AE174" s="260"/>
      <c r="AF174" s="294"/>
      <c r="AG174" s="172"/>
      <c r="AH174" s="172"/>
      <c r="AI174" s="110"/>
      <c r="AJ174" s="111"/>
      <c r="AK174" s="229"/>
      <c r="AL174" s="211"/>
      <c r="AM174" s="217"/>
      <c r="AN174" s="297"/>
      <c r="AO174" s="260"/>
      <c r="AP174" s="146"/>
      <c r="AQ174" s="147"/>
      <c r="AR174" s="70"/>
      <c r="AS174" s="70"/>
      <c r="AT174" s="95"/>
      <c r="AU174" s="95"/>
      <c r="AV174" s="95"/>
      <c r="AW174" s="70"/>
      <c r="AX174" s="298"/>
      <c r="AY174" s="297"/>
      <c r="AZ174" s="211"/>
      <c r="BA174" s="294"/>
      <c r="BB174" s="70"/>
      <c r="BC174" s="141"/>
      <c r="BD174" s="211"/>
      <c r="BE174" s="257"/>
      <c r="BF174" s="70"/>
      <c r="BG174" s="261"/>
      <c r="BH174" s="211"/>
      <c r="BI174" s="211"/>
      <c r="BJ174" s="211"/>
      <c r="BK174" s="211"/>
      <c r="BL174" s="161"/>
      <c r="BM174" s="70"/>
      <c r="BN174" s="211"/>
      <c r="BO174" s="211"/>
      <c r="BP174" s="211"/>
      <c r="BQ174" s="262"/>
      <c r="BR174" s="229"/>
      <c r="BS174" s="229"/>
      <c r="BT174" s="229"/>
      <c r="BU174" s="229"/>
    </row>
    <row r="175" spans="1:73" ht="12.75">
      <c r="A175" s="211"/>
      <c r="B175" s="70"/>
      <c r="C175" s="231"/>
      <c r="D175" s="211"/>
      <c r="E175" s="211"/>
      <c r="F175" s="296"/>
      <c r="G175" s="296"/>
      <c r="H175" s="296"/>
      <c r="I175" s="170"/>
      <c r="J175" s="170"/>
      <c r="K175" s="171"/>
      <c r="L175" s="296"/>
      <c r="M175" s="211"/>
      <c r="N175" s="161"/>
      <c r="O175" s="161"/>
      <c r="P175" s="161"/>
      <c r="Q175" s="161"/>
      <c r="R175" s="161"/>
      <c r="S175" s="101"/>
      <c r="T175" s="161"/>
      <c r="U175" s="175"/>
      <c r="V175" s="95"/>
      <c r="W175" s="95"/>
      <c r="X175" s="95"/>
      <c r="Y175" s="95"/>
      <c r="Z175" s="96"/>
      <c r="AA175" s="88"/>
      <c r="AB175" s="155"/>
      <c r="AC175" s="296"/>
      <c r="AD175" s="211"/>
      <c r="AE175" s="260"/>
      <c r="AF175" s="294"/>
      <c r="AG175" s="172"/>
      <c r="AH175" s="172"/>
      <c r="AI175" s="110"/>
      <c r="AJ175" s="111"/>
      <c r="AK175" s="229"/>
      <c r="AL175" s="211"/>
      <c r="AM175" s="217"/>
      <c r="AN175" s="297"/>
      <c r="AO175" s="260"/>
      <c r="AP175" s="146"/>
      <c r="AQ175" s="147"/>
      <c r="AR175" s="70"/>
      <c r="AS175" s="70"/>
      <c r="AT175" s="95"/>
      <c r="AU175" s="95"/>
      <c r="AV175" s="95"/>
      <c r="AW175" s="70"/>
      <c r="AX175" s="298"/>
      <c r="AY175" s="297"/>
      <c r="AZ175" s="211"/>
      <c r="BA175" s="294"/>
      <c r="BB175" s="70"/>
      <c r="BC175" s="141"/>
      <c r="BD175" s="211"/>
      <c r="BE175" s="257"/>
      <c r="BF175" s="70"/>
      <c r="BG175" s="261"/>
      <c r="BH175" s="211"/>
      <c r="BI175" s="211"/>
      <c r="BJ175" s="211"/>
      <c r="BK175" s="211"/>
      <c r="BL175" s="161"/>
      <c r="BM175" s="70"/>
      <c r="BN175" s="211"/>
      <c r="BO175" s="211"/>
      <c r="BP175" s="211"/>
      <c r="BQ175" s="262"/>
      <c r="BR175" s="229"/>
      <c r="BS175" s="229"/>
      <c r="BT175" s="229"/>
      <c r="BU175" s="229"/>
    </row>
    <row r="176" spans="1:73" ht="12.75">
      <c r="A176" s="211"/>
      <c r="B176" s="70"/>
      <c r="C176" s="231"/>
      <c r="D176" s="211"/>
      <c r="E176" s="211"/>
      <c r="F176" s="296"/>
      <c r="G176" s="296"/>
      <c r="H176" s="296"/>
      <c r="I176" s="170"/>
      <c r="J176" s="170"/>
      <c r="K176" s="171"/>
      <c r="L176" s="296"/>
      <c r="M176" s="211"/>
      <c r="N176" s="161"/>
      <c r="O176" s="161"/>
      <c r="P176" s="161"/>
      <c r="Q176" s="161"/>
      <c r="R176" s="161"/>
      <c r="S176" s="101"/>
      <c r="T176" s="161"/>
      <c r="U176" s="175"/>
      <c r="V176" s="95"/>
      <c r="W176" s="95"/>
      <c r="X176" s="95"/>
      <c r="Y176" s="95"/>
      <c r="Z176" s="96"/>
      <c r="AA176" s="88"/>
      <c r="AB176" s="155"/>
      <c r="AC176" s="296"/>
      <c r="AD176" s="211"/>
      <c r="AE176" s="260"/>
      <c r="AF176" s="294"/>
      <c r="AG176" s="172"/>
      <c r="AH176" s="172"/>
      <c r="AI176" s="110"/>
      <c r="AJ176" s="111"/>
      <c r="AK176" s="229"/>
      <c r="AL176" s="211"/>
      <c r="AM176" s="217"/>
      <c r="AN176" s="297"/>
      <c r="AO176" s="260"/>
      <c r="AP176" s="146"/>
      <c r="AQ176" s="147"/>
      <c r="AR176" s="70"/>
      <c r="AS176" s="70"/>
      <c r="AT176" s="95"/>
      <c r="AU176" s="95"/>
      <c r="AV176" s="95"/>
      <c r="AW176" s="70"/>
      <c r="AX176" s="298"/>
      <c r="AY176" s="297"/>
      <c r="AZ176" s="211"/>
      <c r="BA176" s="294"/>
      <c r="BB176" s="70"/>
      <c r="BC176" s="141"/>
      <c r="BD176" s="211"/>
      <c r="BE176" s="257"/>
      <c r="BF176" s="70"/>
      <c r="BG176" s="261"/>
      <c r="BH176" s="211"/>
      <c r="BI176" s="211"/>
      <c r="BJ176" s="211"/>
      <c r="BK176" s="211"/>
      <c r="BL176" s="161"/>
      <c r="BM176" s="70"/>
      <c r="BN176" s="211"/>
      <c r="BO176" s="211"/>
      <c r="BP176" s="211"/>
      <c r="BQ176" s="262"/>
      <c r="BR176" s="229"/>
      <c r="BS176" s="229"/>
      <c r="BT176" s="229"/>
      <c r="BU176" s="229"/>
    </row>
    <row r="177" spans="1:73" ht="12.75">
      <c r="A177" s="211"/>
      <c r="B177" s="70"/>
      <c r="C177" s="231"/>
      <c r="D177" s="211"/>
      <c r="E177" s="211"/>
      <c r="F177" s="296"/>
      <c r="G177" s="296"/>
      <c r="H177" s="296"/>
      <c r="I177" s="170"/>
      <c r="J177" s="170"/>
      <c r="K177" s="171"/>
      <c r="L177" s="296"/>
      <c r="M177" s="211"/>
      <c r="N177" s="161"/>
      <c r="O177" s="161"/>
      <c r="P177" s="161"/>
      <c r="Q177" s="161"/>
      <c r="R177" s="161"/>
      <c r="S177" s="101"/>
      <c r="T177" s="161"/>
      <c r="U177" s="175"/>
      <c r="V177" s="95"/>
      <c r="W177" s="95"/>
      <c r="X177" s="95"/>
      <c r="Y177" s="95"/>
      <c r="Z177" s="96"/>
      <c r="AA177" s="88"/>
      <c r="AB177" s="155"/>
      <c r="AC177" s="296"/>
      <c r="AD177" s="211"/>
      <c r="AE177" s="260"/>
      <c r="AF177" s="294"/>
      <c r="AG177" s="172"/>
      <c r="AH177" s="172"/>
      <c r="AI177" s="110"/>
      <c r="AJ177" s="111"/>
      <c r="AK177" s="229"/>
      <c r="AL177" s="211"/>
      <c r="AM177" s="217"/>
      <c r="AN177" s="297"/>
      <c r="AO177" s="260"/>
      <c r="AP177" s="146"/>
      <c r="AQ177" s="147"/>
      <c r="AR177" s="70"/>
      <c r="AS177" s="70"/>
      <c r="AT177" s="95"/>
      <c r="AU177" s="95"/>
      <c r="AV177" s="95"/>
      <c r="AW177" s="70"/>
      <c r="AX177" s="298"/>
      <c r="AY177" s="297"/>
      <c r="AZ177" s="211"/>
      <c r="BA177" s="294"/>
      <c r="BB177" s="70"/>
      <c r="BC177" s="141"/>
      <c r="BD177" s="211"/>
      <c r="BE177" s="257"/>
      <c r="BF177" s="70"/>
      <c r="BG177" s="261"/>
      <c r="BH177" s="211"/>
      <c r="BI177" s="211"/>
      <c r="BJ177" s="211"/>
      <c r="BK177" s="211"/>
      <c r="BL177" s="161"/>
      <c r="BM177" s="70"/>
      <c r="BN177" s="211"/>
      <c r="BO177" s="211"/>
      <c r="BP177" s="211"/>
      <c r="BQ177" s="262"/>
      <c r="BR177" s="229"/>
      <c r="BS177" s="229"/>
      <c r="BT177" s="229"/>
      <c r="BU177" s="229"/>
    </row>
    <row r="178" spans="1:73" ht="12.75">
      <c r="A178" s="211"/>
      <c r="B178" s="70"/>
      <c r="C178" s="231"/>
      <c r="D178" s="211"/>
      <c r="E178" s="211"/>
      <c r="F178" s="296"/>
      <c r="G178" s="296"/>
      <c r="H178" s="296"/>
      <c r="I178" s="170"/>
      <c r="J178" s="170"/>
      <c r="K178" s="171"/>
      <c r="L178" s="296"/>
      <c r="M178" s="211"/>
      <c r="N178" s="161"/>
      <c r="O178" s="161"/>
      <c r="P178" s="161"/>
      <c r="Q178" s="161"/>
      <c r="R178" s="161"/>
      <c r="S178" s="101"/>
      <c r="T178" s="161"/>
      <c r="U178" s="175"/>
      <c r="V178" s="95"/>
      <c r="W178" s="95"/>
      <c r="X178" s="95"/>
      <c r="Y178" s="95"/>
      <c r="Z178" s="96"/>
      <c r="AA178" s="88"/>
      <c r="AB178" s="155"/>
      <c r="AC178" s="296"/>
      <c r="AD178" s="211"/>
      <c r="AE178" s="260"/>
      <c r="AF178" s="294"/>
      <c r="AG178" s="172"/>
      <c r="AH178" s="172"/>
      <c r="AI178" s="110"/>
      <c r="AJ178" s="111"/>
      <c r="AK178" s="229"/>
      <c r="AL178" s="211"/>
      <c r="AM178" s="217"/>
      <c r="AN178" s="297"/>
      <c r="AO178" s="260"/>
      <c r="AP178" s="146"/>
      <c r="AQ178" s="147"/>
      <c r="AR178" s="70"/>
      <c r="AS178" s="70"/>
      <c r="AT178" s="95"/>
      <c r="AU178" s="95"/>
      <c r="AV178" s="95"/>
      <c r="AW178" s="70"/>
      <c r="AX178" s="298"/>
      <c r="AY178" s="297"/>
      <c r="AZ178" s="211"/>
      <c r="BA178" s="294"/>
      <c r="BB178" s="70"/>
      <c r="BC178" s="141"/>
      <c r="BD178" s="211"/>
      <c r="BE178" s="257"/>
      <c r="BF178" s="70"/>
      <c r="BG178" s="261"/>
      <c r="BH178" s="211"/>
      <c r="BI178" s="211"/>
      <c r="BJ178" s="211"/>
      <c r="BK178" s="211"/>
      <c r="BL178" s="161"/>
      <c r="BM178" s="70"/>
      <c r="BN178" s="211"/>
      <c r="BO178" s="211"/>
      <c r="BP178" s="211"/>
      <c r="BQ178" s="262"/>
      <c r="BR178" s="229"/>
      <c r="BS178" s="229"/>
      <c r="BT178" s="229"/>
      <c r="BU178" s="229"/>
    </row>
    <row r="179" spans="1:73" ht="12.75">
      <c r="A179" s="211"/>
      <c r="B179" s="70"/>
      <c r="C179" s="231"/>
      <c r="D179" s="211"/>
      <c r="E179" s="211"/>
      <c r="F179" s="296"/>
      <c r="G179" s="296"/>
      <c r="H179" s="296"/>
      <c r="I179" s="170"/>
      <c r="J179" s="170"/>
      <c r="K179" s="171"/>
      <c r="L179" s="296"/>
      <c r="M179" s="211"/>
      <c r="N179" s="161"/>
      <c r="O179" s="161"/>
      <c r="P179" s="161"/>
      <c r="Q179" s="161"/>
      <c r="R179" s="161"/>
      <c r="S179" s="101"/>
      <c r="T179" s="161"/>
      <c r="U179" s="175"/>
      <c r="V179" s="95"/>
      <c r="W179" s="95"/>
      <c r="X179" s="95"/>
      <c r="Y179" s="95"/>
      <c r="Z179" s="96"/>
      <c r="AA179" s="88"/>
      <c r="AB179" s="155"/>
      <c r="AC179" s="296"/>
      <c r="AD179" s="211"/>
      <c r="AE179" s="260"/>
      <c r="AF179" s="294"/>
      <c r="AG179" s="172"/>
      <c r="AH179" s="172"/>
      <c r="AI179" s="110"/>
      <c r="AJ179" s="111"/>
      <c r="AK179" s="229"/>
      <c r="AL179" s="211"/>
      <c r="AM179" s="217"/>
      <c r="AN179" s="297"/>
      <c r="AO179" s="260"/>
      <c r="AP179" s="146"/>
      <c r="AQ179" s="147"/>
      <c r="AR179" s="70"/>
      <c r="AS179" s="70"/>
      <c r="AT179" s="95"/>
      <c r="AU179" s="95"/>
      <c r="AV179" s="95"/>
      <c r="AW179" s="70"/>
      <c r="AX179" s="298"/>
      <c r="AY179" s="297"/>
      <c r="AZ179" s="211"/>
      <c r="BA179" s="294"/>
      <c r="BB179" s="70"/>
      <c r="BC179" s="141"/>
      <c r="BD179" s="211"/>
      <c r="BE179" s="257"/>
      <c r="BF179" s="70"/>
      <c r="BG179" s="261"/>
      <c r="BH179" s="211"/>
      <c r="BI179" s="211"/>
      <c r="BJ179" s="211"/>
      <c r="BK179" s="211"/>
      <c r="BL179" s="161"/>
      <c r="BM179" s="70"/>
      <c r="BN179" s="211"/>
      <c r="BO179" s="211"/>
      <c r="BP179" s="211"/>
      <c r="BQ179" s="262"/>
      <c r="BR179" s="229"/>
      <c r="BS179" s="229"/>
      <c r="BT179" s="229"/>
      <c r="BU179" s="229"/>
    </row>
    <row r="180" spans="1:73" ht="12.75">
      <c r="A180" s="211"/>
      <c r="B180" s="70"/>
      <c r="C180" s="231"/>
      <c r="D180" s="211"/>
      <c r="E180" s="211"/>
      <c r="F180" s="296"/>
      <c r="G180" s="296"/>
      <c r="H180" s="296"/>
      <c r="I180" s="170"/>
      <c r="J180" s="170"/>
      <c r="K180" s="171"/>
      <c r="L180" s="296"/>
      <c r="M180" s="211"/>
      <c r="N180" s="161"/>
      <c r="O180" s="161"/>
      <c r="P180" s="161"/>
      <c r="Q180" s="161"/>
      <c r="R180" s="161"/>
      <c r="S180" s="101"/>
      <c r="T180" s="161"/>
      <c r="U180" s="175"/>
      <c r="V180" s="95"/>
      <c r="W180" s="95"/>
      <c r="X180" s="95"/>
      <c r="Y180" s="95"/>
      <c r="Z180" s="96"/>
      <c r="AA180" s="88"/>
      <c r="AB180" s="155"/>
      <c r="AC180" s="296"/>
      <c r="AD180" s="211"/>
      <c r="AE180" s="260"/>
      <c r="AF180" s="294"/>
      <c r="AG180" s="172"/>
      <c r="AH180" s="172"/>
      <c r="AI180" s="110"/>
      <c r="AJ180" s="111"/>
      <c r="AK180" s="229"/>
      <c r="AL180" s="211"/>
      <c r="AM180" s="217"/>
      <c r="AN180" s="297"/>
      <c r="AO180" s="260"/>
      <c r="AP180" s="146"/>
      <c r="AQ180" s="147"/>
      <c r="AR180" s="70"/>
      <c r="AS180" s="70"/>
      <c r="AT180" s="95"/>
      <c r="AU180" s="95"/>
      <c r="AV180" s="95"/>
      <c r="AW180" s="70"/>
      <c r="AX180" s="298"/>
      <c r="AY180" s="297"/>
      <c r="AZ180" s="211"/>
      <c r="BA180" s="294"/>
      <c r="BB180" s="70"/>
      <c r="BC180" s="141"/>
      <c r="BD180" s="211"/>
      <c r="BE180" s="257"/>
      <c r="BF180" s="70"/>
      <c r="BG180" s="261"/>
      <c r="BH180" s="211"/>
      <c r="BI180" s="211"/>
      <c r="BJ180" s="211"/>
      <c r="BK180" s="211"/>
      <c r="BL180" s="161"/>
      <c r="BM180" s="70"/>
      <c r="BN180" s="211"/>
      <c r="BO180" s="211"/>
      <c r="BP180" s="211"/>
      <c r="BQ180" s="262"/>
      <c r="BR180" s="229"/>
      <c r="BS180" s="229"/>
      <c r="BT180" s="229"/>
      <c r="BU180" s="229"/>
    </row>
    <row r="181" spans="1:73" ht="12.75">
      <c r="A181" s="211"/>
      <c r="B181" s="70"/>
      <c r="C181" s="231"/>
      <c r="D181" s="211"/>
      <c r="E181" s="211"/>
      <c r="F181" s="296"/>
      <c r="G181" s="296"/>
      <c r="H181" s="296"/>
      <c r="I181" s="170"/>
      <c r="J181" s="170"/>
      <c r="K181" s="171"/>
      <c r="L181" s="296"/>
      <c r="M181" s="211"/>
      <c r="N181" s="161"/>
      <c r="O181" s="161"/>
      <c r="P181" s="161"/>
      <c r="Q181" s="161"/>
      <c r="R181" s="161"/>
      <c r="S181" s="101"/>
      <c r="T181" s="161"/>
      <c r="U181" s="175"/>
      <c r="V181" s="95"/>
      <c r="W181" s="95"/>
      <c r="X181" s="95"/>
      <c r="Y181" s="95"/>
      <c r="Z181" s="96"/>
      <c r="AA181" s="88"/>
      <c r="AB181" s="155"/>
      <c r="AC181" s="296"/>
      <c r="AD181" s="211"/>
      <c r="AE181" s="260"/>
      <c r="AF181" s="294"/>
      <c r="AG181" s="172"/>
      <c r="AH181" s="172"/>
      <c r="AI181" s="110"/>
      <c r="AJ181" s="111"/>
      <c r="AK181" s="229"/>
      <c r="AL181" s="211"/>
      <c r="AM181" s="217"/>
      <c r="AN181" s="297"/>
      <c r="AO181" s="260"/>
      <c r="AP181" s="146"/>
      <c r="AQ181" s="147"/>
      <c r="AR181" s="70"/>
      <c r="AS181" s="70"/>
      <c r="AT181" s="95"/>
      <c r="AU181" s="95"/>
      <c r="AV181" s="95"/>
      <c r="AW181" s="70"/>
      <c r="AX181" s="298"/>
      <c r="AY181" s="297"/>
      <c r="AZ181" s="211"/>
      <c r="BA181" s="294"/>
      <c r="BB181" s="70"/>
      <c r="BC181" s="141"/>
      <c r="BD181" s="211"/>
      <c r="BE181" s="257"/>
      <c r="BF181" s="70"/>
      <c r="BG181" s="261"/>
      <c r="BH181" s="211"/>
      <c r="BI181" s="211"/>
      <c r="BJ181" s="211"/>
      <c r="BK181" s="211"/>
      <c r="BL181" s="161"/>
      <c r="BM181" s="70"/>
      <c r="BN181" s="211"/>
      <c r="BO181" s="211"/>
      <c r="BP181" s="211"/>
      <c r="BQ181" s="262"/>
      <c r="BR181" s="229"/>
      <c r="BS181" s="229"/>
      <c r="BT181" s="229"/>
      <c r="BU181" s="229"/>
    </row>
    <row r="182" spans="1:73" ht="12.75">
      <c r="A182" s="211"/>
      <c r="B182" s="70"/>
      <c r="C182" s="231"/>
      <c r="D182" s="211"/>
      <c r="E182" s="211"/>
      <c r="F182" s="296"/>
      <c r="G182" s="296"/>
      <c r="H182" s="296"/>
      <c r="I182" s="170"/>
      <c r="J182" s="170"/>
      <c r="K182" s="171"/>
      <c r="L182" s="296"/>
      <c r="M182" s="211"/>
      <c r="N182" s="161"/>
      <c r="O182" s="161"/>
      <c r="P182" s="161"/>
      <c r="Q182" s="161"/>
      <c r="R182" s="161"/>
      <c r="S182" s="101"/>
      <c r="T182" s="161"/>
      <c r="U182" s="175"/>
      <c r="V182" s="95"/>
      <c r="W182" s="95"/>
      <c r="X182" s="95"/>
      <c r="Y182" s="95"/>
      <c r="Z182" s="96"/>
      <c r="AA182" s="88"/>
      <c r="AB182" s="155"/>
      <c r="AC182" s="296"/>
      <c r="AD182" s="211"/>
      <c r="AE182" s="260"/>
      <c r="AF182" s="294"/>
      <c r="AG182" s="172"/>
      <c r="AH182" s="172"/>
      <c r="AI182" s="110"/>
      <c r="AJ182" s="111"/>
      <c r="AK182" s="229"/>
      <c r="AL182" s="211"/>
      <c r="AM182" s="217"/>
      <c r="AN182" s="297"/>
      <c r="AO182" s="260"/>
      <c r="AP182" s="146"/>
      <c r="AQ182" s="147"/>
      <c r="AR182" s="70"/>
      <c r="AS182" s="70"/>
      <c r="AT182" s="95"/>
      <c r="AU182" s="95"/>
      <c r="AV182" s="95"/>
      <c r="AW182" s="70"/>
      <c r="AX182" s="298"/>
      <c r="AY182" s="297"/>
      <c r="AZ182" s="211"/>
      <c r="BA182" s="294"/>
      <c r="BB182" s="70"/>
      <c r="BC182" s="141"/>
      <c r="BD182" s="211"/>
      <c r="BE182" s="257"/>
      <c r="BF182" s="70"/>
      <c r="BG182" s="261"/>
      <c r="BH182" s="211"/>
      <c r="BI182" s="211"/>
      <c r="BJ182" s="211"/>
      <c r="BK182" s="211"/>
      <c r="BL182" s="161"/>
      <c r="BM182" s="70"/>
      <c r="BN182" s="211"/>
      <c r="BO182" s="211"/>
      <c r="BP182" s="211"/>
      <c r="BQ182" s="262"/>
      <c r="BR182" s="229"/>
      <c r="BS182" s="229"/>
      <c r="BT182" s="229"/>
      <c r="BU182" s="229"/>
    </row>
    <row r="183" spans="1:73" ht="12.75">
      <c r="A183" s="211"/>
      <c r="B183" s="70"/>
      <c r="C183" s="231"/>
      <c r="D183" s="211"/>
      <c r="E183" s="211"/>
      <c r="F183" s="296"/>
      <c r="G183" s="296"/>
      <c r="H183" s="296"/>
      <c r="I183" s="170"/>
      <c r="J183" s="170"/>
      <c r="K183" s="171"/>
      <c r="L183" s="296"/>
      <c r="M183" s="211"/>
      <c r="N183" s="161"/>
      <c r="O183" s="161"/>
      <c r="P183" s="161"/>
      <c r="Q183" s="161"/>
      <c r="R183" s="161"/>
      <c r="S183" s="101"/>
      <c r="T183" s="161"/>
      <c r="U183" s="175"/>
      <c r="V183" s="95"/>
      <c r="W183" s="95"/>
      <c r="X183" s="95"/>
      <c r="Y183" s="95"/>
      <c r="Z183" s="96"/>
      <c r="AA183" s="88"/>
      <c r="AB183" s="155"/>
      <c r="AC183" s="296"/>
      <c r="AD183" s="211"/>
      <c r="AE183" s="260"/>
      <c r="AF183" s="294"/>
      <c r="AG183" s="172"/>
      <c r="AH183" s="172"/>
      <c r="AI183" s="110"/>
      <c r="AJ183" s="111"/>
      <c r="AK183" s="229"/>
      <c r="AL183" s="211"/>
      <c r="AM183" s="217"/>
      <c r="AN183" s="297"/>
      <c r="AO183" s="260"/>
      <c r="AP183" s="146"/>
      <c r="AQ183" s="147"/>
      <c r="AR183" s="70"/>
      <c r="AS183" s="70"/>
      <c r="AT183" s="95"/>
      <c r="AU183" s="95"/>
      <c r="AV183" s="95"/>
      <c r="AW183" s="70"/>
      <c r="AX183" s="298"/>
      <c r="AY183" s="297"/>
      <c r="AZ183" s="211"/>
      <c r="BA183" s="294"/>
      <c r="BB183" s="70"/>
      <c r="BC183" s="141"/>
      <c r="BD183" s="211"/>
      <c r="BE183" s="257"/>
      <c r="BF183" s="70"/>
      <c r="BG183" s="261"/>
      <c r="BH183" s="211"/>
      <c r="BI183" s="211"/>
      <c r="BJ183" s="211"/>
      <c r="BK183" s="211"/>
      <c r="BL183" s="161"/>
      <c r="BM183" s="70"/>
      <c r="BN183" s="211"/>
      <c r="BO183" s="211"/>
      <c r="BP183" s="211"/>
      <c r="BQ183" s="262"/>
      <c r="BR183" s="229"/>
      <c r="BS183" s="229"/>
      <c r="BT183" s="229"/>
      <c r="BU183" s="229"/>
    </row>
    <row r="184" spans="1:73" ht="12.75">
      <c r="A184" s="211"/>
      <c r="B184" s="70"/>
      <c r="C184" s="231"/>
      <c r="D184" s="211"/>
      <c r="E184" s="211"/>
      <c r="F184" s="296"/>
      <c r="G184" s="296"/>
      <c r="H184" s="296"/>
      <c r="I184" s="170"/>
      <c r="J184" s="170"/>
      <c r="K184" s="171"/>
      <c r="L184" s="296"/>
      <c r="M184" s="211"/>
      <c r="N184" s="161"/>
      <c r="O184" s="161"/>
      <c r="P184" s="161"/>
      <c r="Q184" s="161"/>
      <c r="R184" s="161"/>
      <c r="S184" s="101"/>
      <c r="T184" s="161"/>
      <c r="U184" s="175"/>
      <c r="V184" s="95"/>
      <c r="W184" s="95"/>
      <c r="X184" s="95"/>
      <c r="Y184" s="95"/>
      <c r="Z184" s="96"/>
      <c r="AA184" s="88"/>
      <c r="AB184" s="155"/>
      <c r="AC184" s="296"/>
      <c r="AD184" s="211"/>
      <c r="AE184" s="260"/>
      <c r="AF184" s="294"/>
      <c r="AG184" s="172"/>
      <c r="AH184" s="172"/>
      <c r="AI184" s="110"/>
      <c r="AJ184" s="111"/>
      <c r="AK184" s="229"/>
      <c r="AL184" s="211"/>
      <c r="AM184" s="217"/>
      <c r="AN184" s="297"/>
      <c r="AO184" s="260"/>
      <c r="AP184" s="146"/>
      <c r="AQ184" s="147"/>
      <c r="AR184" s="70"/>
      <c r="AS184" s="70"/>
      <c r="AT184" s="95"/>
      <c r="AU184" s="95"/>
      <c r="AV184" s="95"/>
      <c r="AW184" s="70"/>
      <c r="AX184" s="298"/>
      <c r="AY184" s="297"/>
      <c r="AZ184" s="211"/>
      <c r="BA184" s="294"/>
      <c r="BB184" s="70"/>
      <c r="BC184" s="141"/>
      <c r="BD184" s="211"/>
      <c r="BE184" s="257"/>
      <c r="BF184" s="70"/>
      <c r="BG184" s="261"/>
      <c r="BH184" s="211"/>
      <c r="BI184" s="211"/>
      <c r="BJ184" s="211"/>
      <c r="BK184" s="211"/>
      <c r="BL184" s="161"/>
      <c r="BM184" s="70"/>
      <c r="BN184" s="211"/>
      <c r="BO184" s="211"/>
      <c r="BP184" s="211"/>
      <c r="BQ184" s="262"/>
      <c r="BR184" s="229"/>
      <c r="BS184" s="229"/>
      <c r="BT184" s="229"/>
      <c r="BU184" s="229"/>
    </row>
    <row r="185" spans="1:73" ht="12.75">
      <c r="A185" s="211"/>
      <c r="B185" s="70"/>
      <c r="C185" s="231"/>
      <c r="D185" s="211"/>
      <c r="E185" s="211"/>
      <c r="F185" s="296"/>
      <c r="G185" s="296"/>
      <c r="H185" s="296"/>
      <c r="I185" s="170"/>
      <c r="J185" s="170"/>
      <c r="K185" s="171"/>
      <c r="L185" s="296"/>
      <c r="M185" s="211"/>
      <c r="N185" s="161"/>
      <c r="O185" s="161"/>
      <c r="P185" s="161"/>
      <c r="Q185" s="161"/>
      <c r="R185" s="161"/>
      <c r="S185" s="101"/>
      <c r="T185" s="161"/>
      <c r="U185" s="175"/>
      <c r="V185" s="95"/>
      <c r="W185" s="95"/>
      <c r="X185" s="95"/>
      <c r="Y185" s="95"/>
      <c r="Z185" s="96"/>
      <c r="AA185" s="88"/>
      <c r="AB185" s="155"/>
      <c r="AC185" s="296"/>
      <c r="AD185" s="211"/>
      <c r="AE185" s="260"/>
      <c r="AF185" s="294"/>
      <c r="AG185" s="172"/>
      <c r="AH185" s="172"/>
      <c r="AI185" s="110"/>
      <c r="AJ185" s="111"/>
      <c r="AK185" s="229"/>
      <c r="AL185" s="211"/>
      <c r="AM185" s="217"/>
      <c r="AN185" s="297"/>
      <c r="AO185" s="260"/>
      <c r="AP185" s="146"/>
      <c r="AQ185" s="147"/>
      <c r="AR185" s="70"/>
      <c r="AS185" s="70"/>
      <c r="AT185" s="95"/>
      <c r="AU185" s="95"/>
      <c r="AV185" s="95"/>
      <c r="AW185" s="70"/>
      <c r="AX185" s="298"/>
      <c r="AY185" s="297"/>
      <c r="AZ185" s="211"/>
      <c r="BA185" s="294"/>
      <c r="BB185" s="70"/>
      <c r="BC185" s="141"/>
      <c r="BD185" s="211"/>
      <c r="BE185" s="257"/>
      <c r="BF185" s="70"/>
      <c r="BG185" s="261"/>
      <c r="BH185" s="211"/>
      <c r="BI185" s="211"/>
      <c r="BJ185" s="211"/>
      <c r="BK185" s="211"/>
      <c r="BL185" s="161"/>
      <c r="BM185" s="70"/>
      <c r="BN185" s="211"/>
      <c r="BO185" s="211"/>
      <c r="BP185" s="211"/>
      <c r="BQ185" s="262"/>
      <c r="BR185" s="229"/>
      <c r="BS185" s="229"/>
      <c r="BT185" s="229"/>
      <c r="BU185" s="229"/>
    </row>
    <row r="186" spans="1:73" ht="12.75">
      <c r="A186" s="211"/>
      <c r="B186" s="70"/>
      <c r="C186" s="231"/>
      <c r="D186" s="211"/>
      <c r="E186" s="211"/>
      <c r="F186" s="296"/>
      <c r="G186" s="296"/>
      <c r="H186" s="296"/>
      <c r="I186" s="170"/>
      <c r="J186" s="170"/>
      <c r="K186" s="171"/>
      <c r="L186" s="296"/>
      <c r="M186" s="211"/>
      <c r="N186" s="161"/>
      <c r="O186" s="161"/>
      <c r="P186" s="161"/>
      <c r="Q186" s="161"/>
      <c r="R186" s="161"/>
      <c r="S186" s="101"/>
      <c r="T186" s="161"/>
      <c r="U186" s="175"/>
      <c r="V186" s="95"/>
      <c r="W186" s="95"/>
      <c r="X186" s="95"/>
      <c r="Y186" s="95"/>
      <c r="Z186" s="96"/>
      <c r="AA186" s="88"/>
      <c r="AB186" s="155"/>
      <c r="AC186" s="296"/>
      <c r="AD186" s="211"/>
      <c r="AE186" s="260"/>
      <c r="AF186" s="294"/>
      <c r="AG186" s="172"/>
      <c r="AH186" s="172"/>
      <c r="AI186" s="110"/>
      <c r="AJ186" s="111"/>
      <c r="AK186" s="229"/>
      <c r="AL186" s="211"/>
      <c r="AM186" s="217"/>
      <c r="AN186" s="297"/>
      <c r="AO186" s="260"/>
      <c r="AP186" s="146"/>
      <c r="AQ186" s="147"/>
      <c r="AR186" s="70"/>
      <c r="AS186" s="70"/>
      <c r="AT186" s="95"/>
      <c r="AU186" s="95"/>
      <c r="AV186" s="95"/>
      <c r="AW186" s="70"/>
      <c r="AX186" s="298"/>
      <c r="AY186" s="297"/>
      <c r="AZ186" s="211"/>
      <c r="BA186" s="294"/>
      <c r="BB186" s="70"/>
      <c r="BC186" s="141"/>
      <c r="BD186" s="211"/>
      <c r="BE186" s="257"/>
      <c r="BF186" s="70"/>
      <c r="BG186" s="261"/>
      <c r="BH186" s="211"/>
      <c r="BI186" s="211"/>
      <c r="BJ186" s="211"/>
      <c r="BK186" s="211"/>
      <c r="BL186" s="161"/>
      <c r="BM186" s="70"/>
      <c r="BN186" s="211"/>
      <c r="BO186" s="211"/>
      <c r="BP186" s="211"/>
      <c r="BQ186" s="262"/>
      <c r="BR186" s="229"/>
      <c r="BS186" s="229"/>
      <c r="BT186" s="229"/>
      <c r="BU186" s="229"/>
    </row>
    <row r="187" spans="1:73" ht="12.75">
      <c r="A187" s="211"/>
      <c r="B187" s="70"/>
      <c r="C187" s="231"/>
      <c r="D187" s="211"/>
      <c r="E187" s="211"/>
      <c r="F187" s="296"/>
      <c r="G187" s="296"/>
      <c r="H187" s="296"/>
      <c r="I187" s="170"/>
      <c r="J187" s="170"/>
      <c r="K187" s="171"/>
      <c r="L187" s="296"/>
      <c r="M187" s="211"/>
      <c r="N187" s="161"/>
      <c r="O187" s="161"/>
      <c r="P187" s="161"/>
      <c r="Q187" s="161"/>
      <c r="R187" s="161"/>
      <c r="S187" s="101"/>
      <c r="T187" s="161"/>
      <c r="U187" s="175"/>
      <c r="V187" s="95"/>
      <c r="W187" s="95"/>
      <c r="X187" s="95"/>
      <c r="Y187" s="95"/>
      <c r="Z187" s="96"/>
      <c r="AA187" s="88"/>
      <c r="AB187" s="155"/>
      <c r="AC187" s="296"/>
      <c r="AD187" s="211"/>
      <c r="AE187" s="260"/>
      <c r="AF187" s="294"/>
      <c r="AG187" s="172"/>
      <c r="AH187" s="172"/>
      <c r="AI187" s="110"/>
      <c r="AJ187" s="111"/>
      <c r="AK187" s="229"/>
      <c r="AL187" s="211"/>
      <c r="AM187" s="217"/>
      <c r="AN187" s="297"/>
      <c r="AO187" s="260"/>
      <c r="AP187" s="146"/>
      <c r="AQ187" s="147"/>
      <c r="AR187" s="70"/>
      <c r="AS187" s="70"/>
      <c r="AT187" s="95"/>
      <c r="AU187" s="95"/>
      <c r="AV187" s="95"/>
      <c r="AW187" s="70"/>
      <c r="AX187" s="298"/>
      <c r="AY187" s="297"/>
      <c r="AZ187" s="211"/>
      <c r="BA187" s="294"/>
      <c r="BB187" s="70"/>
      <c r="BC187" s="141"/>
      <c r="BD187" s="211"/>
      <c r="BE187" s="257"/>
      <c r="BF187" s="70"/>
      <c r="BG187" s="261"/>
      <c r="BH187" s="211"/>
      <c r="BI187" s="211"/>
      <c r="BJ187" s="211"/>
      <c r="BK187" s="211"/>
      <c r="BL187" s="161"/>
      <c r="BM187" s="70"/>
      <c r="BN187" s="211"/>
      <c r="BO187" s="211"/>
      <c r="BP187" s="211"/>
      <c r="BQ187" s="262"/>
      <c r="BR187" s="229"/>
      <c r="BS187" s="229"/>
      <c r="BT187" s="229"/>
      <c r="BU187" s="229"/>
    </row>
    <row r="188" spans="1:73" ht="12.75">
      <c r="A188" s="211"/>
      <c r="B188" s="70"/>
      <c r="C188" s="231"/>
      <c r="D188" s="211"/>
      <c r="E188" s="211"/>
      <c r="F188" s="296"/>
      <c r="G188" s="296"/>
      <c r="H188" s="296"/>
      <c r="I188" s="170"/>
      <c r="J188" s="170"/>
      <c r="K188" s="171"/>
      <c r="L188" s="296"/>
      <c r="M188" s="211"/>
      <c r="N188" s="161"/>
      <c r="O188" s="161"/>
      <c r="P188" s="161"/>
      <c r="Q188" s="161"/>
      <c r="R188" s="161"/>
      <c r="S188" s="101"/>
      <c r="T188" s="161"/>
      <c r="U188" s="175"/>
      <c r="V188" s="95"/>
      <c r="W188" s="95"/>
      <c r="X188" s="95"/>
      <c r="Y188" s="95"/>
      <c r="Z188" s="96"/>
      <c r="AA188" s="88"/>
      <c r="AB188" s="155"/>
      <c r="AC188" s="296"/>
      <c r="AD188" s="211"/>
      <c r="AE188" s="260"/>
      <c r="AF188" s="294"/>
      <c r="AG188" s="172"/>
      <c r="AH188" s="172"/>
      <c r="AI188" s="110"/>
      <c r="AJ188" s="111"/>
      <c r="AK188" s="229"/>
      <c r="AL188" s="211"/>
      <c r="AM188" s="217"/>
      <c r="AN188" s="297"/>
      <c r="AO188" s="260"/>
      <c r="AP188" s="146"/>
      <c r="AQ188" s="147"/>
      <c r="AR188" s="70"/>
      <c r="AS188" s="70"/>
      <c r="AT188" s="95"/>
      <c r="AU188" s="95"/>
      <c r="AV188" s="95"/>
      <c r="AW188" s="70"/>
      <c r="AX188" s="298"/>
      <c r="AY188" s="297"/>
      <c r="AZ188" s="211"/>
      <c r="BA188" s="294"/>
      <c r="BB188" s="70"/>
      <c r="BC188" s="141"/>
      <c r="BD188" s="211"/>
      <c r="BE188" s="257"/>
      <c r="BF188" s="70"/>
      <c r="BG188" s="261"/>
      <c r="BH188" s="211"/>
      <c r="BI188" s="211"/>
      <c r="BJ188" s="211"/>
      <c r="BK188" s="211"/>
      <c r="BL188" s="161"/>
      <c r="BM188" s="70"/>
      <c r="BN188" s="211"/>
      <c r="BO188" s="211"/>
      <c r="BP188" s="211"/>
      <c r="BQ188" s="262"/>
      <c r="BR188" s="229"/>
      <c r="BS188" s="229"/>
      <c r="BT188" s="229"/>
      <c r="BU188" s="229"/>
    </row>
    <row r="189" spans="1:73" ht="12.75">
      <c r="A189" s="211"/>
      <c r="B189" s="70"/>
      <c r="C189" s="231"/>
      <c r="D189" s="211"/>
      <c r="E189" s="211"/>
      <c r="F189" s="296"/>
      <c r="G189" s="296"/>
      <c r="H189" s="296"/>
      <c r="I189" s="170"/>
      <c r="J189" s="170"/>
      <c r="K189" s="171"/>
      <c r="L189" s="296"/>
      <c r="M189" s="211"/>
      <c r="N189" s="161"/>
      <c r="O189" s="161"/>
      <c r="P189" s="161"/>
      <c r="Q189" s="161"/>
      <c r="R189" s="161"/>
      <c r="S189" s="101"/>
      <c r="T189" s="161"/>
      <c r="U189" s="175"/>
      <c r="V189" s="95"/>
      <c r="W189" s="95"/>
      <c r="X189" s="95"/>
      <c r="Y189" s="95"/>
      <c r="Z189" s="96"/>
      <c r="AA189" s="88"/>
      <c r="AB189" s="155"/>
      <c r="AC189" s="296"/>
      <c r="AD189" s="211"/>
      <c r="AE189" s="260"/>
      <c r="AF189" s="294"/>
      <c r="AG189" s="172"/>
      <c r="AH189" s="172"/>
      <c r="AI189" s="110"/>
      <c r="AJ189" s="111"/>
      <c r="AK189" s="229"/>
      <c r="AL189" s="211"/>
      <c r="AM189" s="217"/>
      <c r="AN189" s="297"/>
      <c r="AO189" s="260"/>
      <c r="AP189" s="146"/>
      <c r="AQ189" s="147"/>
      <c r="AR189" s="70"/>
      <c r="AS189" s="70"/>
      <c r="AT189" s="95"/>
      <c r="AU189" s="95"/>
      <c r="AV189" s="95"/>
      <c r="AW189" s="70"/>
      <c r="AX189" s="298"/>
      <c r="AY189" s="297"/>
      <c r="AZ189" s="211"/>
      <c r="BA189" s="294"/>
      <c r="BB189" s="70"/>
      <c r="BC189" s="141"/>
      <c r="BD189" s="211"/>
      <c r="BE189" s="257"/>
      <c r="BF189" s="70"/>
      <c r="BG189" s="261"/>
      <c r="BH189" s="211"/>
      <c r="BI189" s="211"/>
      <c r="BJ189" s="211"/>
      <c r="BK189" s="211"/>
      <c r="BL189" s="161"/>
      <c r="BM189" s="70"/>
      <c r="BN189" s="211"/>
      <c r="BO189" s="211"/>
      <c r="BP189" s="211"/>
      <c r="BQ189" s="262"/>
      <c r="BR189" s="229"/>
      <c r="BS189" s="229"/>
      <c r="BT189" s="229"/>
      <c r="BU189" s="229"/>
    </row>
    <row r="190" spans="1:73" ht="12.75">
      <c r="A190" s="211"/>
      <c r="B190" s="70"/>
      <c r="C190" s="231"/>
      <c r="D190" s="211"/>
      <c r="E190" s="211"/>
      <c r="F190" s="296"/>
      <c r="G190" s="296"/>
      <c r="H190" s="296"/>
      <c r="I190" s="170"/>
      <c r="J190" s="170"/>
      <c r="K190" s="171"/>
      <c r="L190" s="296"/>
      <c r="M190" s="211"/>
      <c r="N190" s="161"/>
      <c r="O190" s="161"/>
      <c r="P190" s="161"/>
      <c r="Q190" s="161"/>
      <c r="R190" s="161"/>
      <c r="S190" s="101"/>
      <c r="T190" s="161"/>
      <c r="U190" s="175"/>
      <c r="V190" s="95"/>
      <c r="W190" s="95"/>
      <c r="X190" s="95"/>
      <c r="Y190" s="95"/>
      <c r="Z190" s="96"/>
      <c r="AA190" s="88"/>
      <c r="AB190" s="155"/>
      <c r="AC190" s="296"/>
      <c r="AD190" s="211"/>
      <c r="AE190" s="260"/>
      <c r="AF190" s="294"/>
      <c r="AG190" s="172"/>
      <c r="AH190" s="172"/>
      <c r="AI190" s="110"/>
      <c r="AJ190" s="111"/>
      <c r="AK190" s="229"/>
      <c r="AL190" s="211"/>
      <c r="AM190" s="217"/>
      <c r="AN190" s="297"/>
      <c r="AO190" s="260"/>
      <c r="AP190" s="146"/>
      <c r="AQ190" s="147"/>
      <c r="AR190" s="70"/>
      <c r="AS190" s="70"/>
      <c r="AT190" s="95"/>
      <c r="AU190" s="95"/>
      <c r="AV190" s="95"/>
      <c r="AW190" s="70"/>
      <c r="AX190" s="298"/>
      <c r="AY190" s="297"/>
      <c r="AZ190" s="211"/>
      <c r="BA190" s="294"/>
      <c r="BB190" s="70"/>
      <c r="BC190" s="141"/>
      <c r="BD190" s="211"/>
      <c r="BE190" s="257"/>
      <c r="BF190" s="70"/>
      <c r="BG190" s="261"/>
      <c r="BH190" s="211"/>
      <c r="BI190" s="211"/>
      <c r="BJ190" s="211"/>
      <c r="BK190" s="211"/>
      <c r="BL190" s="161"/>
      <c r="BM190" s="70"/>
      <c r="BN190" s="211"/>
      <c r="BO190" s="211"/>
      <c r="BP190" s="211"/>
      <c r="BQ190" s="262"/>
      <c r="BR190" s="229"/>
      <c r="BS190" s="229"/>
      <c r="BT190" s="229"/>
      <c r="BU190" s="229"/>
    </row>
  </sheetData>
  <mergeCells count="31">
    <mergeCell ref="AY65:AY74"/>
    <mergeCell ref="AY77:AY86"/>
    <mergeCell ref="BH1:BI1"/>
    <mergeCell ref="BN1:BO1"/>
    <mergeCell ref="AU2:AV2"/>
    <mergeCell ref="AY5:AY14"/>
    <mergeCell ref="AY17:AY26"/>
    <mergeCell ref="AY29:AY38"/>
    <mergeCell ref="AY41:AY50"/>
    <mergeCell ref="AY53:AY62"/>
    <mergeCell ref="L5:L14"/>
    <mergeCell ref="AN5:AN14"/>
    <mergeCell ref="L17:L26"/>
    <mergeCell ref="AN17:AN26"/>
    <mergeCell ref="L41:L50"/>
    <mergeCell ref="AN29:AN38"/>
    <mergeCell ref="AC5:AC14"/>
    <mergeCell ref="AC17:AC26"/>
    <mergeCell ref="L29:L38"/>
    <mergeCell ref="AC29:AC38"/>
    <mergeCell ref="L53:L62"/>
    <mergeCell ref="L65:L74"/>
    <mergeCell ref="L77:L86"/>
    <mergeCell ref="AN41:AN50"/>
    <mergeCell ref="AN53:AN62"/>
    <mergeCell ref="AN65:AN74"/>
    <mergeCell ref="AN77:AN86"/>
    <mergeCell ref="AC41:AC50"/>
    <mergeCell ref="AC53:AC62"/>
    <mergeCell ref="AC65:AC74"/>
    <mergeCell ref="AC77:AC86"/>
  </mergeCells>
  <conditionalFormatting sqref="AS1:AS190">
    <cfRule type="colorScale" priority="1">
      <colorScale>
        <cfvo type="percent" val="-50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7"/>
  <sheetViews>
    <sheetView workbookViewId="0">
      <pane xSplit="1" ySplit="3" topLeftCell="B13" activePane="bottomRight" state="frozen"/>
      <selection pane="topRight" activeCell="B1" sqref="B1"/>
      <selection pane="bottomLeft" activeCell="A4" sqref="A4"/>
      <selection pane="bottomRight" activeCell="G16" sqref="G16"/>
    </sheetView>
  </sheetViews>
  <sheetFormatPr defaultColWidth="14.42578125" defaultRowHeight="15.75" customHeight="1"/>
  <cols>
    <col min="1" max="1" width="21.42578125" customWidth="1"/>
    <col min="2" max="2" width="48" customWidth="1"/>
    <col min="3" max="3" width="23.28515625" customWidth="1"/>
    <col min="4" max="4" width="16.7109375" customWidth="1"/>
    <col min="7" max="7" width="30.7109375" bestFit="1" customWidth="1"/>
  </cols>
  <sheetData>
    <row r="1" spans="1:29" ht="15.75" customHeight="1">
      <c r="A1" s="285" t="s">
        <v>2820</v>
      </c>
      <c r="B1" s="311" t="s">
        <v>130</v>
      </c>
      <c r="C1" s="312"/>
      <c r="D1" s="312"/>
      <c r="E1" s="314"/>
      <c r="F1" s="312"/>
      <c r="G1" s="315" t="s">
        <v>131</v>
      </c>
      <c r="H1" s="312"/>
      <c r="I1" s="312"/>
      <c r="J1" s="312"/>
      <c r="K1" s="314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C2" s="312" t="s">
        <v>132</v>
      </c>
      <c r="D2" s="312"/>
      <c r="E2" s="314" t="s">
        <v>98</v>
      </c>
      <c r="F2" s="312" t="s">
        <v>101</v>
      </c>
      <c r="G2" s="312" t="s">
        <v>133</v>
      </c>
      <c r="H2" s="312" t="s">
        <v>97</v>
      </c>
      <c r="I2" s="312" t="s">
        <v>99</v>
      </c>
      <c r="J2" s="312" t="s">
        <v>134</v>
      </c>
      <c r="K2" s="314" t="s">
        <v>135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5" t="s">
        <v>136</v>
      </c>
      <c r="B3" s="311">
        <f>SUM(B4:B24)</f>
        <v>7384.9</v>
      </c>
      <c r="D3" s="312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137</v>
      </c>
      <c r="B4" s="314">
        <v>834.7</v>
      </c>
      <c r="C4" s="317"/>
      <c r="D4" s="317">
        <f>B4/$B$3</f>
        <v>0.11302793538165717</v>
      </c>
      <c r="E4" s="318">
        <f>CONSUMPTION!Z74</f>
        <v>0.10300009518289299</v>
      </c>
      <c r="F4" s="318">
        <f>CONSUMPTION!Z143</f>
        <v>0.31863082923206532</v>
      </c>
      <c r="G4" s="318">
        <f>CONSUMPTION!Z5</f>
        <v>0.24109918924260015</v>
      </c>
      <c r="H4" s="318">
        <f>CONSUMPTION!Z53</f>
        <v>3.477069961085575E-2</v>
      </c>
      <c r="I4" s="318">
        <f>CONSUMPTION!Z82</f>
        <v>0.18216334109086932</v>
      </c>
      <c r="J4" s="318">
        <f>CONSUMPTION!Z162</f>
        <v>6.9689599800613039E-2</v>
      </c>
      <c r="K4" s="318">
        <f>CONSUMPTION!Z137</f>
        <v>5.06462458401035E-2</v>
      </c>
      <c r="L4" s="286"/>
      <c r="M4" s="319">
        <f t="shared" ref="M4:M25" si="0">SUM(G4)</f>
        <v>0.24109918924260015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7"/>
      <c r="E5" s="320"/>
      <c r="F5" s="320"/>
      <c r="G5" s="320"/>
      <c r="H5" s="320"/>
      <c r="I5" s="320"/>
      <c r="J5" s="320"/>
      <c r="K5" s="320"/>
      <c r="L5" s="286"/>
      <c r="M5" s="320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138</v>
      </c>
      <c r="B6" s="314">
        <v>2667</v>
      </c>
      <c r="C6" s="314">
        <v>1280</v>
      </c>
      <c r="D6" s="317">
        <f>B6/$B$3</f>
        <v>0.36114233097266046</v>
      </c>
      <c r="E6" s="318">
        <f>CONSUMPTION!AY74</f>
        <v>0.20930583341857981</v>
      </c>
      <c r="F6" s="318">
        <f>CONSUMPTION!AY143</f>
        <v>0.39495224524316069</v>
      </c>
      <c r="G6" s="318">
        <f>CONSUMPTION!AY5</f>
        <v>7.4628524236824728E-2</v>
      </c>
      <c r="H6" s="318">
        <f>CONSUMPTION!AY53</f>
        <v>6.9514038464151356E-2</v>
      </c>
      <c r="I6" s="318">
        <f>CONSUMPTION!AY82</f>
        <v>0.1411950902262028</v>
      </c>
      <c r="J6" s="318">
        <f>CONSUMPTION!AY162</f>
        <v>7.6197474847066307E-2</v>
      </c>
      <c r="K6" s="318">
        <f>CONSUMPTION!AY137</f>
        <v>3.4206793564014334E-2</v>
      </c>
      <c r="L6" s="286"/>
      <c r="M6" s="319">
        <f t="shared" si="0"/>
        <v>7.4628524236824728E-2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7"/>
      <c r="E7" s="320">
        <f t="shared" ref="E7:K7" si="1">$C6*E6</f>
        <v>267.91146677578217</v>
      </c>
      <c r="F7" s="320">
        <f t="shared" si="1"/>
        <v>505.53887391124567</v>
      </c>
      <c r="G7" s="320">
        <f t="shared" si="1"/>
        <v>95.524511023135659</v>
      </c>
      <c r="H7" s="320">
        <f t="shared" si="1"/>
        <v>88.977969234113743</v>
      </c>
      <c r="I7" s="320">
        <f t="shared" si="1"/>
        <v>180.72971548953959</v>
      </c>
      <c r="J7" s="320">
        <f t="shared" si="1"/>
        <v>97.53276780424487</v>
      </c>
      <c r="K7" s="320">
        <f t="shared" si="1"/>
        <v>43.784695761938352</v>
      </c>
      <c r="L7" s="286"/>
      <c r="M7" s="320">
        <f t="shared" si="0"/>
        <v>95.524511023135659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66</v>
      </c>
      <c r="B8" s="314">
        <v>1130</v>
      </c>
      <c r="C8" s="317"/>
      <c r="D8" s="317">
        <f>B8/$B$3</f>
        <v>0.15301493588267953</v>
      </c>
      <c r="E8" s="318">
        <f>CONSUMPTION!AJ74</f>
        <v>0.10141960449665804</v>
      </c>
      <c r="F8" s="318">
        <f>CONSUMPTION!AJ143</f>
        <v>0.59766709560996778</v>
      </c>
      <c r="G8" s="318">
        <f>CONSUMPTION!AJ5</f>
        <v>3.0786872474324933E-2</v>
      </c>
      <c r="H8" s="318">
        <f>CONSUMPTION!AJ53</f>
        <v>5.0714962717448742E-2</v>
      </c>
      <c r="I8" s="318">
        <f>CONSUMPTION!AJ82</f>
        <v>0.14436662857348737</v>
      </c>
      <c r="J8" s="318">
        <f>CONSUMPTION!AJ162</f>
        <v>3.5445301715583258E-2</v>
      </c>
      <c r="K8" s="318">
        <f>CONSUMPTION!AJ137</f>
        <v>3.9599534412529801E-2</v>
      </c>
      <c r="L8" s="286"/>
      <c r="M8" s="319">
        <f t="shared" si="0"/>
        <v>3.0786872474324933E-2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7"/>
      <c r="E9" s="320">
        <f t="shared" ref="E9:K9" si="2">$B8*E8</f>
        <v>114.60415308122359</v>
      </c>
      <c r="F9" s="320">
        <f t="shared" si="2"/>
        <v>675.36381803926361</v>
      </c>
      <c r="G9" s="320">
        <f t="shared" si="2"/>
        <v>34.789165895987175</v>
      </c>
      <c r="H9" s="320">
        <f t="shared" si="2"/>
        <v>57.307907870717081</v>
      </c>
      <c r="I9" s="320">
        <f t="shared" si="2"/>
        <v>163.13429028804072</v>
      </c>
      <c r="J9" s="320">
        <f t="shared" si="2"/>
        <v>40.053190938609085</v>
      </c>
      <c r="K9" s="320">
        <f t="shared" si="2"/>
        <v>44.747473886158673</v>
      </c>
      <c r="L9" s="286"/>
      <c r="M9" s="320">
        <f t="shared" si="0"/>
        <v>34.789165895987175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67</v>
      </c>
      <c r="B10" s="314">
        <v>883</v>
      </c>
      <c r="C10" s="317"/>
      <c r="D10" s="317">
        <f>B10/$B$3</f>
        <v>0.1195683083047841</v>
      </c>
      <c r="E10" s="318">
        <f>CONSUMPTION!AO74</f>
        <v>0.13803526455279702</v>
      </c>
      <c r="F10" s="318">
        <f>CONSUMPTION!AO143</f>
        <v>0.35326388420635696</v>
      </c>
      <c r="G10" s="318">
        <f>CONSUMPTION!AO5</f>
        <v>7.2161163030406331E-2</v>
      </c>
      <c r="H10" s="318">
        <f>CONSUMPTION!AO53</f>
        <v>7.1467460651506734E-2</v>
      </c>
      <c r="I10" s="318">
        <f>CONSUMPTION!AO82</f>
        <v>0.20009573181879275</v>
      </c>
      <c r="J10" s="318">
        <f>CONSUMPTION!AO162</f>
        <v>0.11268662783885723</v>
      </c>
      <c r="K10" s="318">
        <f>CONSUMPTION!AO137</f>
        <v>5.2289867901283024E-2</v>
      </c>
      <c r="L10" s="286"/>
      <c r="M10" s="319">
        <f t="shared" si="0"/>
        <v>7.2161163030406331E-2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7"/>
      <c r="E11" s="320">
        <f t="shared" ref="E11:K11" si="3">$B10*E10</f>
        <v>121.88513860011977</v>
      </c>
      <c r="F11" s="320">
        <f t="shared" si="3"/>
        <v>311.9320097542132</v>
      </c>
      <c r="G11" s="320">
        <f t="shared" si="3"/>
        <v>63.718306955848789</v>
      </c>
      <c r="H11" s="320">
        <f t="shared" si="3"/>
        <v>63.105767755280446</v>
      </c>
      <c r="I11" s="320">
        <f t="shared" si="3"/>
        <v>176.684531195994</v>
      </c>
      <c r="J11" s="320">
        <f t="shared" si="3"/>
        <v>99.50229238171093</v>
      </c>
      <c r="K11" s="320">
        <f t="shared" si="3"/>
        <v>46.171953356832908</v>
      </c>
      <c r="L11" s="286"/>
      <c r="M11" s="320">
        <f t="shared" si="0"/>
        <v>63.718306955848789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/>
      <c r="D12" s="317">
        <f>B12/$B$3</f>
        <v>0.11388102750206502</v>
      </c>
      <c r="E12" s="318">
        <f>CONSUMPTION!F74</f>
        <v>0.14953652986190472</v>
      </c>
      <c r="F12" s="318">
        <f>CONSUMPTION!F143</f>
        <v>3.1018438930037952E-2</v>
      </c>
      <c r="G12" s="318">
        <f>CONSUMPTION!F5</f>
        <v>3.8785339306124253E-2</v>
      </c>
      <c r="H12" s="318">
        <f>CONSUMPTION!F53</f>
        <v>5.1924489054770782E-2</v>
      </c>
      <c r="I12" s="318">
        <f>CONSUMPTION!F82</f>
        <v>0.41366893744998845</v>
      </c>
      <c r="J12" s="318">
        <f>CONSUMPTION!F162</f>
        <v>0.14879276421224349</v>
      </c>
      <c r="K12" s="318">
        <f>CONSUMPTION!F137</f>
        <v>0.16627350118493034</v>
      </c>
      <c r="L12" s="286"/>
      <c r="M12" s="319">
        <f t="shared" si="0"/>
        <v>3.8785339306124253E-2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7"/>
      <c r="E13" s="320">
        <f t="shared" ref="E13:K13" si="4">$B12*E12</f>
        <v>125.76022161386187</v>
      </c>
      <c r="F13" s="320">
        <f t="shared" si="4"/>
        <v>26.086507140161917</v>
      </c>
      <c r="G13" s="320">
        <f t="shared" si="4"/>
        <v>32.618470356450494</v>
      </c>
      <c r="H13" s="320">
        <f t="shared" si="4"/>
        <v>43.668495295062229</v>
      </c>
      <c r="I13" s="320">
        <f t="shared" si="4"/>
        <v>347.89557639544029</v>
      </c>
      <c r="J13" s="320">
        <f t="shared" si="4"/>
        <v>125.13471470249678</v>
      </c>
      <c r="K13" s="320">
        <f t="shared" si="4"/>
        <v>139.83601449652642</v>
      </c>
      <c r="L13" s="286"/>
      <c r="M13" s="320">
        <f t="shared" si="0"/>
        <v>32.618470356450494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139</v>
      </c>
      <c r="B14" s="314">
        <v>212</v>
      </c>
      <c r="C14" s="317"/>
      <c r="D14" s="317">
        <f>B14/$B$3</f>
        <v>2.8707226908962886E-2</v>
      </c>
      <c r="E14" s="318">
        <f>CONSUMPTION!P74</f>
        <v>2.2612480540453422E-2</v>
      </c>
      <c r="F14" s="318">
        <f>CONSUMPTION!P143</f>
        <v>0.43748043620583388</v>
      </c>
      <c r="G14" s="318">
        <f>CONSUMPTION!P5</f>
        <v>2.8633821788983285E-2</v>
      </c>
      <c r="H14" s="318">
        <f>CONSUMPTION!P53</f>
        <v>2.2032952941405795E-2</v>
      </c>
      <c r="I14" s="318">
        <f>CONSUMPTION!P82</f>
        <v>0.2554070854329708</v>
      </c>
      <c r="J14" s="318">
        <f>CONSUMPTION!P162</f>
        <v>0.11859964312746471</v>
      </c>
      <c r="K14" s="318">
        <f>CONSUMPTION!P137</f>
        <v>0.11523357996288809</v>
      </c>
      <c r="L14" s="286"/>
      <c r="M14" s="319">
        <f t="shared" si="0"/>
        <v>2.8633821788983285E-2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7"/>
      <c r="E15" s="320">
        <f t="shared" ref="E15:K15" si="5">$B14*E14</f>
        <v>4.7938458745761254</v>
      </c>
      <c r="F15" s="320">
        <f t="shared" si="5"/>
        <v>92.745852475636781</v>
      </c>
      <c r="G15" s="320">
        <f t="shared" si="5"/>
        <v>6.0703702192644569</v>
      </c>
      <c r="H15" s="320">
        <f t="shared" si="5"/>
        <v>4.6709860235780285</v>
      </c>
      <c r="I15" s="320">
        <f t="shared" si="5"/>
        <v>54.146302111789808</v>
      </c>
      <c r="J15" s="320">
        <f t="shared" si="5"/>
        <v>25.143124343022517</v>
      </c>
      <c r="K15" s="320">
        <f t="shared" si="5"/>
        <v>24.429518952132277</v>
      </c>
      <c r="L15" s="286"/>
      <c r="M15" s="320">
        <f t="shared" si="0"/>
        <v>6.0703702192644569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71</v>
      </c>
      <c r="B16" s="314">
        <v>134</v>
      </c>
      <c r="C16" s="317"/>
      <c r="D16" s="317">
        <f>B16/$B$3</f>
        <v>1.8145133989627485E-2</v>
      </c>
      <c r="E16" s="318">
        <f>CONSUMPTION!U74</f>
        <v>3.345827036240278E-2</v>
      </c>
      <c r="F16" s="318">
        <f>CONSUMPTION!U143</f>
        <v>0.29148287940845347</v>
      </c>
      <c r="G16" s="318">
        <f>CONSUMPTION!U5</f>
        <v>3.2035257912963987E-2</v>
      </c>
      <c r="H16" s="318">
        <f>CONSUMPTION!U53</f>
        <v>6.4615869431677353E-2</v>
      </c>
      <c r="I16" s="318">
        <f>CONSUMPTION!U82</f>
        <v>0.20850928142890707</v>
      </c>
      <c r="J16" s="318">
        <f>CONSUMPTION!U162</f>
        <v>0.1929369132536341</v>
      </c>
      <c r="K16" s="318">
        <f>CONSUMPTION!U137</f>
        <v>0.17696152820196115</v>
      </c>
      <c r="L16" s="286"/>
      <c r="M16" s="319">
        <f t="shared" si="0"/>
        <v>3.2035257912963987E-2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7"/>
      <c r="E17" s="320">
        <f t="shared" ref="E17:K17" si="6">$B16*E16</f>
        <v>4.4834082285619727</v>
      </c>
      <c r="F17" s="320">
        <f t="shared" si="6"/>
        <v>39.058705840732763</v>
      </c>
      <c r="G17" s="320">
        <f t="shared" si="6"/>
        <v>4.2927245603371746</v>
      </c>
      <c r="H17" s="320">
        <f t="shared" si="6"/>
        <v>8.6585265038447652</v>
      </c>
      <c r="I17" s="320">
        <f t="shared" si="6"/>
        <v>27.940243711473546</v>
      </c>
      <c r="J17" s="320">
        <f t="shared" si="6"/>
        <v>25.853546375986969</v>
      </c>
      <c r="K17" s="320">
        <f t="shared" si="6"/>
        <v>23.712844779062795</v>
      </c>
      <c r="L17" s="286"/>
      <c r="M17" s="320">
        <f t="shared" si="0"/>
        <v>4.2927245603371746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72</v>
      </c>
      <c r="B18" s="314">
        <v>155</v>
      </c>
      <c r="C18" s="317"/>
      <c r="D18" s="317">
        <f>B18/$B$3</f>
        <v>2.0988774390987015E-2</v>
      </c>
      <c r="E18" s="318">
        <f>CONSUMPTION!AE74</f>
        <v>6.4269978300628999E-2</v>
      </c>
      <c r="F18" s="318">
        <f>CONSUMPTION!AE143</f>
        <v>0.62658209596947734</v>
      </c>
      <c r="G18" s="318">
        <f>CONSUMPTION!AE5</f>
        <v>4.3336749542266975E-2</v>
      </c>
      <c r="H18" s="318">
        <f>CONSUMPTION!AE53</f>
        <v>3.4273762115495564E-2</v>
      </c>
      <c r="I18" s="318">
        <f>CONSUMPTION!AE82</f>
        <v>0.12788100525737855</v>
      </c>
      <c r="J18" s="318">
        <f>CONSUMPTION!AE162</f>
        <v>4.7213810546780671E-2</v>
      </c>
      <c r="K18" s="318">
        <f>CONSUMPTION!AE137</f>
        <v>5.6442598267971919E-2</v>
      </c>
      <c r="L18" s="286"/>
      <c r="M18" s="319">
        <f t="shared" si="0"/>
        <v>4.3336749542266975E-2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7"/>
      <c r="E19" s="320">
        <f t="shared" ref="E19:K19" si="7">$B18*E18</f>
        <v>9.9618466365974943</v>
      </c>
      <c r="F19" s="320">
        <f t="shared" si="7"/>
        <v>97.120224875268988</v>
      </c>
      <c r="G19" s="320">
        <f t="shared" si="7"/>
        <v>6.7171961790513812</v>
      </c>
      <c r="H19" s="320">
        <f t="shared" si="7"/>
        <v>5.3124331279018122</v>
      </c>
      <c r="I19" s="320">
        <f t="shared" si="7"/>
        <v>19.821555814893674</v>
      </c>
      <c r="J19" s="320">
        <f t="shared" si="7"/>
        <v>7.3181406347510043</v>
      </c>
      <c r="K19" s="320">
        <f t="shared" si="7"/>
        <v>8.748602731535648</v>
      </c>
      <c r="L19" s="286"/>
      <c r="M19" s="320">
        <f t="shared" si="0"/>
        <v>6.7171961790513812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140</v>
      </c>
      <c r="B20" s="314">
        <v>82.9</v>
      </c>
      <c r="C20" s="317"/>
      <c r="D20" s="317">
        <f>B20/$B$3</f>
        <v>1.1225609012985959E-2</v>
      </c>
      <c r="E20" s="318">
        <f>CONSUMPTION!K74</f>
        <v>6.3698502317783498E-2</v>
      </c>
      <c r="F20" s="318">
        <f>CONSUMPTION!K143</f>
        <v>0.55338219752624096</v>
      </c>
      <c r="G20" s="318">
        <f>CONSUMPTION!K5</f>
        <v>1.6245523896837054E-2</v>
      </c>
      <c r="H20" s="318">
        <f>CONSUMPTION!K53</f>
        <v>3.0627132418791975E-2</v>
      </c>
      <c r="I20" s="318">
        <f>CONSUMPTION!K82</f>
        <v>0.17268026803250125</v>
      </c>
      <c r="J20" s="318">
        <f>CONSUMPTION!K162</f>
        <v>9.1567822009775271E-2</v>
      </c>
      <c r="K20" s="318">
        <f>CONSUMPTION!K137</f>
        <v>7.1798553798069931E-2</v>
      </c>
      <c r="L20" s="286"/>
      <c r="M20" s="319">
        <f t="shared" si="0"/>
        <v>1.6245523896837054E-2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7"/>
      <c r="E21" s="320">
        <f t="shared" ref="E21:K21" si="8">$B20*E20</f>
        <v>5.2806058421442525</v>
      </c>
      <c r="F21" s="320">
        <f t="shared" si="8"/>
        <v>45.875384174925379</v>
      </c>
      <c r="G21" s="320">
        <f t="shared" si="8"/>
        <v>1.3467539310477918</v>
      </c>
      <c r="H21" s="320">
        <f t="shared" si="8"/>
        <v>2.5389892775178549</v>
      </c>
      <c r="I21" s="320">
        <f t="shared" si="8"/>
        <v>14.315194219894355</v>
      </c>
      <c r="J21" s="320">
        <f t="shared" si="8"/>
        <v>7.5909724446103706</v>
      </c>
      <c r="K21" s="320">
        <f t="shared" si="8"/>
        <v>5.9521001098599973</v>
      </c>
      <c r="L21" s="286"/>
      <c r="M21" s="320">
        <f t="shared" si="0"/>
        <v>1.3467539310477918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141</v>
      </c>
      <c r="B22" s="314">
        <v>440</v>
      </c>
      <c r="C22" s="314">
        <v>416</v>
      </c>
      <c r="D22" s="317">
        <f>B22/$B$3</f>
        <v>5.9581036980866364E-2</v>
      </c>
      <c r="E22" s="318">
        <f>CONSUMPTION!AT74</f>
        <v>0.28896979225718195</v>
      </c>
      <c r="F22" s="318">
        <f>CONSUMPTION!AT143</f>
        <v>0.31926586536202933</v>
      </c>
      <c r="G22" s="318">
        <f>CONSUMPTION!AT5</f>
        <v>0.14040590857540525</v>
      </c>
      <c r="H22" s="318">
        <f>CONSUMPTION!AT53</f>
        <v>4.0438604088149074E-2</v>
      </c>
      <c r="I22" s="318">
        <f>CONSUMPTION!AT82</f>
        <v>7.6626108407271173E-2</v>
      </c>
      <c r="J22" s="318">
        <f>CONSUMPTION!AT162</f>
        <v>8.8665960534661234E-2</v>
      </c>
      <c r="K22" s="318">
        <f>CONSUMPTION!AT137</f>
        <v>4.5627760775301861E-2</v>
      </c>
      <c r="L22" s="286"/>
      <c r="M22" s="319">
        <f t="shared" si="0"/>
        <v>0.14040590857540525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7"/>
      <c r="E23" s="320">
        <f t="shared" ref="E23:K23" si="9">$C22*E22</f>
        <v>120.21143357898769</v>
      </c>
      <c r="F23" s="320">
        <f t="shared" si="9"/>
        <v>132.81459999060419</v>
      </c>
      <c r="G23" s="320">
        <f t="shared" si="9"/>
        <v>58.408857967368583</v>
      </c>
      <c r="H23" s="320">
        <f t="shared" si="9"/>
        <v>16.822459300670015</v>
      </c>
      <c r="I23" s="320">
        <f t="shared" si="9"/>
        <v>31.876461097424809</v>
      </c>
      <c r="J23" s="320">
        <f t="shared" si="9"/>
        <v>36.885039582419076</v>
      </c>
      <c r="K23" s="320">
        <f t="shared" si="9"/>
        <v>18.981148482525573</v>
      </c>
      <c r="L23" s="286"/>
      <c r="M23" s="320">
        <f t="shared" si="0"/>
        <v>58.408857967368583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/>
      <c r="D24" s="317">
        <f>B24/$B$3</f>
        <v>7.1768067272407214E-4</v>
      </c>
      <c r="E24" s="318">
        <f>CONSUMPTION!BD74</f>
        <v>0.13692352350113227</v>
      </c>
      <c r="F24" s="318">
        <f>CONSUMPTION!BD143</f>
        <v>0.4156685272677344</v>
      </c>
      <c r="G24" s="318">
        <f>CONSUMPTION!BD5</f>
        <v>3.0739222128840355E-2</v>
      </c>
      <c r="H24" s="318">
        <f>CONSUMPTION!BD53</f>
        <v>8.5070976311258983E-2</v>
      </c>
      <c r="I24" s="318">
        <f>CONSUMPTION!BD82</f>
        <v>0.21200601146165543</v>
      </c>
      <c r="J24" s="318">
        <f>CONSUMPTION!BD162</f>
        <v>3.1605139419501785E-2</v>
      </c>
      <c r="K24" s="318">
        <f>CONSUMPTION!BD137</f>
        <v>8.79865999098767E-2</v>
      </c>
      <c r="L24" s="286"/>
      <c r="M24" s="319">
        <f t="shared" si="0"/>
        <v>3.0739222128840355E-2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286"/>
      <c r="E25" s="320">
        <f t="shared" ref="E25:K25" si="10">$B24*E24</f>
        <v>0.72569467455600101</v>
      </c>
      <c r="F25" s="320">
        <f t="shared" si="10"/>
        <v>2.2030431945189921</v>
      </c>
      <c r="G25" s="320">
        <f t="shared" si="10"/>
        <v>0.16291787728285387</v>
      </c>
      <c r="H25" s="320">
        <f t="shared" si="10"/>
        <v>0.4508761744496726</v>
      </c>
      <c r="I25" s="320">
        <f t="shared" si="10"/>
        <v>1.1236318607467737</v>
      </c>
      <c r="J25" s="320">
        <f t="shared" si="10"/>
        <v>0.16750723892335945</v>
      </c>
      <c r="K25" s="320">
        <f t="shared" si="10"/>
        <v>0.46632897952234648</v>
      </c>
      <c r="L25" s="286"/>
      <c r="M25" s="320">
        <f t="shared" si="0"/>
        <v>0.16291787728285387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286"/>
      <c r="B27" s="314" t="s">
        <v>142</v>
      </c>
      <c r="C27" s="285"/>
      <c r="D27" s="285" t="s">
        <v>52</v>
      </c>
      <c r="E27" s="323">
        <f t="shared" ref="E27:K27" si="11">E15+E5+E21+E17+E13+E19+E9+E11+E23+E7+E25</f>
        <v>775.61781490641101</v>
      </c>
      <c r="F27" s="323">
        <f t="shared" si="11"/>
        <v>1928.7390193965716</v>
      </c>
      <c r="G27" s="323">
        <f t="shared" si="11"/>
        <v>303.64927496577434</v>
      </c>
      <c r="H27" s="323">
        <f t="shared" si="11"/>
        <v>291.51441056313564</v>
      </c>
      <c r="I27" s="323">
        <f t="shared" si="11"/>
        <v>1017.6675021852375</v>
      </c>
      <c r="J27" s="323">
        <f t="shared" si="11"/>
        <v>465.18129644677498</v>
      </c>
      <c r="K27" s="323">
        <f t="shared" si="11"/>
        <v>356.83068153609497</v>
      </c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324"/>
      <c r="B28" s="325" t="s">
        <v>142</v>
      </c>
      <c r="C28" s="326"/>
      <c r="D28" s="326" t="s">
        <v>143</v>
      </c>
      <c r="E28" s="327">
        <f t="shared" ref="E28:K28" si="12">E27*1000000</f>
        <v>775617814.90641105</v>
      </c>
      <c r="F28" s="327">
        <f t="shared" si="12"/>
        <v>1928739019.3965716</v>
      </c>
      <c r="G28" s="327">
        <f t="shared" si="12"/>
        <v>303649274.96577436</v>
      </c>
      <c r="H28" s="327">
        <f t="shared" si="12"/>
        <v>291514410.56313562</v>
      </c>
      <c r="I28" s="327">
        <f t="shared" si="12"/>
        <v>1017667502.1852375</v>
      </c>
      <c r="J28" s="327">
        <f t="shared" si="12"/>
        <v>465181296.44677496</v>
      </c>
      <c r="K28" s="327">
        <f t="shared" si="12"/>
        <v>356830681.53609496</v>
      </c>
      <c r="L28" s="324"/>
      <c r="M28" s="328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</row>
    <row r="29" spans="1:29">
      <c r="A29" s="324"/>
      <c r="B29" s="325" t="s">
        <v>42</v>
      </c>
      <c r="C29" s="329"/>
      <c r="D29" s="329"/>
      <c r="E29" s="327">
        <f>CONSUMPTION!BG74</f>
        <v>1310898890</v>
      </c>
      <c r="F29" s="330">
        <f>CONSUMPTION!BG143</f>
        <v>2113393271</v>
      </c>
      <c r="G29" s="327">
        <f>CONSUMPTION!BG5</f>
        <v>643782928</v>
      </c>
      <c r="H29" s="331">
        <f>CONSUMPTION!BG53</f>
        <v>389455861</v>
      </c>
      <c r="I29" s="330">
        <f>CONSUMPTION!BG82</f>
        <v>1046254720</v>
      </c>
      <c r="J29" s="330">
        <f>CONSUMPTION!BG162</f>
        <v>581130580</v>
      </c>
      <c r="K29" s="332">
        <f>CONSUMPTION!BG137</f>
        <v>331543147</v>
      </c>
      <c r="L29" s="324"/>
      <c r="M29" s="328"/>
      <c r="N29" s="324"/>
      <c r="O29" s="324"/>
      <c r="P29" s="324"/>
      <c r="Q29" s="324"/>
      <c r="R29" s="324"/>
      <c r="S29" s="324"/>
      <c r="T29" s="324"/>
      <c r="U29" s="324"/>
      <c r="V29" s="324"/>
      <c r="W29" s="324"/>
      <c r="X29" s="324"/>
      <c r="Y29" s="324"/>
      <c r="Z29" s="324"/>
      <c r="AA29" s="324"/>
      <c r="AB29" s="324"/>
      <c r="AC29" s="324"/>
    </row>
    <row r="30" spans="1:29">
      <c r="A30" s="286"/>
      <c r="B30" s="311" t="s">
        <v>144</v>
      </c>
      <c r="C30" s="312"/>
      <c r="D30" s="312"/>
      <c r="E30" s="333">
        <f t="shared" ref="E30:K30" si="13">E28/E29</f>
        <v>0.5916686792727478</v>
      </c>
      <c r="F30" s="333">
        <f t="shared" si="13"/>
        <v>0.9126266492198799</v>
      </c>
      <c r="G30" s="333">
        <f t="shared" si="13"/>
        <v>0.47166406836711638</v>
      </c>
      <c r="H30" s="333">
        <f t="shared" si="13"/>
        <v>0.74851719990711763</v>
      </c>
      <c r="I30" s="333">
        <f t="shared" si="13"/>
        <v>0.97267661758815049</v>
      </c>
      <c r="J30" s="333">
        <f t="shared" si="13"/>
        <v>0.80047636874792405</v>
      </c>
      <c r="K30" s="333">
        <f t="shared" si="13"/>
        <v>1.0762722281094079</v>
      </c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2"/>
      <c r="F31" s="286"/>
      <c r="J31" s="286"/>
      <c r="K31" s="314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2"/>
      <c r="F32" s="286"/>
      <c r="J32" s="286"/>
      <c r="K32" s="314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2"/>
      <c r="F33" s="286"/>
      <c r="J33" s="286"/>
      <c r="K33" s="314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2"/>
      <c r="F34" s="286"/>
      <c r="J34" s="286"/>
      <c r="K34" s="314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34"/>
      <c r="B35" s="335"/>
      <c r="C35" s="336"/>
      <c r="D35" s="336"/>
      <c r="E35" s="337"/>
      <c r="F35" s="334"/>
      <c r="G35" s="337"/>
      <c r="H35" s="337"/>
      <c r="I35" s="337"/>
      <c r="J35" s="334"/>
      <c r="K35" s="338"/>
      <c r="L35" s="334"/>
      <c r="M35" s="334"/>
      <c r="N35" s="334"/>
      <c r="O35" s="334"/>
      <c r="P35" s="334"/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</row>
    <row r="36" spans="1:29">
      <c r="A36" s="314"/>
      <c r="B36" s="314"/>
      <c r="C36" s="317"/>
      <c r="D36" s="317"/>
      <c r="E36" s="286"/>
      <c r="F36" s="286"/>
      <c r="G36" s="285"/>
      <c r="H36" s="286"/>
      <c r="J36" s="286"/>
      <c r="K36" s="314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7"/>
      <c r="E37" s="287"/>
      <c r="F37" s="320"/>
      <c r="G37" s="287"/>
      <c r="H37" s="287"/>
      <c r="J37" s="320"/>
      <c r="K37" s="314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7"/>
      <c r="F38" s="286"/>
      <c r="J38" s="286"/>
      <c r="K38" s="314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7"/>
      <c r="F39" s="320"/>
      <c r="J39" s="320"/>
      <c r="K39" s="314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7"/>
      <c r="F40" s="286"/>
      <c r="J40" s="286"/>
      <c r="K40" s="314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7"/>
      <c r="F41" s="320"/>
      <c r="J41" s="320"/>
      <c r="K41" s="314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7"/>
      <c r="F42" s="286"/>
      <c r="J42" s="286"/>
      <c r="K42" s="314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7"/>
      <c r="F43" s="320"/>
      <c r="J43" s="320"/>
      <c r="K43" s="314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7"/>
      <c r="F44" s="286"/>
      <c r="J44" s="286"/>
      <c r="K44" s="314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7"/>
      <c r="F45" s="320"/>
      <c r="J45" s="320"/>
      <c r="K45" s="314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7"/>
      <c r="F46" s="286"/>
      <c r="J46" s="286"/>
      <c r="K46" s="314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7"/>
      <c r="F47" s="320"/>
      <c r="J47" s="320"/>
      <c r="K47" s="314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7"/>
      <c r="F48" s="286"/>
      <c r="J48" s="286"/>
      <c r="K48" s="314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7"/>
      <c r="F49" s="320"/>
      <c r="J49" s="320"/>
      <c r="K49" s="314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7"/>
      <c r="F50" s="286"/>
      <c r="J50" s="286"/>
      <c r="K50" s="314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7"/>
      <c r="F51" s="320"/>
      <c r="J51" s="320"/>
      <c r="K51" s="314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7"/>
      <c r="F52" s="286"/>
      <c r="J52" s="286"/>
      <c r="K52" s="314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7"/>
      <c r="F53" s="320"/>
      <c r="J53" s="320"/>
      <c r="K53" s="314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7"/>
      <c r="F54" s="286"/>
      <c r="J54" s="286"/>
      <c r="K54" s="314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7"/>
      <c r="F55" s="320"/>
      <c r="J55" s="320"/>
      <c r="K55" s="314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7"/>
      <c r="F56" s="286"/>
      <c r="J56" s="286"/>
      <c r="K56" s="314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286"/>
      <c r="F57" s="320"/>
      <c r="J57" s="320"/>
      <c r="K57" s="314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286"/>
      <c r="F58" s="286"/>
      <c r="J58" s="286"/>
      <c r="K58" s="314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286"/>
      <c r="F59" s="286"/>
      <c r="J59" s="286"/>
      <c r="K59" s="314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286"/>
      <c r="F60" s="286"/>
      <c r="J60" s="286"/>
      <c r="K60" s="314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286"/>
      <c r="F61" s="286"/>
      <c r="J61" s="286"/>
      <c r="K61" s="314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286"/>
      <c r="F62" s="286"/>
      <c r="J62" s="286"/>
      <c r="K62" s="314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286"/>
      <c r="F63" s="286"/>
      <c r="J63" s="286"/>
      <c r="K63" s="314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286"/>
      <c r="F64" s="286"/>
      <c r="J64" s="286"/>
      <c r="K64" s="314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286"/>
      <c r="F65" s="286"/>
      <c r="J65" s="286"/>
      <c r="K65" s="314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286"/>
      <c r="F66" s="286"/>
      <c r="J66" s="286"/>
      <c r="K66" s="314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286"/>
      <c r="F67" s="286"/>
      <c r="J67" s="286"/>
      <c r="K67" s="314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286"/>
      <c r="F68" s="286"/>
      <c r="J68" s="286"/>
      <c r="K68" s="314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286"/>
      <c r="F69" s="286"/>
      <c r="J69" s="286"/>
      <c r="K69" s="314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286"/>
      <c r="F70" s="286"/>
      <c r="J70" s="286"/>
      <c r="K70" s="314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286"/>
      <c r="F71" s="286"/>
      <c r="J71" s="286"/>
      <c r="K71" s="314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286"/>
      <c r="F72" s="286"/>
      <c r="J72" s="286"/>
      <c r="K72" s="314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286"/>
      <c r="F73" s="286"/>
      <c r="J73" s="286"/>
      <c r="K73" s="314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286"/>
      <c r="F74" s="286"/>
      <c r="J74" s="286"/>
      <c r="K74" s="314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286"/>
      <c r="F75" s="286"/>
      <c r="J75" s="286"/>
      <c r="K75" s="314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286"/>
      <c r="F76" s="286"/>
      <c r="J76" s="286"/>
      <c r="K76" s="314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286"/>
      <c r="F77" s="286"/>
      <c r="J77" s="286"/>
      <c r="K77" s="314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286"/>
      <c r="F78" s="286"/>
      <c r="J78" s="286"/>
      <c r="K78" s="314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286"/>
      <c r="F79" s="286"/>
      <c r="J79" s="286"/>
      <c r="K79" s="314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286"/>
      <c r="F80" s="286"/>
      <c r="J80" s="286"/>
      <c r="K80" s="314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286"/>
      <c r="F81" s="286"/>
      <c r="J81" s="286"/>
      <c r="K81" s="314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286"/>
      <c r="F82" s="286"/>
      <c r="J82" s="286"/>
      <c r="K82" s="314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286"/>
      <c r="F83" s="286"/>
      <c r="J83" s="286"/>
      <c r="K83" s="314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286"/>
      <c r="F84" s="286"/>
      <c r="J84" s="286"/>
      <c r="K84" s="314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286"/>
      <c r="F85" s="286"/>
      <c r="J85" s="286"/>
      <c r="K85" s="314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286"/>
      <c r="F86" s="286"/>
      <c r="J86" s="286"/>
      <c r="K86" s="314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286"/>
      <c r="F87" s="286"/>
      <c r="J87" s="286"/>
      <c r="K87" s="314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286"/>
      <c r="F88" s="286"/>
      <c r="J88" s="286"/>
      <c r="K88" s="314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286"/>
      <c r="F89" s="286"/>
      <c r="J89" s="286"/>
      <c r="K89" s="314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286"/>
      <c r="F90" s="286"/>
      <c r="J90" s="286"/>
      <c r="K90" s="314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286"/>
      <c r="F91" s="286"/>
      <c r="J91" s="286"/>
      <c r="K91" s="314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286"/>
      <c r="F92" s="286"/>
      <c r="J92" s="286"/>
      <c r="K92" s="314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286"/>
      <c r="F93" s="286"/>
      <c r="J93" s="286"/>
      <c r="K93" s="314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286"/>
      <c r="F94" s="286"/>
      <c r="J94" s="286"/>
      <c r="K94" s="314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286"/>
      <c r="F95" s="286"/>
      <c r="J95" s="286"/>
      <c r="K95" s="314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286"/>
      <c r="F96" s="286"/>
      <c r="J96" s="286"/>
      <c r="K96" s="314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286"/>
      <c r="F97" s="286"/>
      <c r="J97" s="286"/>
      <c r="K97" s="314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286"/>
      <c r="F98" s="286"/>
      <c r="J98" s="286"/>
      <c r="K98" s="314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286"/>
      <c r="F99" s="286"/>
      <c r="J99" s="286"/>
      <c r="K99" s="314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286"/>
      <c r="F100" s="286"/>
      <c r="J100" s="286"/>
      <c r="K100" s="314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286"/>
      <c r="F101" s="286"/>
      <c r="J101" s="286"/>
      <c r="K101" s="314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286"/>
      <c r="F102" s="286"/>
      <c r="J102" s="286"/>
      <c r="K102" s="314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286"/>
      <c r="F103" s="286"/>
      <c r="J103" s="286"/>
      <c r="K103" s="314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286"/>
      <c r="F104" s="286"/>
      <c r="J104" s="286"/>
      <c r="K104" s="314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286"/>
      <c r="F105" s="286"/>
      <c r="J105" s="286"/>
      <c r="K105" s="314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>
      <c r="A106" s="286"/>
      <c r="B106" s="286"/>
      <c r="C106" s="286"/>
      <c r="D106" s="286"/>
      <c r="F106" s="286"/>
      <c r="J106" s="286"/>
      <c r="K106" s="314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>
      <c r="A107" s="286"/>
      <c r="B107" s="286"/>
      <c r="C107" s="286"/>
      <c r="D107" s="286"/>
      <c r="F107" s="286"/>
      <c r="J107" s="286"/>
      <c r="K107" s="314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286"/>
      <c r="F108" s="286"/>
      <c r="J108" s="286"/>
      <c r="K108" s="314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>
      <c r="A109" s="286"/>
      <c r="B109" s="286"/>
      <c r="C109" s="286"/>
      <c r="D109" s="286"/>
      <c r="F109" s="286"/>
      <c r="J109" s="286"/>
      <c r="K109" s="314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>
      <c r="A110" s="286"/>
      <c r="B110" s="286"/>
      <c r="C110" s="286"/>
      <c r="D110" s="286"/>
      <c r="F110" s="286"/>
      <c r="J110" s="286"/>
      <c r="K110" s="314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286"/>
      <c r="F111" s="286"/>
      <c r="J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286"/>
      <c r="F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286"/>
      <c r="F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286"/>
      <c r="F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286"/>
      <c r="F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286"/>
      <c r="E116" s="339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286"/>
      <c r="F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286"/>
      <c r="F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286"/>
      <c r="F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286"/>
      <c r="F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286"/>
      <c r="F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286"/>
      <c r="F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286"/>
      <c r="F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286"/>
      <c r="F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286"/>
      <c r="F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286"/>
      <c r="F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286"/>
      <c r="F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286"/>
      <c r="F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286"/>
      <c r="F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286"/>
      <c r="F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286"/>
      <c r="F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286"/>
      <c r="F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286"/>
      <c r="F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286"/>
      <c r="F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286"/>
      <c r="F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286"/>
      <c r="F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286"/>
      <c r="F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286"/>
      <c r="F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286"/>
      <c r="F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286"/>
      <c r="F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286"/>
      <c r="F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286"/>
      <c r="F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286"/>
      <c r="F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286"/>
      <c r="F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286"/>
      <c r="F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286"/>
      <c r="F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286"/>
      <c r="F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286"/>
      <c r="F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286"/>
      <c r="F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286"/>
      <c r="F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286"/>
      <c r="F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28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28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28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28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28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28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28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28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28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28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28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28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28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28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28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28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28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28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28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28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28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28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28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28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28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28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28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28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28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28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28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28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28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28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28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28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28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28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28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28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28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28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28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28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28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28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28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28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28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28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28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28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28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28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28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28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28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28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28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28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28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28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28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28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28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28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28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28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28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28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28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28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28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28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28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28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28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28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28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28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28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28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28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28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28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28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28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28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28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28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28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28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28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28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28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28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28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28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28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28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28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28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28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28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28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28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28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28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28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28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28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28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28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28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28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28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28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28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28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28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28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28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28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28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28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28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28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28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28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28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28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28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28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28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28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28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28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28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28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28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28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28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28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28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28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28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28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28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28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28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28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28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28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28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28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28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28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28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28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28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28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28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28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28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28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28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28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28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28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28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28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28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28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28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28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28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28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28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28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28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28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28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28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28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28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28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28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28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28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28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28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28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28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28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28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28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28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28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28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28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28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28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28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28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28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28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28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28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28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28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28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28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28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28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28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28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28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28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28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28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28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28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28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28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28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28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28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28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28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28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28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28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28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28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28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28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28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28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28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28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28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28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28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28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28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28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28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28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28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28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28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28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28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28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28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28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28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28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28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28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28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28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28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28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28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28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28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28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28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28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28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28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28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28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28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28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28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28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28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28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28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28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28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28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28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28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28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28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28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28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28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28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28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28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28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28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28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28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28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28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28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28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28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28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28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28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28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28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28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28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28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28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28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28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28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28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28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28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28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28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28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28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28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28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28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28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28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28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28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28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28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28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28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28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28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28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28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28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28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28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28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28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28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28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28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28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28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28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28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28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28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28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28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28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28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28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28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28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28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28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28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28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28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28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28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28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28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28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28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28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28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28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28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28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28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28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28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28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28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28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28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28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28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28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28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28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28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28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28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28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28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28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28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28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28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28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28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28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28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28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28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28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28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28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28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28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28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28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28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28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28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28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28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28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28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28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28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28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28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28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28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28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28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28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28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28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28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28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28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28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28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28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28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28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28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28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28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28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28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28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28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28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28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28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28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28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28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28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28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28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28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28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28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28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28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28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28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28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28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28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28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28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28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28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28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28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28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28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28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28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28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28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28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28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28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28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28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28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28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28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28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28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28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28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28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28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28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28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28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28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28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28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28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28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28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28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28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28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28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28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28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28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28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28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28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28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28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28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28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28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28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28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28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28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28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28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28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28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28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28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28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28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28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28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28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28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28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28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28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28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28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28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28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28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28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28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28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28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28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28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28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28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28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28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28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28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28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28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28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28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28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28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28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28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28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28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28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28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28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28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28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28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28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28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28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28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28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28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28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28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28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28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28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28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28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28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28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28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28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28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28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28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28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28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28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28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28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28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28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28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28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28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28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28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28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28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28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28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28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28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28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28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28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28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28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28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28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28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28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28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28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28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28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28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28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28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28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28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28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28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28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28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28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28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28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28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28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28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28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28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28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28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28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28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28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28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28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28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28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28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28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28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28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28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28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28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28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28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28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28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28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28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28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28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28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28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28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28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28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28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28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28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28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28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28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28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28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28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28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28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28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28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28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28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28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28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28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28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28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28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28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28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28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28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28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28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28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28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28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28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28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28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28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28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28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28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28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28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28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28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28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28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28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28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28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28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28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28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28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28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28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28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28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28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28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28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28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28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28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28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28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28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28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28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28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28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28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28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28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28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28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28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28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28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28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28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28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28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28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28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28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28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28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28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28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28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28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28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28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28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28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28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28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28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28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28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28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  <row r="1013" spans="1:29" ht="15">
      <c r="A1013" s="286"/>
      <c r="B1013" s="286"/>
      <c r="C1013" s="286"/>
      <c r="D1013" s="28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</row>
    <row r="1014" spans="1:29" ht="15">
      <c r="A1014" s="286"/>
      <c r="B1014" s="286"/>
      <c r="C1014" s="286"/>
      <c r="D1014" s="286"/>
      <c r="E1014" s="28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</row>
    <row r="1015" spans="1:29" ht="15">
      <c r="A1015" s="286"/>
      <c r="B1015" s="286"/>
      <c r="C1015" s="286"/>
      <c r="D1015" s="286"/>
      <c r="E1015" s="28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</row>
    <row r="1016" spans="1:29" ht="15">
      <c r="A1016" s="286"/>
      <c r="B1016" s="286"/>
      <c r="C1016" s="286"/>
      <c r="D1016" s="286"/>
      <c r="E1016" s="286"/>
      <c r="F1016" s="286"/>
      <c r="G1016" s="286"/>
      <c r="H1016" s="286"/>
      <c r="I1016" s="286"/>
      <c r="J1016" s="286"/>
      <c r="K1016" s="286"/>
      <c r="L1016" s="286"/>
      <c r="M1016" s="286"/>
      <c r="N1016" s="286"/>
      <c r="O1016" s="286"/>
      <c r="P1016" s="286"/>
      <c r="Q1016" s="286"/>
      <c r="R1016" s="286"/>
      <c r="S1016" s="286"/>
      <c r="T1016" s="286"/>
      <c r="U1016" s="286"/>
      <c r="V1016" s="286"/>
      <c r="W1016" s="286"/>
      <c r="X1016" s="286"/>
      <c r="Y1016" s="286"/>
      <c r="Z1016" s="286"/>
      <c r="AA1016" s="286"/>
      <c r="AB1016" s="286"/>
      <c r="AC1016" s="286"/>
    </row>
    <row r="1017" spans="1:29" ht="15">
      <c r="A1017" s="286"/>
      <c r="B1017" s="286"/>
      <c r="C1017" s="286"/>
      <c r="D1017" s="286"/>
      <c r="E1017" s="286"/>
      <c r="F1017" s="286"/>
      <c r="G1017" s="286"/>
      <c r="H1017" s="286"/>
      <c r="I1017" s="286"/>
      <c r="J1017" s="286"/>
      <c r="K1017" s="286"/>
      <c r="L1017" s="286"/>
      <c r="M1017" s="286"/>
      <c r="N1017" s="286"/>
      <c r="O1017" s="286"/>
      <c r="P1017" s="286"/>
      <c r="Q1017" s="286"/>
      <c r="R1017" s="286"/>
      <c r="S1017" s="286"/>
      <c r="T1017" s="286"/>
      <c r="U1017" s="286"/>
      <c r="V1017" s="286"/>
      <c r="W1017" s="286"/>
      <c r="X1017" s="286"/>
      <c r="Y1017" s="286"/>
      <c r="Z1017" s="286"/>
      <c r="AA1017" s="286"/>
      <c r="AB1017" s="286"/>
      <c r="AC1017" s="28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G115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4.42578125" defaultRowHeight="15.75" customHeight="1"/>
  <cols>
    <col min="1" max="1" width="26.7109375" customWidth="1"/>
    <col min="2" max="2" width="11.42578125" customWidth="1"/>
    <col min="3" max="3" width="19.85546875" customWidth="1"/>
    <col min="4" max="4" width="14.7109375" customWidth="1"/>
    <col min="5" max="5" width="13" customWidth="1"/>
    <col min="6" max="6" width="7.28515625" customWidth="1"/>
    <col min="7" max="7" width="1.28515625" customWidth="1"/>
    <col min="8" max="8" width="9.42578125" customWidth="1"/>
    <col min="9" max="9" width="14.7109375" customWidth="1"/>
    <col min="10" max="10" width="13" customWidth="1"/>
    <col min="11" max="11" width="7.28515625" customWidth="1"/>
    <col min="12" max="12" width="1.28515625" customWidth="1"/>
    <col min="13" max="13" width="11.85546875" customWidth="1"/>
    <col min="14" max="14" width="14.7109375" customWidth="1"/>
    <col min="15" max="15" width="13" customWidth="1"/>
    <col min="16" max="16" width="7.28515625" customWidth="1"/>
    <col min="17" max="17" width="1.28515625" customWidth="1"/>
    <col min="19" max="19" width="14.7109375" customWidth="1"/>
    <col min="20" max="20" width="13" customWidth="1"/>
    <col min="21" max="21" width="7.28515625" customWidth="1"/>
    <col min="22" max="22" width="1.28515625" customWidth="1"/>
    <col min="24" max="24" width="14.7109375" customWidth="1"/>
    <col min="25" max="25" width="13" customWidth="1"/>
    <col min="26" max="26" width="7.28515625" customWidth="1"/>
    <col min="27" max="27" width="1.28515625" customWidth="1"/>
    <col min="29" max="29" width="14.7109375" customWidth="1"/>
    <col min="30" max="30" width="13" customWidth="1"/>
    <col min="31" max="31" width="7.28515625" customWidth="1"/>
    <col min="32" max="32" width="1.28515625" customWidth="1"/>
    <col min="34" max="34" width="14.7109375" customWidth="1"/>
    <col min="35" max="35" width="13" customWidth="1"/>
    <col min="36" max="36" width="7.28515625" customWidth="1"/>
    <col min="37" max="37" width="1.28515625" customWidth="1"/>
    <col min="38" max="38" width="9.140625" customWidth="1"/>
    <col min="39" max="39" width="14.7109375" customWidth="1"/>
    <col min="40" max="40" width="13" customWidth="1"/>
    <col min="41" max="41" width="7.28515625" customWidth="1"/>
    <col min="42" max="42" width="1.28515625" customWidth="1"/>
    <col min="44" max="44" width="14.7109375" customWidth="1"/>
    <col min="45" max="45" width="13" customWidth="1"/>
    <col min="46" max="46" width="7.28515625" customWidth="1"/>
    <col min="47" max="47" width="1.28515625" customWidth="1"/>
    <col min="49" max="49" width="14.7109375" customWidth="1"/>
    <col min="50" max="50" width="13" customWidth="1"/>
    <col min="51" max="51" width="7.28515625" customWidth="1"/>
    <col min="52" max="52" width="1.28515625" customWidth="1"/>
    <col min="53" max="53" width="10.85546875" customWidth="1"/>
    <col min="54" max="54" width="14.7109375" customWidth="1"/>
    <col min="55" max="55" width="13" customWidth="1"/>
    <col min="56" max="56" width="7.28515625" customWidth="1"/>
    <col min="57" max="57" width="1.28515625" customWidth="1"/>
    <col min="58" max="58" width="4.7109375" customWidth="1"/>
    <col min="59" max="59" width="16.5703125" customWidth="1"/>
  </cols>
  <sheetData>
    <row r="1" spans="1:59" ht="15.75" customHeight="1">
      <c r="A1" s="286"/>
      <c r="B1" s="340"/>
      <c r="C1" s="341" t="s">
        <v>145</v>
      </c>
      <c r="D1" s="286"/>
      <c r="E1" s="286"/>
      <c r="F1" s="286"/>
      <c r="G1" s="338"/>
      <c r="H1" s="314" t="s">
        <v>146</v>
      </c>
      <c r="I1" s="286"/>
      <c r="J1" s="286"/>
      <c r="K1" s="286"/>
      <c r="L1" s="338"/>
      <c r="M1" s="314" t="s">
        <v>147</v>
      </c>
      <c r="N1" s="286"/>
      <c r="O1" s="286"/>
      <c r="P1" s="286"/>
      <c r="Q1" s="338"/>
      <c r="R1" s="314" t="s">
        <v>148</v>
      </c>
      <c r="S1" s="286"/>
      <c r="T1" s="286"/>
      <c r="U1" s="286"/>
      <c r="V1" s="338"/>
      <c r="W1" s="314" t="s">
        <v>149</v>
      </c>
      <c r="X1" s="286"/>
      <c r="Y1" s="286"/>
      <c r="Z1" s="286"/>
      <c r="AA1" s="338"/>
      <c r="AB1" s="342" t="s">
        <v>150</v>
      </c>
      <c r="AC1" s="286"/>
      <c r="AD1" s="286"/>
      <c r="AE1" s="286"/>
      <c r="AF1" s="343"/>
      <c r="AG1" s="342" t="s">
        <v>151</v>
      </c>
      <c r="AH1" s="286"/>
      <c r="AI1" s="286"/>
      <c r="AJ1" s="286"/>
      <c r="AK1" s="343"/>
      <c r="AL1" s="342" t="s">
        <v>152</v>
      </c>
      <c r="AM1" s="286"/>
      <c r="AN1" s="286"/>
      <c r="AO1" s="286"/>
      <c r="AP1" s="343"/>
      <c r="AQ1" s="342" t="s">
        <v>153</v>
      </c>
      <c r="AR1" s="286"/>
      <c r="AS1" s="286"/>
      <c r="AT1" s="286"/>
      <c r="AU1" s="338"/>
      <c r="AV1" s="314" t="s">
        <v>154</v>
      </c>
      <c r="AW1" s="286"/>
      <c r="AX1" s="286"/>
      <c r="AY1" s="286"/>
      <c r="AZ1" s="338"/>
      <c r="BA1" s="314" t="s">
        <v>155</v>
      </c>
      <c r="BB1" s="286"/>
      <c r="BC1" s="286"/>
      <c r="BD1" s="286"/>
      <c r="BE1" s="338"/>
      <c r="BF1" s="286"/>
      <c r="BG1" s="344"/>
    </row>
    <row r="2" spans="1:59" ht="12.75">
      <c r="A2" s="345"/>
      <c r="B2" s="346"/>
      <c r="C2" s="347" t="s">
        <v>156</v>
      </c>
      <c r="D2" s="348"/>
      <c r="E2" s="348"/>
      <c r="F2" s="348"/>
      <c r="G2" s="349"/>
      <c r="H2" s="350" t="s">
        <v>157</v>
      </c>
      <c r="I2" s="348"/>
      <c r="J2" s="348"/>
      <c r="K2" s="348"/>
      <c r="L2" s="349"/>
      <c r="M2" s="351" t="s">
        <v>158</v>
      </c>
      <c r="N2" s="348"/>
      <c r="O2" s="348"/>
      <c r="P2" s="348"/>
      <c r="Q2" s="349"/>
      <c r="R2" s="352" t="s">
        <v>159</v>
      </c>
      <c r="S2" s="348"/>
      <c r="T2" s="348"/>
      <c r="U2" s="348"/>
      <c r="V2" s="349"/>
      <c r="W2" s="352" t="s">
        <v>160</v>
      </c>
      <c r="X2" s="348"/>
      <c r="Y2" s="348"/>
      <c r="Z2" s="348"/>
      <c r="AA2" s="349"/>
      <c r="AB2" s="353" t="s">
        <v>161</v>
      </c>
      <c r="AC2" s="348"/>
      <c r="AD2" s="348"/>
      <c r="AE2" s="348"/>
      <c r="AF2" s="354"/>
      <c r="AG2" s="353" t="s">
        <v>162</v>
      </c>
      <c r="AH2" s="348"/>
      <c r="AI2" s="348"/>
      <c r="AJ2" s="348"/>
      <c r="AK2" s="354"/>
      <c r="AL2" s="353" t="s">
        <v>163</v>
      </c>
      <c r="AM2" s="348"/>
      <c r="AN2" s="348"/>
      <c r="AO2" s="348"/>
      <c r="AP2" s="354"/>
      <c r="AQ2" s="353" t="s">
        <v>164</v>
      </c>
      <c r="AR2" s="348"/>
      <c r="AS2" s="348"/>
      <c r="AT2" s="348"/>
      <c r="AU2" s="349"/>
      <c r="AV2" s="352" t="s">
        <v>165</v>
      </c>
      <c r="AW2" s="348"/>
      <c r="AX2" s="348"/>
      <c r="AY2" s="348"/>
      <c r="AZ2" s="349"/>
      <c r="BA2" s="352" t="s">
        <v>166</v>
      </c>
      <c r="BB2" s="348"/>
      <c r="BC2" s="348"/>
      <c r="BD2" s="348"/>
      <c r="BE2" s="349"/>
      <c r="BF2" s="348"/>
      <c r="BG2" s="355"/>
    </row>
    <row r="3" spans="1:59" ht="12.75">
      <c r="A3" s="356" t="s">
        <v>136</v>
      </c>
      <c r="B3" s="357"/>
      <c r="C3" s="356" t="s">
        <v>167</v>
      </c>
      <c r="D3" s="358" t="s">
        <v>168</v>
      </c>
      <c r="E3" s="358" t="s">
        <v>169</v>
      </c>
      <c r="F3" s="348"/>
      <c r="G3" s="349"/>
      <c r="H3" s="211"/>
      <c r="I3" s="358" t="s">
        <v>168</v>
      </c>
      <c r="J3" s="358" t="s">
        <v>169</v>
      </c>
      <c r="K3" s="348"/>
      <c r="L3" s="349"/>
      <c r="M3" s="345"/>
      <c r="N3" s="358" t="s">
        <v>168</v>
      </c>
      <c r="O3" s="358" t="s">
        <v>169</v>
      </c>
      <c r="P3" s="348"/>
      <c r="Q3" s="349"/>
      <c r="R3" s="348"/>
      <c r="S3" s="358" t="s">
        <v>168</v>
      </c>
      <c r="T3" s="358" t="s">
        <v>169</v>
      </c>
      <c r="U3" s="348"/>
      <c r="V3" s="349"/>
      <c r="W3" s="348"/>
      <c r="X3" s="358" t="s">
        <v>168</v>
      </c>
      <c r="Y3" s="358" t="s">
        <v>169</v>
      </c>
      <c r="Z3" s="348"/>
      <c r="AA3" s="349"/>
      <c r="AB3" s="359">
        <f>SUM(AB5+AB53+AB74+AB82+AB137+AB143+AB162)</f>
        <v>2399.2600000000007</v>
      </c>
      <c r="AC3" s="358" t="s">
        <v>168</v>
      </c>
      <c r="AD3" s="358" t="s">
        <v>169</v>
      </c>
      <c r="AE3" s="348"/>
      <c r="AF3" s="354"/>
      <c r="AG3" s="359">
        <f>SUM(AG5+AG53+AG74+AG82+AG137+AG143+AG162)</f>
        <v>13703.699999999999</v>
      </c>
      <c r="AH3" s="358" t="s">
        <v>168</v>
      </c>
      <c r="AI3" s="358" t="s">
        <v>169</v>
      </c>
      <c r="AJ3" s="348"/>
      <c r="AK3" s="354"/>
      <c r="AL3" s="359">
        <f>SUM(AL5+AL53+AL74+AL82+AL137+AL143+AL162)</f>
        <v>11913.580000000002</v>
      </c>
      <c r="AM3" s="358" t="s">
        <v>168</v>
      </c>
      <c r="AN3" s="358" t="s">
        <v>169</v>
      </c>
      <c r="AO3" s="348"/>
      <c r="AP3" s="354"/>
      <c r="AQ3" s="359">
        <f>SUM(AQ5+AQ53+AQ74+AQ82+AQ137+AQ143+AQ162)</f>
        <v>1268.8499999999999</v>
      </c>
      <c r="AR3" s="358" t="s">
        <v>168</v>
      </c>
      <c r="AS3" s="358" t="s">
        <v>169</v>
      </c>
      <c r="AT3" s="348"/>
      <c r="AU3" s="349"/>
      <c r="AV3" s="356" t="s">
        <v>167</v>
      </c>
      <c r="AW3" s="358" t="s">
        <v>168</v>
      </c>
      <c r="AX3" s="358" t="s">
        <v>169</v>
      </c>
      <c r="AY3" s="348"/>
      <c r="AZ3" s="349"/>
      <c r="BA3" s="348"/>
      <c r="BB3" s="358" t="s">
        <v>168</v>
      </c>
      <c r="BC3" s="358" t="s">
        <v>169</v>
      </c>
      <c r="BD3" s="348"/>
      <c r="BE3" s="349"/>
      <c r="BF3" s="348"/>
      <c r="BG3" s="360" t="s">
        <v>42</v>
      </c>
    </row>
    <row r="4" spans="1:59" ht="12.75">
      <c r="A4" s="356"/>
      <c r="B4" s="361" t="s">
        <v>170</v>
      </c>
      <c r="C4" s="361">
        <f>SUM(C5+C53+C74+C82+C137+C143+C162)</f>
        <v>16763.850000000002</v>
      </c>
      <c r="D4" s="362">
        <f>SUM(D5:D1014)</f>
        <v>0.99999999999999989</v>
      </c>
      <c r="E4" s="363">
        <f>SUM(E5+E53+E74+E82+E137+E143+E162)</f>
        <v>493282.55246407003</v>
      </c>
      <c r="F4" s="362">
        <f>SUM(F5:F1014)</f>
        <v>1</v>
      </c>
      <c r="G4" s="349"/>
      <c r="H4" s="358">
        <f>SUM(H5+H53+H74+H82+H137+H143+H162)</f>
        <v>1033.45</v>
      </c>
      <c r="I4" s="362">
        <f>SUM(I5:I1014)</f>
        <v>1</v>
      </c>
      <c r="J4" s="363">
        <f>SUM(J5+J53+J74+J82+J137+J143+J162)</f>
        <v>66471.776857270001</v>
      </c>
      <c r="K4" s="362">
        <f>SUM(K5:K1014)</f>
        <v>1</v>
      </c>
      <c r="L4" s="349"/>
      <c r="M4" s="364">
        <f>SUM(M5+M53+M74+M82+M137+M143+M162)</f>
        <v>4105.2099999999991</v>
      </c>
      <c r="N4" s="362">
        <f>SUM(N5:N1014)</f>
        <v>1</v>
      </c>
      <c r="O4" s="363">
        <f>SUM(O5+O53+O74+O82+O137+O143+O162)</f>
        <v>186963.86518615999</v>
      </c>
      <c r="P4" s="362">
        <f>SUM(P5:P1014)</f>
        <v>1</v>
      </c>
      <c r="Q4" s="349"/>
      <c r="R4" s="364">
        <f>SUM(R5+R53+R74+R82+R137+R143+R162)</f>
        <v>2504.81</v>
      </c>
      <c r="S4" s="362">
        <f>SUM(S5:S1014)</f>
        <v>0.99999999999999978</v>
      </c>
      <c r="T4" s="363">
        <f>SUM(T5+T53+T74+T82+T137+T143+T162)</f>
        <v>103094.30128869001</v>
      </c>
      <c r="U4" s="362">
        <f>SUM(U5:U1014)</f>
        <v>0.99999999999999978</v>
      </c>
      <c r="V4" s="349"/>
      <c r="W4" s="364">
        <f>SUM(W5+W53+W74+W82+W137+W143+W162)</f>
        <v>10362.06</v>
      </c>
      <c r="X4" s="362">
        <f>SUM(X5:X1014)</f>
        <v>1.0000000000000002</v>
      </c>
      <c r="Y4" s="363">
        <f>SUM(Y5+Y53+Y74+Y82+Y137+Y143+Y162)</f>
        <v>380712.12439386995</v>
      </c>
      <c r="Z4" s="362">
        <f>SUM(Z5:Z1014)</f>
        <v>1</v>
      </c>
      <c r="AA4" s="349"/>
      <c r="AB4" s="364">
        <f>SUM(AB5+AB53+AB74+AB82+AB137+AB143+AB162)</f>
        <v>2399.2600000000007</v>
      </c>
      <c r="AC4" s="362">
        <f>SUM(AC5:AC1014)</f>
        <v>1</v>
      </c>
      <c r="AD4" s="363">
        <f>SUM(AD5+AD53+AD74+AD82+AD137+AD143+AD162)</f>
        <v>131395.15008840998</v>
      </c>
      <c r="AE4" s="362">
        <f>SUM(AE5:AE1014)</f>
        <v>1</v>
      </c>
      <c r="AF4" s="354"/>
      <c r="AG4" s="365">
        <f>SUM(AG5+AG53+AG74+AG82+AG137+AG143+AG162)</f>
        <v>13703.699999999999</v>
      </c>
      <c r="AH4" s="362">
        <f>SUM(AH5:AH1014)</f>
        <v>1</v>
      </c>
      <c r="AI4" s="363">
        <f>SUM(AI5+AI53+AI74+AI82+AI137+AI143+AI162)</f>
        <v>939692.90145910997</v>
      </c>
      <c r="AJ4" s="362">
        <f>SUM(AJ5:AJ1014)</f>
        <v>0.99999999999999989</v>
      </c>
      <c r="AK4" s="354"/>
      <c r="AL4" s="365">
        <f>SUM(AL5+AL53+AL74+AL82+AL137+AL143+AL162)</f>
        <v>11913.580000000002</v>
      </c>
      <c r="AM4" s="362">
        <f>SUM(AM5:AM1014)</f>
        <v>1</v>
      </c>
      <c r="AN4" s="363">
        <f>SUM(AN5+AN53+AN74+AN82+AN137+AN143+AN162)</f>
        <v>498570.54481868993</v>
      </c>
      <c r="AO4" s="362">
        <f>SUM(AO5:AO1014)</f>
        <v>1</v>
      </c>
      <c r="AP4" s="354"/>
      <c r="AQ4" s="364">
        <f>SUM(AQ5+AQ53+AQ74+AQ82+AQ137+AQ143+AQ162)</f>
        <v>1268.8499999999999</v>
      </c>
      <c r="AR4" s="362">
        <f>SUM(AR5:AR1014)</f>
        <v>1.0000000000000002</v>
      </c>
      <c r="AS4" s="363">
        <f>SUM(AS5+AS53+AS74+AS82+AS137+AS143+AS162)</f>
        <v>67654.158701580018</v>
      </c>
      <c r="AT4" s="362">
        <f>SUM(AT5:AT1014)</f>
        <v>0.99999999999999989</v>
      </c>
      <c r="AU4" s="349"/>
      <c r="AV4" s="364">
        <f>SUM(AV5+AV53+AV74+AV82+AV137+AV143+AV162)</f>
        <v>21353.39</v>
      </c>
      <c r="AW4" s="362">
        <f>SUM(AW5:AW1014)</f>
        <v>1</v>
      </c>
      <c r="AX4" s="363">
        <f>SUM(AX5+AX53+AX74+AX82+AX137+AX143+AX162)</f>
        <v>1073667.5011845201</v>
      </c>
      <c r="AY4" s="362">
        <f>SUM(AY5:AY1014)</f>
        <v>1.0000000000000002</v>
      </c>
      <c r="AZ4" s="349"/>
      <c r="BA4" s="364">
        <f>SUM(BA5+BA53+BA74+BA82+BA137+BA143+BA162)</f>
        <v>275.41000000000003</v>
      </c>
      <c r="BB4" s="362">
        <f>SUM(BB5:BB1014)</f>
        <v>1</v>
      </c>
      <c r="BC4" s="363">
        <f>SUM(BC5+BC53+BC74+BC82+BC137+BC143+BC162)</f>
        <v>14534.246845200001</v>
      </c>
      <c r="BD4" s="362">
        <f>SUM(BD5:BD1014)</f>
        <v>1</v>
      </c>
      <c r="BE4" s="349"/>
      <c r="BF4" s="348"/>
      <c r="BG4" s="360"/>
    </row>
    <row r="5" spans="1:59" ht="12.75">
      <c r="A5" s="366" t="s">
        <v>96</v>
      </c>
      <c r="B5" s="367">
        <f>(C5+H5+M5+R5+W5+AB5+AG5+AL5+AQ5+AV5+BA5)</f>
        <v>17829.47</v>
      </c>
      <c r="C5" s="367">
        <f>SUM(C8:C51)</f>
        <v>1550.4099999999999</v>
      </c>
      <c r="D5" s="368">
        <f>SUM(C5/C$4)</f>
        <v>9.2485318110099982E-2</v>
      </c>
      <c r="E5" s="367">
        <f>SUM(E8:E51)</f>
        <v>19132.131171109995</v>
      </c>
      <c r="F5" s="368">
        <f>SUM(E5/E$4)</f>
        <v>3.8785339306124253E-2</v>
      </c>
      <c r="G5" s="283"/>
      <c r="H5" s="369">
        <f>SUM(H8:H51)</f>
        <v>61.530000000000008</v>
      </c>
      <c r="I5" s="368">
        <f>SUM(H5/H$4)</f>
        <v>5.9538439208476471E-2</v>
      </c>
      <c r="J5" s="367">
        <f>SUM(J8:J51)</f>
        <v>1079.8688394000001</v>
      </c>
      <c r="K5" s="368">
        <f>SUM(J5/J$4)</f>
        <v>1.6245523896837054E-2</v>
      </c>
      <c r="L5" s="283"/>
      <c r="M5" s="369">
        <f>SUM(M8:M51)</f>
        <v>442.12</v>
      </c>
      <c r="N5" s="368">
        <f>SUM(M5/M$4)</f>
        <v>0.10769729197775513</v>
      </c>
      <c r="O5" s="367">
        <f>SUM(O8:O51)</f>
        <v>5353.4899967200017</v>
      </c>
      <c r="P5" s="368">
        <f>SUM(O5/O$4)</f>
        <v>2.8633821788983285E-2</v>
      </c>
      <c r="Q5" s="283"/>
      <c r="R5" s="369">
        <f>SUM(R8:R51)</f>
        <v>303.03000000000003</v>
      </c>
      <c r="S5" s="368">
        <f>SUM(R5/R$4)</f>
        <v>0.12097923595003215</v>
      </c>
      <c r="T5" s="367">
        <f>SUM(T8:T51)</f>
        <v>3302.6525311400001</v>
      </c>
      <c r="U5" s="368">
        <f>SUM(T5/T$4)</f>
        <v>3.2035257912963987E-2</v>
      </c>
      <c r="V5" s="283"/>
      <c r="W5" s="369">
        <f>SUM(W8:W51)</f>
        <v>4798.3499999999995</v>
      </c>
      <c r="X5" s="368">
        <f>SUM(W5/W$4)</f>
        <v>0.46306911946080215</v>
      </c>
      <c r="Y5" s="367">
        <f>SUM(Y8:Y51)</f>
        <v>91789.384526189984</v>
      </c>
      <c r="Z5" s="368">
        <f>SUM(Y5/Y$4)</f>
        <v>0.24109918924260015</v>
      </c>
      <c r="AA5" s="283"/>
      <c r="AB5" s="369">
        <f>SUM(AB8:AB51)</f>
        <v>477.30000000000007</v>
      </c>
      <c r="AC5" s="368">
        <f>SUM(AB5/AB$4)</f>
        <v>0.19893633870443383</v>
      </c>
      <c r="AD5" s="367">
        <f>SUM(AD8:AD51)</f>
        <v>5694.2387104500021</v>
      </c>
      <c r="AE5" s="368">
        <f>SUM(AD5/AD$4)</f>
        <v>4.3336749542266975E-2</v>
      </c>
      <c r="AF5" s="283"/>
      <c r="AG5" s="369">
        <f>SUM(AG8:AG51)</f>
        <v>1642.8999999999996</v>
      </c>
      <c r="AH5" s="368">
        <f>SUM(AG5/AG$4)</f>
        <v>0.11988732969927827</v>
      </c>
      <c r="AI5" s="367">
        <f>SUM(AI8:AI51)</f>
        <v>28930.205522250006</v>
      </c>
      <c r="AJ5" s="368">
        <f>SUM(AI5/AI$4)</f>
        <v>3.0786872474324933E-2</v>
      </c>
      <c r="AK5" s="283"/>
      <c r="AL5" s="369">
        <f>SUM(AL8:AL51)</f>
        <v>2628.1400000000003</v>
      </c>
      <c r="AM5" s="368">
        <f>SUM(AL5/AL$4)</f>
        <v>0.22060035690363433</v>
      </c>
      <c r="AN5" s="367">
        <f>SUM(AN8:AN51)</f>
        <v>35977.430366819994</v>
      </c>
      <c r="AO5" s="368">
        <f>SUM(AN5/AN$4)</f>
        <v>7.2161163030406331E-2</v>
      </c>
      <c r="AP5" s="370"/>
      <c r="AQ5" s="369">
        <f>SUM(AQ8:AQ51)</f>
        <v>558.59</v>
      </c>
      <c r="AR5" s="368">
        <f>SUM(AQ5/AQ$4)</f>
        <v>0.44023328210584395</v>
      </c>
      <c r="AS5" s="367">
        <f>SUM(AS8:AS51)</f>
        <v>9499.0436214000019</v>
      </c>
      <c r="AT5" s="368">
        <f>SUM(AS5/AS$4)</f>
        <v>0.14040590857540525</v>
      </c>
      <c r="AU5" s="283"/>
      <c r="AV5" s="369">
        <f>SUM(AV8:AV51)</f>
        <v>5340.0599999999995</v>
      </c>
      <c r="AW5" s="368">
        <f>SUM(AV5/AV$4)</f>
        <v>0.25008019803881254</v>
      </c>
      <c r="AX5" s="367">
        <f>SUM(AX8:AX51)</f>
        <v>80126.221134439998</v>
      </c>
      <c r="AY5" s="368">
        <f>SUM(AX5/AX$4)</f>
        <v>7.4628524236824728E-2</v>
      </c>
      <c r="AZ5" s="283"/>
      <c r="BA5" s="369">
        <f>SUM(BA8:BA51)</f>
        <v>27.04</v>
      </c>
      <c r="BB5" s="368">
        <f>SUM(BA5/BA$4)</f>
        <v>9.8180893939944072E-2</v>
      </c>
      <c r="BC5" s="367">
        <f>SUM(BC8:BC51)</f>
        <v>446.77144225000001</v>
      </c>
      <c r="BD5" s="368">
        <f>SUM(BC5/BC$4)</f>
        <v>3.0739222128840355E-2</v>
      </c>
      <c r="BE5" s="283"/>
      <c r="BF5" s="282"/>
      <c r="BG5" s="371">
        <f>SUM(BG8:BG51)</f>
        <v>643782928</v>
      </c>
    </row>
    <row r="6" spans="1:59" ht="12.75">
      <c r="A6" s="372" t="s">
        <v>171</v>
      </c>
      <c r="B6" s="373"/>
      <c r="C6" s="374">
        <f>AVERAGE(C8:C51)</f>
        <v>38.760249999999999</v>
      </c>
      <c r="D6" s="375"/>
      <c r="E6" s="375"/>
      <c r="F6" s="257"/>
      <c r="G6" s="376"/>
      <c r="H6" s="377"/>
      <c r="I6" s="375"/>
      <c r="J6" s="375"/>
      <c r="K6" s="257"/>
      <c r="L6" s="376"/>
      <c r="M6" s="377"/>
      <c r="N6" s="375"/>
      <c r="O6" s="375"/>
      <c r="P6" s="257"/>
      <c r="Q6" s="376"/>
      <c r="R6" s="377"/>
      <c r="S6" s="375"/>
      <c r="T6" s="375"/>
      <c r="U6" s="257"/>
      <c r="V6" s="376"/>
      <c r="W6" s="377"/>
      <c r="X6" s="375"/>
      <c r="Y6" s="375"/>
      <c r="Z6" s="257"/>
      <c r="AA6" s="376"/>
      <c r="AB6" s="377"/>
      <c r="AC6" s="375"/>
      <c r="AD6" s="375"/>
      <c r="AE6" s="257"/>
      <c r="AF6" s="376"/>
      <c r="AG6" s="378"/>
      <c r="AH6" s="375"/>
      <c r="AI6" s="375"/>
      <c r="AJ6" s="257"/>
      <c r="AK6" s="376"/>
      <c r="AL6" s="378"/>
      <c r="AM6" s="375"/>
      <c r="AN6" s="375"/>
      <c r="AO6" s="257"/>
      <c r="AP6" s="379"/>
      <c r="AQ6" s="377"/>
      <c r="AR6" s="375"/>
      <c r="AS6" s="375"/>
      <c r="AT6" s="257"/>
      <c r="AU6" s="376"/>
      <c r="AV6" s="377"/>
      <c r="AW6" s="375"/>
      <c r="AX6" s="375"/>
      <c r="AY6" s="257"/>
      <c r="AZ6" s="376"/>
      <c r="BA6" s="377"/>
      <c r="BB6" s="375"/>
      <c r="BC6" s="375"/>
      <c r="BD6" s="257"/>
      <c r="BE6" s="376"/>
      <c r="BF6" s="257"/>
      <c r="BG6" s="380"/>
    </row>
    <row r="7" spans="1:59" ht="12.75">
      <c r="A7" s="372" t="s">
        <v>172</v>
      </c>
      <c r="B7" s="373">
        <f>SUM(C7:BD7)</f>
        <v>1</v>
      </c>
      <c r="C7" s="377">
        <f>C5/$B5</f>
        <v>8.6957716634313856E-2</v>
      </c>
      <c r="D7" s="375"/>
      <c r="E7" s="375"/>
      <c r="F7" s="257"/>
      <c r="G7" s="376"/>
      <c r="H7" s="377">
        <f>H5/$B5</f>
        <v>3.4510279890540775E-3</v>
      </c>
      <c r="I7" s="375"/>
      <c r="J7" s="375"/>
      <c r="K7" s="257"/>
      <c r="L7" s="376"/>
      <c r="M7" s="377">
        <f>M5/$B5</f>
        <v>2.4797147643760582E-2</v>
      </c>
      <c r="N7" s="375"/>
      <c r="O7" s="375"/>
      <c r="P7" s="257"/>
      <c r="Q7" s="376"/>
      <c r="R7" s="377">
        <f>R5/$B5</f>
        <v>1.6996018389778274E-2</v>
      </c>
      <c r="S7" s="375"/>
      <c r="T7" s="375"/>
      <c r="U7" s="257"/>
      <c r="V7" s="376"/>
      <c r="W7" s="377">
        <f>W5/$B5</f>
        <v>0.26912465709861255</v>
      </c>
      <c r="X7" s="375"/>
      <c r="Y7" s="375"/>
      <c r="Z7" s="257"/>
      <c r="AA7" s="376"/>
      <c r="AB7" s="377">
        <f>AB5/$B5</f>
        <v>2.6770285375841234E-2</v>
      </c>
      <c r="AC7" s="375"/>
      <c r="AD7" s="375"/>
      <c r="AE7" s="257"/>
      <c r="AF7" s="376"/>
      <c r="AG7" s="378">
        <f>AG5/$B5</f>
        <v>9.2145195566665727E-2</v>
      </c>
      <c r="AH7" s="375"/>
      <c r="AI7" s="375"/>
      <c r="AJ7" s="257"/>
      <c r="AK7" s="376"/>
      <c r="AL7" s="378">
        <f>AL5/$B5</f>
        <v>0.14740426944827861</v>
      </c>
      <c r="AM7" s="375"/>
      <c r="AN7" s="375"/>
      <c r="AO7" s="257"/>
      <c r="AP7" s="379"/>
      <c r="AQ7" s="377">
        <f>AQ5/$B5</f>
        <v>3.1329590840333446E-2</v>
      </c>
      <c r="AR7" s="375"/>
      <c r="AS7" s="375"/>
      <c r="AT7" s="257"/>
      <c r="AU7" s="376"/>
      <c r="AV7" s="377">
        <f>AV5/$B5</f>
        <v>0.29950750078381461</v>
      </c>
      <c r="AW7" s="375"/>
      <c r="AX7" s="375"/>
      <c r="AY7" s="257"/>
      <c r="AZ7" s="376"/>
      <c r="BA7" s="377">
        <f>BA5/$B5</f>
        <v>1.5165902295469242E-3</v>
      </c>
      <c r="BB7" s="375"/>
      <c r="BC7" s="375"/>
      <c r="BD7" s="257"/>
      <c r="BE7" s="376"/>
      <c r="BF7" s="257"/>
      <c r="BG7" s="380"/>
    </row>
    <row r="8" spans="1:59" ht="12.75">
      <c r="A8" s="381" t="s">
        <v>173</v>
      </c>
      <c r="B8" s="382"/>
      <c r="C8" s="383">
        <v>12.3</v>
      </c>
      <c r="D8" s="233"/>
      <c r="E8" s="233">
        <f t="shared" ref="E8:E51" si="0">SUM(C8*$BG8)/1000000</f>
        <v>149.1629733</v>
      </c>
      <c r="F8" s="211"/>
      <c r="G8" s="384"/>
      <c r="H8" s="385">
        <v>0.67</v>
      </c>
      <c r="I8" s="233"/>
      <c r="J8" s="233">
        <f t="shared" ref="J8:J51" si="1">SUM(H8*$BG8)/1000000</f>
        <v>8.1251375699999997</v>
      </c>
      <c r="K8" s="211"/>
      <c r="L8" s="384"/>
      <c r="M8" s="269">
        <v>11.93</v>
      </c>
      <c r="N8" s="233"/>
      <c r="O8" s="233">
        <f t="shared" ref="O8:O51" si="2">SUM(M8*$BG8)/1000000</f>
        <v>144.67595703000001</v>
      </c>
      <c r="P8" s="211"/>
      <c r="Q8" s="384"/>
      <c r="R8" s="386">
        <v>11.76</v>
      </c>
      <c r="S8" s="233"/>
      <c r="T8" s="233">
        <f t="shared" ref="T8:T51" si="3">SUM(R8*$BG8)/1000000</f>
        <v>142.61435496000001</v>
      </c>
      <c r="U8" s="211"/>
      <c r="V8" s="384"/>
      <c r="W8" s="269">
        <v>248.22</v>
      </c>
      <c r="X8" s="233"/>
      <c r="Y8" s="233">
        <f t="shared" ref="Y8:Y51" si="4">SUM(W8*$BG8)/1000000</f>
        <v>3010.1815636199999</v>
      </c>
      <c r="Z8" s="211"/>
      <c r="AA8" s="384"/>
      <c r="AB8" s="387">
        <v>20.22</v>
      </c>
      <c r="AC8" s="233"/>
      <c r="AD8" s="233">
        <f t="shared" ref="AD8:AD51" si="5">SUM(AB8*$BG8)/1000000</f>
        <v>245.20937561999997</v>
      </c>
      <c r="AE8" s="211"/>
      <c r="AF8" s="384"/>
      <c r="AG8" s="388">
        <v>26.31</v>
      </c>
      <c r="AH8" s="233"/>
      <c r="AI8" s="233">
        <f t="shared" ref="AI8:AI51" si="6">SUM(AG8*$BG8)/1000000</f>
        <v>319.06323800999996</v>
      </c>
      <c r="AJ8" s="211"/>
      <c r="AK8" s="384"/>
      <c r="AL8" s="389">
        <v>90.34</v>
      </c>
      <c r="AM8" s="233"/>
      <c r="AN8" s="233">
        <f t="shared" ref="AN8:AN51" si="7">SUM(AL8*$BG8)/1000000</f>
        <v>1095.5595941400002</v>
      </c>
      <c r="AO8" s="211"/>
      <c r="AP8" s="390"/>
      <c r="AQ8" s="391">
        <v>12.58</v>
      </c>
      <c r="AR8" s="233"/>
      <c r="AS8" s="233">
        <f t="shared" ref="AS8:AS51" si="8">SUM(AQ8*$BG8)/1000000</f>
        <v>152.55855318000002</v>
      </c>
      <c r="AT8" s="211"/>
      <c r="AU8" s="384"/>
      <c r="AV8" s="269">
        <v>95.72</v>
      </c>
      <c r="AW8" s="233"/>
      <c r="AX8" s="233">
        <f t="shared" ref="AX8:AX51" si="9">SUM(AV8*$BG8)/1000000</f>
        <v>1160.8032361199998</v>
      </c>
      <c r="AY8" s="211"/>
      <c r="AZ8" s="384"/>
      <c r="BA8" s="269">
        <v>0.08</v>
      </c>
      <c r="BB8" s="233"/>
      <c r="BC8" s="233">
        <f t="shared" ref="BC8:BC51" si="10">SUM(BA8*$BG8)/1000000</f>
        <v>0.97016568000000003</v>
      </c>
      <c r="BD8" s="211"/>
      <c r="BE8" s="384"/>
      <c r="BF8" s="211"/>
      <c r="BG8" s="392">
        <v>12127071</v>
      </c>
    </row>
    <row r="9" spans="1:59" ht="12.75">
      <c r="A9" s="381" t="s">
        <v>174</v>
      </c>
      <c r="B9" s="382"/>
      <c r="C9" s="383">
        <v>8.4</v>
      </c>
      <c r="D9" s="233"/>
      <c r="E9" s="233">
        <f t="shared" si="0"/>
        <v>66.048729600000001</v>
      </c>
      <c r="F9" s="211"/>
      <c r="G9" s="384"/>
      <c r="H9" s="393">
        <v>1.02</v>
      </c>
      <c r="I9" s="233"/>
      <c r="J9" s="233">
        <f t="shared" si="1"/>
        <v>8.0202028799999994</v>
      </c>
      <c r="K9" s="211"/>
      <c r="L9" s="384"/>
      <c r="M9" s="269">
        <v>5.72</v>
      </c>
      <c r="N9" s="233"/>
      <c r="O9" s="233">
        <f t="shared" si="2"/>
        <v>44.97603968</v>
      </c>
      <c r="P9" s="211"/>
      <c r="Q9" s="384"/>
      <c r="R9" s="269">
        <v>9.9499999999999993</v>
      </c>
      <c r="S9" s="233"/>
      <c r="T9" s="233">
        <f t="shared" si="3"/>
        <v>78.236292800000001</v>
      </c>
      <c r="U9" s="211"/>
      <c r="V9" s="384"/>
      <c r="W9" s="269">
        <v>277.02999999999997</v>
      </c>
      <c r="X9" s="233"/>
      <c r="Y9" s="233">
        <f t="shared" si="4"/>
        <v>2178.2713763199995</v>
      </c>
      <c r="Z9" s="211"/>
      <c r="AA9" s="384"/>
      <c r="AB9" s="387">
        <v>17.600000000000001</v>
      </c>
      <c r="AC9" s="233"/>
      <c r="AD9" s="233">
        <f t="shared" si="5"/>
        <v>138.3878144</v>
      </c>
      <c r="AE9" s="211"/>
      <c r="AF9" s="384"/>
      <c r="AG9" s="394">
        <v>60.21</v>
      </c>
      <c r="AH9" s="233"/>
      <c r="AI9" s="233">
        <f t="shared" si="6"/>
        <v>473.42785824000003</v>
      </c>
      <c r="AJ9" s="211"/>
      <c r="AK9" s="384"/>
      <c r="AL9" s="395">
        <v>49.62</v>
      </c>
      <c r="AM9" s="233"/>
      <c r="AN9" s="233">
        <f t="shared" si="7"/>
        <v>390.15928127999996</v>
      </c>
      <c r="AO9" s="211"/>
      <c r="AP9" s="390"/>
      <c r="AQ9" s="391">
        <v>19.420000000000002</v>
      </c>
      <c r="AR9" s="233"/>
      <c r="AS9" s="233">
        <f t="shared" si="8"/>
        <v>152.69837248000002</v>
      </c>
      <c r="AT9" s="211"/>
      <c r="AU9" s="384"/>
      <c r="AV9" s="269">
        <v>148.59</v>
      </c>
      <c r="AW9" s="233"/>
      <c r="AX9" s="233">
        <f t="shared" si="9"/>
        <v>1168.35484896</v>
      </c>
      <c r="AY9" s="211"/>
      <c r="AZ9" s="384"/>
      <c r="BA9" s="269">
        <v>4.8499999999999996</v>
      </c>
      <c r="BB9" s="233"/>
      <c r="BC9" s="233">
        <f t="shared" si="10"/>
        <v>38.135278399999997</v>
      </c>
      <c r="BD9" s="211"/>
      <c r="BE9" s="384"/>
      <c r="BF9" s="211"/>
      <c r="BG9" s="392">
        <v>7862944</v>
      </c>
    </row>
    <row r="10" spans="1:59" ht="12.75">
      <c r="A10" s="381" t="s">
        <v>175</v>
      </c>
      <c r="B10" s="382"/>
      <c r="C10" s="383">
        <v>117.74</v>
      </c>
      <c r="D10" s="233"/>
      <c r="E10" s="233">
        <f t="shared" si="0"/>
        <v>193.07393741999999</v>
      </c>
      <c r="F10" s="211"/>
      <c r="G10" s="384"/>
      <c r="H10" s="393">
        <v>1.5</v>
      </c>
      <c r="I10" s="233"/>
      <c r="J10" s="233">
        <f t="shared" si="1"/>
        <v>2.4597495</v>
      </c>
      <c r="K10" s="211"/>
      <c r="L10" s="384"/>
      <c r="M10" s="269">
        <v>21.15</v>
      </c>
      <c r="N10" s="233"/>
      <c r="O10" s="233">
        <f t="shared" si="2"/>
        <v>34.682467949999996</v>
      </c>
      <c r="P10" s="211"/>
      <c r="Q10" s="384"/>
      <c r="R10" s="269">
        <v>3.93</v>
      </c>
      <c r="S10" s="233"/>
      <c r="T10" s="233">
        <f t="shared" si="3"/>
        <v>6.4445436900000006</v>
      </c>
      <c r="U10" s="211"/>
      <c r="V10" s="384"/>
      <c r="W10" s="269">
        <v>54.29</v>
      </c>
      <c r="X10" s="233"/>
      <c r="Y10" s="233">
        <f t="shared" si="4"/>
        <v>89.026533569999998</v>
      </c>
      <c r="Z10" s="211"/>
      <c r="AA10" s="384"/>
      <c r="AB10" s="396">
        <v>3.8</v>
      </c>
      <c r="AC10" s="233"/>
      <c r="AD10" s="233">
        <f t="shared" si="5"/>
        <v>6.2313653999999996</v>
      </c>
      <c r="AE10" s="211"/>
      <c r="AF10" s="384"/>
      <c r="AG10" s="394">
        <v>43.4</v>
      </c>
      <c r="AH10" s="233"/>
      <c r="AI10" s="233">
        <f t="shared" si="6"/>
        <v>71.1687522</v>
      </c>
      <c r="AJ10" s="211"/>
      <c r="AK10" s="384"/>
      <c r="AL10" s="395">
        <v>66.11</v>
      </c>
      <c r="AM10" s="233"/>
      <c r="AN10" s="233">
        <f t="shared" si="7"/>
        <v>108.40935963</v>
      </c>
      <c r="AO10" s="211"/>
      <c r="AP10" s="390"/>
      <c r="AQ10" s="138">
        <v>4.0999999999999996</v>
      </c>
      <c r="AR10" s="233"/>
      <c r="AS10" s="233">
        <f t="shared" si="8"/>
        <v>6.7233152999999994</v>
      </c>
      <c r="AT10" s="211"/>
      <c r="AU10" s="384"/>
      <c r="AV10" s="269">
        <v>120.6</v>
      </c>
      <c r="AW10" s="233"/>
      <c r="AX10" s="233">
        <f t="shared" si="9"/>
        <v>197.76385979999998</v>
      </c>
      <c r="AY10" s="211"/>
      <c r="AZ10" s="384"/>
      <c r="BA10" s="269">
        <v>0.09</v>
      </c>
      <c r="BB10" s="233"/>
      <c r="BC10" s="233">
        <f t="shared" si="10"/>
        <v>0.14758497000000001</v>
      </c>
      <c r="BD10" s="211"/>
      <c r="BE10" s="384"/>
      <c r="BF10" s="211"/>
      <c r="BG10" s="392">
        <v>1639833</v>
      </c>
    </row>
    <row r="11" spans="1:59" ht="12.75">
      <c r="A11" s="381" t="s">
        <v>176</v>
      </c>
      <c r="B11" s="382"/>
      <c r="C11" s="383">
        <v>29.79</v>
      </c>
      <c r="D11" s="233"/>
      <c r="E11" s="233">
        <f t="shared" si="0"/>
        <v>414.16953588000001</v>
      </c>
      <c r="F11" s="211"/>
      <c r="G11" s="384"/>
      <c r="H11" s="393">
        <v>2.4</v>
      </c>
      <c r="I11" s="233"/>
      <c r="J11" s="233">
        <f t="shared" si="1"/>
        <v>33.3671328</v>
      </c>
      <c r="K11" s="211"/>
      <c r="L11" s="384"/>
      <c r="M11" s="269">
        <v>10.81</v>
      </c>
      <c r="N11" s="233"/>
      <c r="O11" s="233">
        <f t="shared" si="2"/>
        <v>150.29112731999999</v>
      </c>
      <c r="P11" s="211"/>
      <c r="Q11" s="384"/>
      <c r="R11" s="269">
        <v>2.41</v>
      </c>
      <c r="S11" s="233"/>
      <c r="T11" s="233">
        <f t="shared" si="3"/>
        <v>33.506162520000004</v>
      </c>
      <c r="U11" s="211"/>
      <c r="V11" s="384"/>
      <c r="W11" s="269">
        <v>5.2</v>
      </c>
      <c r="X11" s="233"/>
      <c r="Y11" s="233">
        <f t="shared" si="4"/>
        <v>72.295454400000011</v>
      </c>
      <c r="Z11" s="211"/>
      <c r="AA11" s="384"/>
      <c r="AB11" s="396">
        <v>7.06</v>
      </c>
      <c r="AC11" s="233"/>
      <c r="AD11" s="233">
        <f t="shared" si="5"/>
        <v>98.154982319999988</v>
      </c>
      <c r="AE11" s="211"/>
      <c r="AF11" s="384"/>
      <c r="AG11" s="394">
        <v>15</v>
      </c>
      <c r="AH11" s="233"/>
      <c r="AI11" s="233">
        <f t="shared" si="6"/>
        <v>208.54458</v>
      </c>
      <c r="AJ11" s="211"/>
      <c r="AK11" s="384"/>
      <c r="AL11" s="395">
        <v>6.4</v>
      </c>
      <c r="AM11" s="233"/>
      <c r="AN11" s="233">
        <f t="shared" si="7"/>
        <v>88.979020800000015</v>
      </c>
      <c r="AO11" s="211"/>
      <c r="AP11" s="390"/>
      <c r="AQ11" s="138">
        <v>33.03</v>
      </c>
      <c r="AR11" s="233"/>
      <c r="AS11" s="233">
        <f t="shared" si="8"/>
        <v>459.21516516000003</v>
      </c>
      <c r="AT11" s="211"/>
      <c r="AU11" s="384"/>
      <c r="AV11" s="269">
        <v>161.46</v>
      </c>
      <c r="AW11" s="233"/>
      <c r="AX11" s="233">
        <f t="shared" si="9"/>
        <v>2244.77385912</v>
      </c>
      <c r="AY11" s="211"/>
      <c r="AZ11" s="384"/>
      <c r="BA11" s="269">
        <v>0.28999999999999998</v>
      </c>
      <c r="BB11" s="233"/>
      <c r="BC11" s="233">
        <f t="shared" si="10"/>
        <v>4.0318618800000001</v>
      </c>
      <c r="BD11" s="211"/>
      <c r="BE11" s="384"/>
      <c r="BF11" s="211"/>
      <c r="BG11" s="392">
        <v>13902972</v>
      </c>
    </row>
    <row r="12" spans="1:59" ht="12.75">
      <c r="A12" s="381" t="s">
        <v>177</v>
      </c>
      <c r="B12" s="397"/>
      <c r="C12" s="398"/>
      <c r="D12" s="233"/>
      <c r="E12" s="233">
        <f t="shared" si="0"/>
        <v>0</v>
      </c>
      <c r="F12" s="211"/>
      <c r="G12" s="384"/>
      <c r="H12" s="399"/>
      <c r="I12" s="233"/>
      <c r="J12" s="233">
        <f t="shared" si="1"/>
        <v>0</v>
      </c>
      <c r="K12" s="211"/>
      <c r="L12" s="384"/>
      <c r="M12" s="400"/>
      <c r="N12" s="233"/>
      <c r="O12" s="233">
        <f t="shared" si="2"/>
        <v>0</v>
      </c>
      <c r="P12" s="211"/>
      <c r="Q12" s="384"/>
      <c r="R12" s="211"/>
      <c r="S12" s="233"/>
      <c r="T12" s="233">
        <f t="shared" si="3"/>
        <v>0</v>
      </c>
      <c r="U12" s="211"/>
      <c r="V12" s="384"/>
      <c r="W12" s="269">
        <v>0</v>
      </c>
      <c r="X12" s="233"/>
      <c r="Y12" s="233">
        <f t="shared" si="4"/>
        <v>0</v>
      </c>
      <c r="Z12" s="211"/>
      <c r="AA12" s="384"/>
      <c r="AB12" s="396">
        <v>0</v>
      </c>
      <c r="AC12" s="233"/>
      <c r="AD12" s="233">
        <f t="shared" si="5"/>
        <v>0</v>
      </c>
      <c r="AE12" s="211"/>
      <c r="AF12" s="384"/>
      <c r="AG12" s="146"/>
      <c r="AH12" s="233"/>
      <c r="AI12" s="233">
        <f t="shared" si="6"/>
        <v>0</v>
      </c>
      <c r="AJ12" s="211"/>
      <c r="AK12" s="384"/>
      <c r="AL12" s="146"/>
      <c r="AM12" s="233"/>
      <c r="AN12" s="233">
        <f t="shared" si="7"/>
        <v>0</v>
      </c>
      <c r="AO12" s="211"/>
      <c r="AP12" s="390"/>
      <c r="AQ12" s="138">
        <v>0</v>
      </c>
      <c r="AR12" s="233"/>
      <c r="AS12" s="233">
        <f t="shared" si="8"/>
        <v>0</v>
      </c>
      <c r="AT12" s="211"/>
      <c r="AU12" s="384"/>
      <c r="AV12" s="269">
        <v>0</v>
      </c>
      <c r="AW12" s="233"/>
      <c r="AX12" s="233">
        <f t="shared" si="9"/>
        <v>0</v>
      </c>
      <c r="AY12" s="211"/>
      <c r="AZ12" s="384"/>
      <c r="BA12" s="269">
        <v>0</v>
      </c>
      <c r="BB12" s="233"/>
      <c r="BC12" s="233">
        <f t="shared" si="10"/>
        <v>0</v>
      </c>
      <c r="BD12" s="211"/>
      <c r="BE12" s="384"/>
      <c r="BF12" s="211"/>
      <c r="BG12" s="392">
        <v>8090068</v>
      </c>
    </row>
    <row r="13" spans="1:59" ht="12.75">
      <c r="A13" s="381" t="s">
        <v>178</v>
      </c>
      <c r="B13" s="382"/>
      <c r="C13" s="383">
        <v>15.27</v>
      </c>
      <c r="D13" s="233"/>
      <c r="E13" s="233">
        <f t="shared" si="0"/>
        <v>264.79251954</v>
      </c>
      <c r="F13" s="211"/>
      <c r="G13" s="384"/>
      <c r="H13" s="393">
        <v>0.35</v>
      </c>
      <c r="I13" s="233"/>
      <c r="J13" s="233">
        <f t="shared" si="1"/>
        <v>6.0692456999999989</v>
      </c>
      <c r="K13" s="211"/>
      <c r="L13" s="384"/>
      <c r="M13" s="269">
        <v>8.92</v>
      </c>
      <c r="N13" s="233"/>
      <c r="O13" s="233">
        <f t="shared" si="2"/>
        <v>154.67906184</v>
      </c>
      <c r="P13" s="211"/>
      <c r="Q13" s="384"/>
      <c r="R13" s="386">
        <v>3.19</v>
      </c>
      <c r="S13" s="233"/>
      <c r="T13" s="233">
        <f t="shared" si="3"/>
        <v>55.316839380000005</v>
      </c>
      <c r="U13" s="211"/>
      <c r="V13" s="384"/>
      <c r="W13" s="158">
        <v>156.27000000000001</v>
      </c>
      <c r="X13" s="233"/>
      <c r="Y13" s="233">
        <f t="shared" si="4"/>
        <v>2709.8315015399999</v>
      </c>
      <c r="Z13" s="211"/>
      <c r="AA13" s="384"/>
      <c r="AB13" s="396">
        <v>18.059999999999999</v>
      </c>
      <c r="AC13" s="233"/>
      <c r="AD13" s="233">
        <f t="shared" si="5"/>
        <v>313.17307812000001</v>
      </c>
      <c r="AE13" s="211"/>
      <c r="AF13" s="384"/>
      <c r="AG13" s="138">
        <v>121.15</v>
      </c>
      <c r="AH13" s="233"/>
      <c r="AI13" s="233">
        <f t="shared" si="6"/>
        <v>2100.8260473</v>
      </c>
      <c r="AJ13" s="211"/>
      <c r="AK13" s="384"/>
      <c r="AL13" s="395">
        <v>112.25</v>
      </c>
      <c r="AM13" s="233"/>
      <c r="AN13" s="233">
        <f t="shared" si="7"/>
        <v>1946.4937995</v>
      </c>
      <c r="AO13" s="211"/>
      <c r="AP13" s="390"/>
      <c r="AQ13" s="138">
        <v>33.4</v>
      </c>
      <c r="AR13" s="233"/>
      <c r="AS13" s="233">
        <f t="shared" si="8"/>
        <v>579.17944679999994</v>
      </c>
      <c r="AT13" s="211"/>
      <c r="AU13" s="384"/>
      <c r="AV13" s="269">
        <v>139.62</v>
      </c>
      <c r="AW13" s="233"/>
      <c r="AX13" s="233">
        <f t="shared" si="9"/>
        <v>2421.1088132400005</v>
      </c>
      <c r="AY13" s="211"/>
      <c r="AZ13" s="384"/>
      <c r="BA13" s="269">
        <v>2.0499999999999998</v>
      </c>
      <c r="BB13" s="233"/>
      <c r="BC13" s="233">
        <f t="shared" si="10"/>
        <v>35.548439099999996</v>
      </c>
      <c r="BD13" s="211"/>
      <c r="BE13" s="384"/>
      <c r="BF13" s="211"/>
      <c r="BG13" s="392">
        <v>17340702</v>
      </c>
    </row>
    <row r="14" spans="1:59" ht="12.75">
      <c r="A14" s="381" t="s">
        <v>179</v>
      </c>
      <c r="B14" s="382"/>
      <c r="C14" s="383">
        <v>115.64</v>
      </c>
      <c r="D14" s="233"/>
      <c r="E14" s="233">
        <f t="shared" si="0"/>
        <v>48.682011559999999</v>
      </c>
      <c r="F14" s="211"/>
      <c r="G14" s="384"/>
      <c r="H14" s="393">
        <v>4.82</v>
      </c>
      <c r="I14" s="233"/>
      <c r="J14" s="233">
        <f t="shared" si="1"/>
        <v>2.0291187800000001</v>
      </c>
      <c r="K14" s="211"/>
      <c r="L14" s="384"/>
      <c r="M14" s="400"/>
      <c r="N14" s="233"/>
      <c r="O14" s="233">
        <f t="shared" si="2"/>
        <v>0</v>
      </c>
      <c r="P14" s="211"/>
      <c r="Q14" s="384"/>
      <c r="R14" s="269">
        <v>17.5</v>
      </c>
      <c r="S14" s="233"/>
      <c r="T14" s="233">
        <f t="shared" si="3"/>
        <v>7.3671325000000003</v>
      </c>
      <c r="U14" s="211"/>
      <c r="V14" s="384"/>
      <c r="W14" s="211"/>
      <c r="X14" s="233"/>
      <c r="Y14" s="233">
        <f t="shared" si="4"/>
        <v>0</v>
      </c>
      <c r="Z14" s="211"/>
      <c r="AA14" s="384"/>
      <c r="AB14" s="396">
        <v>11.1</v>
      </c>
      <c r="AC14" s="233"/>
      <c r="AD14" s="233">
        <f t="shared" si="5"/>
        <v>4.6728668999999998</v>
      </c>
      <c r="AE14" s="211"/>
      <c r="AF14" s="384"/>
      <c r="AG14" s="394">
        <v>69.48</v>
      </c>
      <c r="AH14" s="233"/>
      <c r="AI14" s="233">
        <f t="shared" si="6"/>
        <v>29.249620920000002</v>
      </c>
      <c r="AJ14" s="211"/>
      <c r="AK14" s="384"/>
      <c r="AL14" s="395">
        <v>80.180000000000007</v>
      </c>
      <c r="AM14" s="233"/>
      <c r="AN14" s="233">
        <f t="shared" si="7"/>
        <v>33.754096220000008</v>
      </c>
      <c r="AO14" s="211"/>
      <c r="AP14" s="390"/>
      <c r="AQ14" s="138">
        <v>13.28</v>
      </c>
      <c r="AR14" s="233"/>
      <c r="AS14" s="233">
        <f t="shared" si="8"/>
        <v>5.5906011200000005</v>
      </c>
      <c r="AT14" s="211"/>
      <c r="AU14" s="384"/>
      <c r="AV14" s="269">
        <v>159.94999999999999</v>
      </c>
      <c r="AW14" s="233"/>
      <c r="AX14" s="233">
        <f t="shared" si="9"/>
        <v>67.335591049999991</v>
      </c>
      <c r="AY14" s="211"/>
      <c r="AZ14" s="384"/>
      <c r="BA14" s="269">
        <v>0.27</v>
      </c>
      <c r="BB14" s="233"/>
      <c r="BC14" s="233">
        <f t="shared" si="10"/>
        <v>0.11366433000000001</v>
      </c>
      <c r="BD14" s="211"/>
      <c r="BE14" s="384"/>
      <c r="BF14" s="211"/>
      <c r="BG14" s="392">
        <v>420979</v>
      </c>
    </row>
    <row r="15" spans="1:59" ht="12.75">
      <c r="A15" s="401" t="s">
        <v>180</v>
      </c>
      <c r="B15" s="382"/>
      <c r="C15" s="383">
        <v>13.53</v>
      </c>
      <c r="D15" s="233"/>
      <c r="E15" s="233">
        <f t="shared" si="0"/>
        <v>58.224406680000001</v>
      </c>
      <c r="F15" s="211"/>
      <c r="G15" s="384"/>
      <c r="H15" s="393">
        <v>0.49</v>
      </c>
      <c r="I15" s="233"/>
      <c r="J15" s="233">
        <f t="shared" si="1"/>
        <v>2.10864444</v>
      </c>
      <c r="K15" s="211"/>
      <c r="L15" s="384"/>
      <c r="M15" s="269">
        <v>33.159999999999997</v>
      </c>
      <c r="N15" s="233"/>
      <c r="O15" s="233">
        <f t="shared" si="2"/>
        <v>142.69928495999997</v>
      </c>
      <c r="P15" s="211"/>
      <c r="Q15" s="384"/>
      <c r="R15" s="269">
        <v>2.02</v>
      </c>
      <c r="S15" s="233"/>
      <c r="T15" s="233">
        <f t="shared" si="3"/>
        <v>8.6927791199999991</v>
      </c>
      <c r="U15" s="211"/>
      <c r="V15" s="384"/>
      <c r="W15" s="269">
        <v>265.27</v>
      </c>
      <c r="X15" s="233"/>
      <c r="Y15" s="233">
        <f t="shared" si="4"/>
        <v>1141.5512461199999</v>
      </c>
      <c r="Z15" s="211"/>
      <c r="AA15" s="384"/>
      <c r="AB15" s="396">
        <v>7.73</v>
      </c>
      <c r="AC15" s="233"/>
      <c r="AD15" s="233">
        <f t="shared" si="5"/>
        <v>33.264941880000002</v>
      </c>
      <c r="AE15" s="211"/>
      <c r="AF15" s="384"/>
      <c r="AG15" s="394">
        <v>18.47</v>
      </c>
      <c r="AH15" s="233"/>
      <c r="AI15" s="233">
        <f t="shared" si="6"/>
        <v>79.482985319999997</v>
      </c>
      <c r="AJ15" s="211"/>
      <c r="AK15" s="384"/>
      <c r="AL15" s="395">
        <v>48.24</v>
      </c>
      <c r="AM15" s="233"/>
      <c r="AN15" s="233">
        <f t="shared" si="7"/>
        <v>207.59389343999999</v>
      </c>
      <c r="AO15" s="211"/>
      <c r="AP15" s="390"/>
      <c r="AQ15" s="138">
        <v>8.9</v>
      </c>
      <c r="AR15" s="233"/>
      <c r="AS15" s="233">
        <f t="shared" si="8"/>
        <v>38.299868400000001</v>
      </c>
      <c r="AT15" s="211"/>
      <c r="AU15" s="384"/>
      <c r="AV15" s="269">
        <v>24.03</v>
      </c>
      <c r="AW15" s="233"/>
      <c r="AX15" s="233">
        <f t="shared" si="9"/>
        <v>103.40964468000001</v>
      </c>
      <c r="AY15" s="211"/>
      <c r="AZ15" s="384"/>
      <c r="BA15" s="269">
        <v>0.01</v>
      </c>
      <c r="BB15" s="233"/>
      <c r="BC15" s="233">
        <f t="shared" si="10"/>
        <v>4.3033559999999998E-2</v>
      </c>
      <c r="BD15" s="211"/>
      <c r="BE15" s="384"/>
      <c r="BF15" s="211"/>
      <c r="BG15" s="392">
        <v>4303356</v>
      </c>
    </row>
    <row r="16" spans="1:59" ht="12.75">
      <c r="A16" s="381" t="s">
        <v>181</v>
      </c>
      <c r="B16" s="382"/>
      <c r="C16" s="383">
        <v>20.63</v>
      </c>
      <c r="D16" s="233"/>
      <c r="E16" s="233">
        <f t="shared" si="0"/>
        <v>205.14886662999999</v>
      </c>
      <c r="F16" s="211"/>
      <c r="G16" s="384"/>
      <c r="H16" s="393">
        <v>0.34</v>
      </c>
      <c r="I16" s="233"/>
      <c r="J16" s="233">
        <f t="shared" si="1"/>
        <v>3.3810283400000003</v>
      </c>
      <c r="K16" s="211"/>
      <c r="L16" s="384"/>
      <c r="M16" s="269">
        <v>10.88</v>
      </c>
      <c r="N16" s="233"/>
      <c r="O16" s="233">
        <f t="shared" si="2"/>
        <v>108.19290688000001</v>
      </c>
      <c r="P16" s="211"/>
      <c r="Q16" s="384"/>
      <c r="R16" s="269">
        <v>0.45</v>
      </c>
      <c r="S16" s="233"/>
      <c r="T16" s="233">
        <f t="shared" si="3"/>
        <v>4.4748904500000002</v>
      </c>
      <c r="U16" s="211"/>
      <c r="V16" s="384"/>
      <c r="W16" s="269">
        <v>57.5</v>
      </c>
      <c r="X16" s="233"/>
      <c r="Y16" s="233">
        <f t="shared" si="4"/>
        <v>571.79155749999995</v>
      </c>
      <c r="Z16" s="211"/>
      <c r="AA16" s="384"/>
      <c r="AB16" s="396">
        <v>7.18</v>
      </c>
      <c r="AC16" s="233"/>
      <c r="AD16" s="233">
        <f t="shared" si="5"/>
        <v>71.399363179999995</v>
      </c>
      <c r="AE16" s="211"/>
      <c r="AF16" s="384"/>
      <c r="AG16" s="394">
        <v>6.28</v>
      </c>
      <c r="AH16" s="233"/>
      <c r="AI16" s="233">
        <f t="shared" si="6"/>
        <v>62.449582280000001</v>
      </c>
      <c r="AJ16" s="211"/>
      <c r="AK16" s="384"/>
      <c r="AL16" s="395">
        <v>8.51</v>
      </c>
      <c r="AM16" s="233"/>
      <c r="AN16" s="233">
        <f t="shared" si="7"/>
        <v>84.625150509999997</v>
      </c>
      <c r="AO16" s="211"/>
      <c r="AP16" s="390"/>
      <c r="AQ16" s="138">
        <v>17.399999999999999</v>
      </c>
      <c r="AR16" s="233"/>
      <c r="AS16" s="233">
        <f t="shared" si="8"/>
        <v>173.02909739999998</v>
      </c>
      <c r="AT16" s="211"/>
      <c r="AU16" s="384"/>
      <c r="AV16" s="269">
        <v>125.21</v>
      </c>
      <c r="AW16" s="233"/>
      <c r="AX16" s="233">
        <f t="shared" si="9"/>
        <v>1245.1134072100001</v>
      </c>
      <c r="AY16" s="211"/>
      <c r="AZ16" s="384"/>
      <c r="BA16" s="269">
        <v>0</v>
      </c>
      <c r="BB16" s="233"/>
      <c r="BC16" s="233">
        <f t="shared" si="10"/>
        <v>0</v>
      </c>
      <c r="BD16" s="211"/>
      <c r="BE16" s="384"/>
      <c r="BF16" s="211"/>
      <c r="BG16" s="392">
        <v>9944201</v>
      </c>
    </row>
    <row r="17" spans="1:59" ht="12.75">
      <c r="A17" s="381" t="s">
        <v>182</v>
      </c>
      <c r="B17" s="382"/>
      <c r="C17" s="383">
        <v>10.69</v>
      </c>
      <c r="D17" s="233"/>
      <c r="E17" s="233">
        <f t="shared" si="0"/>
        <v>39.577736659999999</v>
      </c>
      <c r="F17" s="211"/>
      <c r="G17" s="384"/>
      <c r="H17" s="393">
        <v>0.56000000000000005</v>
      </c>
      <c r="I17" s="233"/>
      <c r="J17" s="233">
        <f t="shared" si="1"/>
        <v>2.0732958400000001</v>
      </c>
      <c r="K17" s="211"/>
      <c r="L17" s="384"/>
      <c r="M17" s="269">
        <v>13.92</v>
      </c>
      <c r="N17" s="233"/>
      <c r="O17" s="233">
        <f t="shared" si="2"/>
        <v>51.536210880000006</v>
      </c>
      <c r="P17" s="211"/>
      <c r="Q17" s="384"/>
      <c r="R17" s="386">
        <v>24.54</v>
      </c>
      <c r="S17" s="233"/>
      <c r="T17" s="233">
        <f t="shared" si="3"/>
        <v>90.854785559999996</v>
      </c>
      <c r="U17" s="211"/>
      <c r="V17" s="384"/>
      <c r="W17" s="269">
        <v>270.35000000000002</v>
      </c>
      <c r="X17" s="233"/>
      <c r="Y17" s="233">
        <f t="shared" si="4"/>
        <v>1000.9205899000001</v>
      </c>
      <c r="Z17" s="211"/>
      <c r="AA17" s="384"/>
      <c r="AB17" s="396">
        <v>29.34</v>
      </c>
      <c r="AC17" s="233"/>
      <c r="AD17" s="233">
        <f t="shared" si="5"/>
        <v>108.62589276</v>
      </c>
      <c r="AE17" s="211"/>
      <c r="AF17" s="384"/>
      <c r="AG17" s="394">
        <v>31.27</v>
      </c>
      <c r="AH17" s="233"/>
      <c r="AI17" s="233">
        <f t="shared" si="6"/>
        <v>115.77135878</v>
      </c>
      <c r="AJ17" s="211"/>
      <c r="AK17" s="384"/>
      <c r="AL17" s="395">
        <v>65.209999999999994</v>
      </c>
      <c r="AM17" s="233"/>
      <c r="AN17" s="233">
        <f t="shared" si="7"/>
        <v>241.42789593999996</v>
      </c>
      <c r="AO17" s="211"/>
      <c r="AP17" s="390"/>
      <c r="AQ17" s="138">
        <v>5.67</v>
      </c>
      <c r="AR17" s="233"/>
      <c r="AS17" s="233">
        <f t="shared" si="8"/>
        <v>20.992120379999999</v>
      </c>
      <c r="AT17" s="211"/>
      <c r="AU17" s="384"/>
      <c r="AV17" s="269">
        <v>85.83</v>
      </c>
      <c r="AW17" s="233"/>
      <c r="AX17" s="233">
        <f t="shared" si="9"/>
        <v>317.76961061999998</v>
      </c>
      <c r="AY17" s="211"/>
      <c r="AZ17" s="384"/>
      <c r="BA17" s="222">
        <v>0.01</v>
      </c>
      <c r="BB17" s="233"/>
      <c r="BC17" s="233">
        <f t="shared" si="10"/>
        <v>3.7023139999999996E-2</v>
      </c>
      <c r="BD17" s="211"/>
      <c r="BE17" s="384"/>
      <c r="BF17" s="211"/>
      <c r="BG17" s="392">
        <v>3702314</v>
      </c>
    </row>
    <row r="18" spans="1:59" ht="12.75">
      <c r="A18" s="381" t="s">
        <v>183</v>
      </c>
      <c r="B18" s="382"/>
      <c r="C18" s="383">
        <v>6.36</v>
      </c>
      <c r="D18" s="233"/>
      <c r="E18" s="233">
        <f t="shared" si="0"/>
        <v>112.28480148</v>
      </c>
      <c r="F18" s="211"/>
      <c r="G18" s="384"/>
      <c r="H18" s="393">
        <v>2.0499999999999998</v>
      </c>
      <c r="I18" s="233"/>
      <c r="J18" s="233">
        <f t="shared" si="1"/>
        <v>36.192428149999998</v>
      </c>
      <c r="K18" s="211"/>
      <c r="L18" s="384"/>
      <c r="M18" s="269">
        <v>8.5</v>
      </c>
      <c r="N18" s="233"/>
      <c r="O18" s="233">
        <f t="shared" si="2"/>
        <v>150.06616550000001</v>
      </c>
      <c r="P18" s="211"/>
      <c r="Q18" s="384"/>
      <c r="R18" s="386">
        <v>1.8</v>
      </c>
      <c r="S18" s="233"/>
      <c r="T18" s="233">
        <f t="shared" si="3"/>
        <v>31.778717400000001</v>
      </c>
      <c r="U18" s="211"/>
      <c r="V18" s="384"/>
      <c r="W18" s="269">
        <v>297.07</v>
      </c>
      <c r="X18" s="233"/>
      <c r="Y18" s="233">
        <f t="shared" si="4"/>
        <v>5244.7242100100002</v>
      </c>
      <c r="Z18" s="211"/>
      <c r="AA18" s="384"/>
      <c r="AB18" s="396">
        <v>17.97</v>
      </c>
      <c r="AC18" s="233"/>
      <c r="AD18" s="233">
        <f t="shared" si="5"/>
        <v>317.25752870999997</v>
      </c>
      <c r="AE18" s="211"/>
      <c r="AF18" s="384"/>
      <c r="AG18" s="394">
        <v>36.29</v>
      </c>
      <c r="AH18" s="233"/>
      <c r="AI18" s="233">
        <f t="shared" si="6"/>
        <v>640.69425247000004</v>
      </c>
      <c r="AJ18" s="211"/>
      <c r="AK18" s="384"/>
      <c r="AL18" s="395">
        <v>77</v>
      </c>
      <c r="AM18" s="233"/>
      <c r="AN18" s="233">
        <f t="shared" si="7"/>
        <v>1359.4229110000001</v>
      </c>
      <c r="AO18" s="211"/>
      <c r="AP18" s="390"/>
      <c r="AQ18" s="138">
        <v>5.64</v>
      </c>
      <c r="AR18" s="233"/>
      <c r="AS18" s="233">
        <f t="shared" si="8"/>
        <v>99.573314519999997</v>
      </c>
      <c r="AT18" s="211"/>
      <c r="AU18" s="384"/>
      <c r="AV18" s="269">
        <v>149.19</v>
      </c>
      <c r="AW18" s="233"/>
      <c r="AX18" s="233">
        <f t="shared" si="9"/>
        <v>2633.92602717</v>
      </c>
      <c r="AY18" s="211"/>
      <c r="AZ18" s="384"/>
      <c r="BA18" s="269">
        <v>2.78</v>
      </c>
      <c r="BB18" s="233"/>
      <c r="BC18" s="233">
        <f t="shared" si="10"/>
        <v>49.080463539999997</v>
      </c>
      <c r="BD18" s="211"/>
      <c r="BE18" s="384"/>
      <c r="BF18" s="211"/>
      <c r="BG18" s="392">
        <v>17654843</v>
      </c>
    </row>
    <row r="19" spans="1:59" ht="12.75">
      <c r="A19" s="381" t="s">
        <v>184</v>
      </c>
      <c r="B19" s="382"/>
      <c r="C19" s="383">
        <v>59.81</v>
      </c>
      <c r="D19" s="233"/>
      <c r="E19" s="233">
        <f t="shared" si="0"/>
        <v>29.0993593</v>
      </c>
      <c r="F19" s="211"/>
      <c r="G19" s="384"/>
      <c r="H19" s="385">
        <v>1.1000000000000001</v>
      </c>
      <c r="I19" s="233"/>
      <c r="J19" s="233">
        <f t="shared" si="1"/>
        <v>0.53518299999999996</v>
      </c>
      <c r="K19" s="211"/>
      <c r="L19" s="384"/>
      <c r="M19" s="269">
        <v>12.65</v>
      </c>
      <c r="N19" s="233"/>
      <c r="O19" s="233">
        <f t="shared" si="2"/>
        <v>6.1546044999999996</v>
      </c>
      <c r="P19" s="211"/>
      <c r="Q19" s="384"/>
      <c r="R19" s="269">
        <v>3.24</v>
      </c>
      <c r="S19" s="233"/>
      <c r="T19" s="233">
        <f t="shared" si="3"/>
        <v>1.5763572000000001</v>
      </c>
      <c r="U19" s="211"/>
      <c r="V19" s="384"/>
      <c r="W19" s="269">
        <v>16.05</v>
      </c>
      <c r="X19" s="233"/>
      <c r="Y19" s="233">
        <f t="shared" si="4"/>
        <v>7.8088065000000002</v>
      </c>
      <c r="Z19" s="211"/>
      <c r="AA19" s="384"/>
      <c r="AB19" s="396">
        <v>3.69</v>
      </c>
      <c r="AC19" s="233"/>
      <c r="AD19" s="233">
        <f t="shared" si="5"/>
        <v>1.7952957</v>
      </c>
      <c r="AE19" s="211"/>
      <c r="AF19" s="384"/>
      <c r="AG19" s="388">
        <v>84.26</v>
      </c>
      <c r="AH19" s="233"/>
      <c r="AI19" s="233">
        <f t="shared" si="6"/>
        <v>40.995017800000007</v>
      </c>
      <c r="AJ19" s="211"/>
      <c r="AK19" s="384"/>
      <c r="AL19" s="138">
        <v>44.61</v>
      </c>
      <c r="AM19" s="233"/>
      <c r="AN19" s="233">
        <f t="shared" si="7"/>
        <v>21.7041033</v>
      </c>
      <c r="AO19" s="211"/>
      <c r="AP19" s="390"/>
      <c r="AQ19" s="138">
        <v>13.18</v>
      </c>
      <c r="AR19" s="233"/>
      <c r="AS19" s="233">
        <f t="shared" si="8"/>
        <v>6.4124653999999994</v>
      </c>
      <c r="AT19" s="211"/>
      <c r="AU19" s="384"/>
      <c r="AV19" s="269">
        <v>173.68</v>
      </c>
      <c r="AW19" s="233"/>
      <c r="AX19" s="233">
        <f t="shared" si="9"/>
        <v>84.500530400000002</v>
      </c>
      <c r="AY19" s="211"/>
      <c r="AZ19" s="384"/>
      <c r="BA19" s="269">
        <v>0.01</v>
      </c>
      <c r="BB19" s="233"/>
      <c r="BC19" s="233">
        <f t="shared" si="10"/>
        <v>4.8653000000000004E-3</v>
      </c>
      <c r="BD19" s="211"/>
      <c r="BE19" s="384"/>
      <c r="BF19" s="211"/>
      <c r="BG19" s="392">
        <v>486530</v>
      </c>
    </row>
    <row r="20" spans="1:59" ht="12.75">
      <c r="A20" s="401" t="s">
        <v>185</v>
      </c>
      <c r="B20" s="397"/>
      <c r="C20" s="398"/>
      <c r="D20" s="233"/>
      <c r="E20" s="233">
        <f t="shared" si="0"/>
        <v>0</v>
      </c>
      <c r="F20" s="211"/>
      <c r="G20" s="384"/>
      <c r="H20" s="399"/>
      <c r="I20" s="233"/>
      <c r="J20" s="233">
        <f t="shared" si="1"/>
        <v>0</v>
      </c>
      <c r="K20" s="211"/>
      <c r="L20" s="384"/>
      <c r="M20" s="400"/>
      <c r="N20" s="233"/>
      <c r="O20" s="233">
        <f t="shared" si="2"/>
        <v>0</v>
      </c>
      <c r="P20" s="211"/>
      <c r="Q20" s="384"/>
      <c r="R20" s="211"/>
      <c r="S20" s="233"/>
      <c r="T20" s="233">
        <f t="shared" si="3"/>
        <v>0</v>
      </c>
      <c r="U20" s="211"/>
      <c r="V20" s="384"/>
      <c r="W20" s="211"/>
      <c r="X20" s="233"/>
      <c r="Y20" s="233">
        <f t="shared" si="4"/>
        <v>0</v>
      </c>
      <c r="Z20" s="211"/>
      <c r="AA20" s="384"/>
      <c r="AB20" s="396">
        <v>0</v>
      </c>
      <c r="AC20" s="233"/>
      <c r="AD20" s="233">
        <f t="shared" si="5"/>
        <v>0</v>
      </c>
      <c r="AE20" s="211"/>
      <c r="AF20" s="384"/>
      <c r="AG20" s="146"/>
      <c r="AH20" s="233"/>
      <c r="AI20" s="233">
        <f t="shared" si="6"/>
        <v>0</v>
      </c>
      <c r="AJ20" s="211"/>
      <c r="AK20" s="384"/>
      <c r="AL20" s="146"/>
      <c r="AM20" s="233"/>
      <c r="AN20" s="233">
        <f t="shared" si="7"/>
        <v>0</v>
      </c>
      <c r="AO20" s="211"/>
      <c r="AP20" s="390"/>
      <c r="AQ20" s="138">
        <v>0</v>
      </c>
      <c r="AR20" s="233"/>
      <c r="AS20" s="233">
        <f t="shared" si="8"/>
        <v>0</v>
      </c>
      <c r="AT20" s="211"/>
      <c r="AU20" s="384"/>
      <c r="AV20" s="269">
        <v>0</v>
      </c>
      <c r="AW20" s="233"/>
      <c r="AX20" s="233">
        <f t="shared" si="9"/>
        <v>0</v>
      </c>
      <c r="AY20" s="211"/>
      <c r="AZ20" s="384"/>
      <c r="BA20" s="269">
        <v>0</v>
      </c>
      <c r="BB20" s="233"/>
      <c r="BC20" s="233">
        <f t="shared" si="10"/>
        <v>0</v>
      </c>
      <c r="BD20" s="211"/>
      <c r="BE20" s="384"/>
      <c r="BF20" s="211"/>
      <c r="BG20" s="392">
        <v>540109</v>
      </c>
    </row>
    <row r="21" spans="1:59" ht="12.75">
      <c r="A21" s="381" t="s">
        <v>186</v>
      </c>
      <c r="B21" s="397"/>
      <c r="C21" s="398"/>
      <c r="D21" s="233"/>
      <c r="E21" s="233">
        <f t="shared" si="0"/>
        <v>0</v>
      </c>
      <c r="F21" s="211"/>
      <c r="G21" s="384"/>
      <c r="H21" s="399"/>
      <c r="I21" s="233"/>
      <c r="J21" s="233">
        <f t="shared" si="1"/>
        <v>0</v>
      </c>
      <c r="K21" s="211"/>
      <c r="L21" s="384"/>
      <c r="M21" s="400"/>
      <c r="N21" s="233"/>
      <c r="O21" s="233">
        <f t="shared" si="2"/>
        <v>0</v>
      </c>
      <c r="P21" s="211"/>
      <c r="Q21" s="384"/>
      <c r="R21" s="211"/>
      <c r="S21" s="233"/>
      <c r="T21" s="233">
        <f t="shared" si="3"/>
        <v>0</v>
      </c>
      <c r="U21" s="211"/>
      <c r="V21" s="384"/>
      <c r="W21" s="211"/>
      <c r="X21" s="233"/>
      <c r="Y21" s="233">
        <f t="shared" si="4"/>
        <v>0</v>
      </c>
      <c r="Z21" s="211"/>
      <c r="AA21" s="384"/>
      <c r="AB21" s="396">
        <v>0</v>
      </c>
      <c r="AC21" s="233"/>
      <c r="AD21" s="233">
        <f t="shared" si="5"/>
        <v>0</v>
      </c>
      <c r="AE21" s="211"/>
      <c r="AF21" s="384"/>
      <c r="AG21" s="146"/>
      <c r="AH21" s="233"/>
      <c r="AI21" s="233">
        <f t="shared" si="6"/>
        <v>0</v>
      </c>
      <c r="AJ21" s="211"/>
      <c r="AK21" s="384"/>
      <c r="AL21" s="146"/>
      <c r="AM21" s="233"/>
      <c r="AN21" s="233">
        <f t="shared" si="7"/>
        <v>0</v>
      </c>
      <c r="AO21" s="211"/>
      <c r="AP21" s="390"/>
      <c r="AQ21" s="138">
        <v>0</v>
      </c>
      <c r="AR21" s="233"/>
      <c r="AS21" s="233">
        <f t="shared" si="8"/>
        <v>0</v>
      </c>
      <c r="AT21" s="211"/>
      <c r="AU21" s="384"/>
      <c r="AV21" s="269">
        <v>0</v>
      </c>
      <c r="AW21" s="233"/>
      <c r="AX21" s="233">
        <f t="shared" si="9"/>
        <v>0</v>
      </c>
      <c r="AY21" s="211"/>
      <c r="AZ21" s="384"/>
      <c r="BA21" s="269">
        <v>0</v>
      </c>
      <c r="BB21" s="233"/>
      <c r="BC21" s="233">
        <f t="shared" si="10"/>
        <v>0</v>
      </c>
      <c r="BD21" s="211"/>
      <c r="BE21" s="384"/>
      <c r="BF21" s="211"/>
      <c r="BG21" s="392">
        <v>4786994</v>
      </c>
    </row>
    <row r="22" spans="1:59" ht="12.75">
      <c r="A22" s="381" t="s">
        <v>187</v>
      </c>
      <c r="B22" s="402"/>
      <c r="C22" s="403">
        <v>44.14</v>
      </c>
      <c r="D22" s="233"/>
      <c r="E22" s="233">
        <f t="shared" si="0"/>
        <v>3300.70008134</v>
      </c>
      <c r="F22" s="211"/>
      <c r="G22" s="384"/>
      <c r="H22" s="393">
        <v>0.43</v>
      </c>
      <c r="I22" s="233"/>
      <c r="J22" s="233">
        <f t="shared" si="1"/>
        <v>32.154531829999996</v>
      </c>
      <c r="K22" s="211"/>
      <c r="L22" s="384"/>
      <c r="M22" s="269">
        <v>6.39</v>
      </c>
      <c r="N22" s="233"/>
      <c r="O22" s="233">
        <f t="shared" si="2"/>
        <v>477.83129858999996</v>
      </c>
      <c r="P22" s="211"/>
      <c r="Q22" s="384"/>
      <c r="R22" s="386">
        <v>0.69</v>
      </c>
      <c r="S22" s="233"/>
      <c r="T22" s="233">
        <f t="shared" si="3"/>
        <v>51.596806889999996</v>
      </c>
      <c r="U22" s="211"/>
      <c r="V22" s="384"/>
      <c r="W22" s="269">
        <v>73.349999999999994</v>
      </c>
      <c r="X22" s="233"/>
      <c r="Y22" s="233">
        <f t="shared" si="4"/>
        <v>5484.9649063499992</v>
      </c>
      <c r="Z22" s="211"/>
      <c r="AA22" s="384"/>
      <c r="AB22" s="396">
        <v>0.44</v>
      </c>
      <c r="AC22" s="233"/>
      <c r="AD22" s="233">
        <f t="shared" si="5"/>
        <v>32.902311640000001</v>
      </c>
      <c r="AE22" s="211"/>
      <c r="AF22" s="384"/>
      <c r="AG22" s="138">
        <v>13.35</v>
      </c>
      <c r="AH22" s="233"/>
      <c r="AI22" s="233">
        <f t="shared" si="6"/>
        <v>998.28604634999999</v>
      </c>
      <c r="AJ22" s="211"/>
      <c r="AK22" s="384"/>
      <c r="AL22" s="404">
        <v>7.13</v>
      </c>
      <c r="AM22" s="233"/>
      <c r="AN22" s="233">
        <f t="shared" si="7"/>
        <v>533.16700452999999</v>
      </c>
      <c r="AO22" s="211"/>
      <c r="AP22" s="390"/>
      <c r="AQ22" s="138">
        <v>20</v>
      </c>
      <c r="AR22" s="233"/>
      <c r="AS22" s="233">
        <f t="shared" si="8"/>
        <v>1495.55962</v>
      </c>
      <c r="AT22" s="211"/>
      <c r="AU22" s="384"/>
      <c r="AV22" s="269">
        <v>163.33000000000001</v>
      </c>
      <c r="AW22" s="233"/>
      <c r="AX22" s="233">
        <f t="shared" si="9"/>
        <v>12213.487636730002</v>
      </c>
      <c r="AY22" s="211"/>
      <c r="AZ22" s="384"/>
      <c r="BA22" s="269">
        <v>0.47</v>
      </c>
      <c r="BB22" s="233"/>
      <c r="BC22" s="233">
        <f t="shared" si="10"/>
        <v>35.14565107</v>
      </c>
      <c r="BD22" s="211"/>
      <c r="BE22" s="384"/>
      <c r="BF22" s="211"/>
      <c r="BG22" s="392">
        <v>74777981</v>
      </c>
    </row>
    <row r="23" spans="1:59" ht="12.75">
      <c r="A23" s="381" t="s">
        <v>188</v>
      </c>
      <c r="B23" s="382"/>
      <c r="C23" s="383">
        <v>30.16</v>
      </c>
      <c r="D23" s="233"/>
      <c r="E23" s="233">
        <f t="shared" si="0"/>
        <v>42.975164960000001</v>
      </c>
      <c r="F23" s="211"/>
      <c r="G23" s="384"/>
      <c r="H23" s="385">
        <v>0.96</v>
      </c>
      <c r="I23" s="233"/>
      <c r="J23" s="233">
        <f t="shared" si="1"/>
        <v>1.3679097600000001</v>
      </c>
      <c r="K23" s="211"/>
      <c r="L23" s="384"/>
      <c r="M23" s="269">
        <v>27.41</v>
      </c>
      <c r="N23" s="233"/>
      <c r="O23" s="233">
        <f t="shared" si="2"/>
        <v>39.056673459999999</v>
      </c>
      <c r="P23" s="211"/>
      <c r="Q23" s="384"/>
      <c r="R23" s="386">
        <v>29.64</v>
      </c>
      <c r="S23" s="233"/>
      <c r="T23" s="233">
        <f t="shared" si="3"/>
        <v>42.234213840000002</v>
      </c>
      <c r="U23" s="211"/>
      <c r="V23" s="384"/>
      <c r="W23" s="269">
        <v>160.30000000000001</v>
      </c>
      <c r="X23" s="233"/>
      <c r="Y23" s="233">
        <f t="shared" si="4"/>
        <v>228.41243180000001</v>
      </c>
      <c r="Z23" s="211"/>
      <c r="AA23" s="384"/>
      <c r="AB23" s="396">
        <v>30.94</v>
      </c>
      <c r="AC23" s="233"/>
      <c r="AD23" s="233">
        <f t="shared" si="5"/>
        <v>44.086591640000002</v>
      </c>
      <c r="AE23" s="211"/>
      <c r="AF23" s="384"/>
      <c r="AG23" s="388">
        <v>32.86</v>
      </c>
      <c r="AH23" s="233"/>
      <c r="AI23" s="233">
        <f t="shared" si="6"/>
        <v>46.822411159999994</v>
      </c>
      <c r="AJ23" s="211"/>
      <c r="AK23" s="384"/>
      <c r="AL23" s="388">
        <v>152.32</v>
      </c>
      <c r="AM23" s="233"/>
      <c r="AN23" s="233">
        <f t="shared" si="7"/>
        <v>217.04168191999997</v>
      </c>
      <c r="AO23" s="211"/>
      <c r="AP23" s="390"/>
      <c r="AQ23" s="138">
        <v>13.6</v>
      </c>
      <c r="AR23" s="233"/>
      <c r="AS23" s="233">
        <f t="shared" si="8"/>
        <v>19.378721599999999</v>
      </c>
      <c r="AT23" s="211"/>
      <c r="AU23" s="384"/>
      <c r="AV23" s="269">
        <v>127</v>
      </c>
      <c r="AW23" s="233"/>
      <c r="AX23" s="233">
        <f t="shared" si="9"/>
        <v>180.96306200000001</v>
      </c>
      <c r="AY23" s="211"/>
      <c r="AZ23" s="384"/>
      <c r="BA23" s="269">
        <v>0.04</v>
      </c>
      <c r="BB23" s="233"/>
      <c r="BC23" s="233">
        <f t="shared" si="10"/>
        <v>5.6996239999999997E-2</v>
      </c>
      <c r="BD23" s="211"/>
      <c r="BE23" s="384"/>
      <c r="BF23" s="211"/>
      <c r="BG23" s="392">
        <v>1424906</v>
      </c>
    </row>
    <row r="24" spans="1:59" ht="12.75">
      <c r="A24" s="381" t="s">
        <v>189</v>
      </c>
      <c r="B24" s="382"/>
      <c r="C24" s="383">
        <v>45.71</v>
      </c>
      <c r="D24" s="233"/>
      <c r="E24" s="233">
        <f t="shared" si="0"/>
        <v>75.035890440000003</v>
      </c>
      <c r="F24" s="211"/>
      <c r="G24" s="384"/>
      <c r="H24" s="393">
        <v>1.41</v>
      </c>
      <c r="I24" s="233"/>
      <c r="J24" s="233">
        <f t="shared" si="1"/>
        <v>2.3146052399999997</v>
      </c>
      <c r="K24" s="211"/>
      <c r="L24" s="384"/>
      <c r="M24" s="269">
        <v>4.68</v>
      </c>
      <c r="N24" s="233"/>
      <c r="O24" s="233">
        <f t="shared" si="2"/>
        <v>7.6825195199999996</v>
      </c>
      <c r="P24" s="211"/>
      <c r="Q24" s="384"/>
      <c r="R24" s="269">
        <v>3.79</v>
      </c>
      <c r="S24" s="233"/>
      <c r="T24" s="233">
        <f t="shared" si="3"/>
        <v>6.2215275600000002</v>
      </c>
      <c r="U24" s="211"/>
      <c r="V24" s="384"/>
      <c r="W24" s="269">
        <v>6.53</v>
      </c>
      <c r="X24" s="233"/>
      <c r="Y24" s="233">
        <f t="shared" si="4"/>
        <v>10.71941292</v>
      </c>
      <c r="Z24" s="211"/>
      <c r="AA24" s="384"/>
      <c r="AB24" s="396">
        <v>27.53</v>
      </c>
      <c r="AC24" s="233"/>
      <c r="AD24" s="233">
        <f t="shared" si="5"/>
        <v>45.192256919999998</v>
      </c>
      <c r="AE24" s="211"/>
      <c r="AF24" s="384"/>
      <c r="AG24" s="394">
        <v>17.260000000000002</v>
      </c>
      <c r="AH24" s="233"/>
      <c r="AI24" s="233">
        <f t="shared" si="6"/>
        <v>28.333394640000005</v>
      </c>
      <c r="AJ24" s="211"/>
      <c r="AK24" s="384"/>
      <c r="AL24" s="394">
        <v>8.6300000000000008</v>
      </c>
      <c r="AM24" s="233"/>
      <c r="AN24" s="233">
        <f t="shared" si="7"/>
        <v>14.166697320000003</v>
      </c>
      <c r="AO24" s="211"/>
      <c r="AP24" s="390"/>
      <c r="AQ24" s="138">
        <v>17.93</v>
      </c>
      <c r="AR24" s="233"/>
      <c r="AS24" s="233">
        <f t="shared" si="8"/>
        <v>29.43324252</v>
      </c>
      <c r="AT24" s="211"/>
      <c r="AU24" s="384"/>
      <c r="AV24" s="269">
        <v>139.4</v>
      </c>
      <c r="AW24" s="233"/>
      <c r="AX24" s="233">
        <f t="shared" si="9"/>
        <v>228.83402160000003</v>
      </c>
      <c r="AY24" s="211"/>
      <c r="AZ24" s="384"/>
      <c r="BA24" s="269">
        <v>0.76</v>
      </c>
      <c r="BB24" s="233"/>
      <c r="BC24" s="233">
        <f t="shared" si="10"/>
        <v>1.24758864</v>
      </c>
      <c r="BD24" s="211"/>
      <c r="BE24" s="384"/>
      <c r="BF24" s="211"/>
      <c r="BG24" s="392">
        <v>1641564</v>
      </c>
    </row>
    <row r="25" spans="1:59" ht="12.75">
      <c r="A25" s="381" t="s">
        <v>190</v>
      </c>
      <c r="B25" s="382"/>
      <c r="C25" s="383">
        <v>9.08</v>
      </c>
      <c r="D25" s="233"/>
      <c r="E25" s="233">
        <f t="shared" si="0"/>
        <v>203.47891375999998</v>
      </c>
      <c r="F25" s="211"/>
      <c r="G25" s="384"/>
      <c r="H25" s="385">
        <v>1.2</v>
      </c>
      <c r="I25" s="233"/>
      <c r="J25" s="233">
        <f t="shared" si="1"/>
        <v>26.891486399999998</v>
      </c>
      <c r="K25" s="211"/>
      <c r="L25" s="384"/>
      <c r="M25" s="269">
        <v>6.2</v>
      </c>
      <c r="N25" s="233"/>
      <c r="O25" s="233">
        <f t="shared" si="2"/>
        <v>138.93934640000001</v>
      </c>
      <c r="P25" s="211"/>
      <c r="Q25" s="384"/>
      <c r="R25" s="269">
        <v>9.06</v>
      </c>
      <c r="S25" s="233"/>
      <c r="T25" s="233">
        <f t="shared" si="3"/>
        <v>203.03072232000002</v>
      </c>
      <c r="U25" s="211"/>
      <c r="V25" s="384"/>
      <c r="W25" s="269">
        <v>443.56</v>
      </c>
      <c r="X25" s="233"/>
      <c r="Y25" s="233">
        <f t="shared" si="4"/>
        <v>9939.9897563199993</v>
      </c>
      <c r="Z25" s="211"/>
      <c r="AA25" s="384"/>
      <c r="AB25" s="396">
        <v>25.51</v>
      </c>
      <c r="AC25" s="233"/>
      <c r="AD25" s="233">
        <f t="shared" si="5"/>
        <v>571.66818172000001</v>
      </c>
      <c r="AE25" s="211"/>
      <c r="AF25" s="384"/>
      <c r="AG25" s="388">
        <v>28.67</v>
      </c>
      <c r="AH25" s="233"/>
      <c r="AI25" s="233">
        <f t="shared" si="6"/>
        <v>642.48242923999999</v>
      </c>
      <c r="AJ25" s="211"/>
      <c r="AK25" s="384"/>
      <c r="AL25" s="388">
        <v>196.19</v>
      </c>
      <c r="AM25" s="233"/>
      <c r="AN25" s="233">
        <f t="shared" si="7"/>
        <v>4396.5339306800006</v>
      </c>
      <c r="AO25" s="211"/>
      <c r="AP25" s="390"/>
      <c r="AQ25" s="138">
        <v>8.14</v>
      </c>
      <c r="AR25" s="233"/>
      <c r="AS25" s="233">
        <f t="shared" si="8"/>
        <v>182.41391608000001</v>
      </c>
      <c r="AT25" s="211"/>
      <c r="AU25" s="384"/>
      <c r="AV25" s="269">
        <v>87.66</v>
      </c>
      <c r="AW25" s="233"/>
      <c r="AX25" s="233">
        <f t="shared" si="9"/>
        <v>1964.4230815199999</v>
      </c>
      <c r="AY25" s="211"/>
      <c r="AZ25" s="384"/>
      <c r="BA25" s="269">
        <v>0.77</v>
      </c>
      <c r="BB25" s="233"/>
      <c r="BC25" s="233">
        <f t="shared" si="10"/>
        <v>17.25537044</v>
      </c>
      <c r="BD25" s="211"/>
      <c r="BE25" s="384"/>
      <c r="BF25" s="211"/>
      <c r="BG25" s="392">
        <v>22409572</v>
      </c>
    </row>
    <row r="26" spans="1:59" ht="12.75">
      <c r="A26" s="381" t="s">
        <v>191</v>
      </c>
      <c r="B26" s="382"/>
      <c r="C26" s="383">
        <v>20.62</v>
      </c>
      <c r="D26" s="233"/>
      <c r="E26" s="233">
        <f t="shared" si="0"/>
        <v>199.81237764000002</v>
      </c>
      <c r="F26" s="211"/>
      <c r="G26" s="384"/>
      <c r="H26" s="385">
        <v>1.86</v>
      </c>
      <c r="I26" s="233"/>
      <c r="J26" s="233">
        <f t="shared" si="1"/>
        <v>18.023812920000001</v>
      </c>
      <c r="K26" s="211"/>
      <c r="L26" s="384"/>
      <c r="M26" s="269">
        <v>10.39</v>
      </c>
      <c r="N26" s="233"/>
      <c r="O26" s="233">
        <f t="shared" si="2"/>
        <v>100.68140658</v>
      </c>
      <c r="P26" s="211"/>
      <c r="Q26" s="384"/>
      <c r="R26" s="269">
        <v>2.2000000000000002</v>
      </c>
      <c r="S26" s="233"/>
      <c r="T26" s="233">
        <f t="shared" si="3"/>
        <v>21.318488400000003</v>
      </c>
      <c r="U26" s="211"/>
      <c r="V26" s="384"/>
      <c r="W26" s="269">
        <v>133.86000000000001</v>
      </c>
      <c r="X26" s="233"/>
      <c r="Y26" s="233">
        <f t="shared" si="4"/>
        <v>1297.13311692</v>
      </c>
      <c r="Z26" s="211"/>
      <c r="AA26" s="384"/>
      <c r="AB26" s="396">
        <v>10.09</v>
      </c>
      <c r="AC26" s="233"/>
      <c r="AD26" s="233">
        <f t="shared" si="5"/>
        <v>97.774339980000008</v>
      </c>
      <c r="AE26" s="211"/>
      <c r="AF26" s="384"/>
      <c r="AG26" s="388">
        <v>49.99</v>
      </c>
      <c r="AH26" s="233"/>
      <c r="AI26" s="233">
        <f t="shared" si="6"/>
        <v>484.41419778000005</v>
      </c>
      <c r="AJ26" s="211"/>
      <c r="AK26" s="384"/>
      <c r="AL26" s="388">
        <v>86.68</v>
      </c>
      <c r="AM26" s="233"/>
      <c r="AN26" s="233">
        <f t="shared" si="7"/>
        <v>839.94844296000008</v>
      </c>
      <c r="AO26" s="211"/>
      <c r="AP26" s="390"/>
      <c r="AQ26" s="138">
        <v>10.86</v>
      </c>
      <c r="AR26" s="233"/>
      <c r="AS26" s="233">
        <f t="shared" si="8"/>
        <v>105.23581092000001</v>
      </c>
      <c r="AT26" s="211"/>
      <c r="AU26" s="384"/>
      <c r="AV26" s="269">
        <v>207.6</v>
      </c>
      <c r="AW26" s="233"/>
      <c r="AX26" s="233">
        <f t="shared" si="9"/>
        <v>2011.6900872000001</v>
      </c>
      <c r="AY26" s="211"/>
      <c r="AZ26" s="384"/>
      <c r="BA26" s="269">
        <v>0.02</v>
      </c>
      <c r="BB26" s="233"/>
      <c r="BC26" s="233">
        <f t="shared" si="10"/>
        <v>0.19380443999999999</v>
      </c>
      <c r="BD26" s="211"/>
      <c r="BE26" s="384"/>
      <c r="BF26" s="211"/>
      <c r="BG26" s="405">
        <v>9690222</v>
      </c>
    </row>
    <row r="27" spans="1:59" ht="12.75">
      <c r="A27" s="381" t="s">
        <v>192</v>
      </c>
      <c r="B27" s="382"/>
      <c r="C27" s="383">
        <v>19.88</v>
      </c>
      <c r="D27" s="233"/>
      <c r="E27" s="233">
        <f t="shared" si="0"/>
        <v>28.667536519999999</v>
      </c>
      <c r="F27" s="211"/>
      <c r="G27" s="384"/>
      <c r="H27" s="393">
        <v>0.81</v>
      </c>
      <c r="I27" s="233"/>
      <c r="J27" s="233">
        <f t="shared" si="1"/>
        <v>1.1680434900000001</v>
      </c>
      <c r="K27" s="211"/>
      <c r="L27" s="384"/>
      <c r="M27" s="269">
        <v>13.84</v>
      </c>
      <c r="N27" s="233"/>
      <c r="O27" s="233">
        <f t="shared" si="2"/>
        <v>19.957681359999999</v>
      </c>
      <c r="P27" s="211"/>
      <c r="Q27" s="384"/>
      <c r="R27" s="269">
        <v>2.2000000000000002</v>
      </c>
      <c r="S27" s="233"/>
      <c r="T27" s="233">
        <f t="shared" si="3"/>
        <v>3.1724638000000005</v>
      </c>
      <c r="U27" s="211"/>
      <c r="V27" s="384"/>
      <c r="W27" s="269">
        <v>62.39</v>
      </c>
      <c r="X27" s="233"/>
      <c r="Y27" s="233">
        <f t="shared" si="4"/>
        <v>89.96818931</v>
      </c>
      <c r="Z27" s="211"/>
      <c r="AA27" s="384"/>
      <c r="AB27" s="396">
        <v>1.3</v>
      </c>
      <c r="AC27" s="233"/>
      <c r="AD27" s="233">
        <f t="shared" si="5"/>
        <v>1.8746376999999999</v>
      </c>
      <c r="AE27" s="211"/>
      <c r="AF27" s="384"/>
      <c r="AG27" s="394">
        <v>18.45</v>
      </c>
      <c r="AH27" s="233"/>
      <c r="AI27" s="233">
        <f t="shared" si="6"/>
        <v>26.605435050000001</v>
      </c>
      <c r="AJ27" s="211"/>
      <c r="AK27" s="384"/>
      <c r="AL27" s="394">
        <v>52.1</v>
      </c>
      <c r="AM27" s="233"/>
      <c r="AN27" s="233">
        <f t="shared" si="7"/>
        <v>75.129710900000006</v>
      </c>
      <c r="AO27" s="211"/>
      <c r="AP27" s="390"/>
      <c r="AQ27" s="138">
        <v>4.5199999999999996</v>
      </c>
      <c r="AR27" s="233"/>
      <c r="AS27" s="233">
        <f t="shared" si="8"/>
        <v>6.5179710799999988</v>
      </c>
      <c r="AT27" s="211"/>
      <c r="AU27" s="384"/>
      <c r="AV27" s="269">
        <v>159.09</v>
      </c>
      <c r="AW27" s="233"/>
      <c r="AX27" s="233">
        <f t="shared" si="9"/>
        <v>229.41239361000001</v>
      </c>
      <c r="AY27" s="211"/>
      <c r="AZ27" s="384"/>
      <c r="BA27" s="269">
        <v>3.36</v>
      </c>
      <c r="BB27" s="233"/>
      <c r="BC27" s="233">
        <f t="shared" si="10"/>
        <v>4.8452174399999999</v>
      </c>
      <c r="BD27" s="211"/>
      <c r="BE27" s="384"/>
      <c r="BF27" s="211"/>
      <c r="BG27" s="405">
        <v>1442029</v>
      </c>
    </row>
    <row r="28" spans="1:59" ht="12.75">
      <c r="A28" s="381" t="s">
        <v>193</v>
      </c>
      <c r="B28" s="382"/>
      <c r="C28" s="383">
        <v>94.86</v>
      </c>
      <c r="D28" s="233"/>
      <c r="E28" s="233">
        <f t="shared" si="0"/>
        <v>3292.3835206199997</v>
      </c>
      <c r="F28" s="211"/>
      <c r="G28" s="384"/>
      <c r="H28" s="393">
        <v>1.33</v>
      </c>
      <c r="I28" s="233"/>
      <c r="J28" s="233">
        <f t="shared" si="1"/>
        <v>46.161396609999997</v>
      </c>
      <c r="K28" s="211"/>
      <c r="L28" s="384"/>
      <c r="M28" s="269">
        <v>14.96</v>
      </c>
      <c r="N28" s="233"/>
      <c r="O28" s="233">
        <f t="shared" si="2"/>
        <v>519.2289423200001</v>
      </c>
      <c r="P28" s="211"/>
      <c r="Q28" s="384"/>
      <c r="R28" s="269">
        <v>0.61</v>
      </c>
      <c r="S28" s="233"/>
      <c r="T28" s="233">
        <f t="shared" si="3"/>
        <v>21.171768370000002</v>
      </c>
      <c r="U28" s="211"/>
      <c r="V28" s="384"/>
      <c r="W28" s="269">
        <v>66.41</v>
      </c>
      <c r="X28" s="233"/>
      <c r="Y28" s="233">
        <f t="shared" si="4"/>
        <v>2304.9461269699996</v>
      </c>
      <c r="Z28" s="211"/>
      <c r="AA28" s="384"/>
      <c r="AB28" s="396">
        <v>3.98</v>
      </c>
      <c r="AC28" s="233"/>
      <c r="AD28" s="233">
        <f t="shared" si="5"/>
        <v>138.13711165999999</v>
      </c>
      <c r="AE28" s="211"/>
      <c r="AF28" s="384"/>
      <c r="AG28" s="394">
        <v>39.950000000000003</v>
      </c>
      <c r="AH28" s="233"/>
      <c r="AI28" s="233">
        <f t="shared" si="6"/>
        <v>1386.5772891500001</v>
      </c>
      <c r="AJ28" s="211"/>
      <c r="AK28" s="384"/>
      <c r="AL28" s="394">
        <v>54.79</v>
      </c>
      <c r="AM28" s="233"/>
      <c r="AN28" s="233">
        <f t="shared" si="7"/>
        <v>1901.6412934300001</v>
      </c>
      <c r="AO28" s="211"/>
      <c r="AP28" s="390"/>
      <c r="AQ28" s="138">
        <v>17.14</v>
      </c>
      <c r="AR28" s="233"/>
      <c r="AS28" s="233">
        <f t="shared" si="8"/>
        <v>594.89198337999994</v>
      </c>
      <c r="AT28" s="211"/>
      <c r="AU28" s="384"/>
      <c r="AV28" s="269">
        <v>139.72</v>
      </c>
      <c r="AW28" s="233"/>
      <c r="AX28" s="233">
        <f t="shared" si="9"/>
        <v>4849.3761912399996</v>
      </c>
      <c r="AY28" s="211"/>
      <c r="AZ28" s="384"/>
      <c r="BA28" s="269">
        <v>0.59</v>
      </c>
      <c r="BB28" s="233"/>
      <c r="BC28" s="233">
        <f t="shared" si="10"/>
        <v>20.477612029999996</v>
      </c>
      <c r="BD28" s="211"/>
      <c r="BE28" s="384"/>
      <c r="BF28" s="211"/>
      <c r="BG28" s="392">
        <v>34707817</v>
      </c>
    </row>
    <row r="29" spans="1:59" ht="12.75">
      <c r="A29" s="381" t="s">
        <v>194</v>
      </c>
      <c r="B29" s="382"/>
      <c r="C29" s="383">
        <v>25.35</v>
      </c>
      <c r="D29" s="233"/>
      <c r="E29" s="233">
        <f t="shared" si="0"/>
        <v>51.266090850000005</v>
      </c>
      <c r="F29" s="211"/>
      <c r="G29" s="384"/>
      <c r="H29" s="385">
        <v>0.93</v>
      </c>
      <c r="I29" s="233"/>
      <c r="J29" s="233">
        <f t="shared" si="1"/>
        <v>1.8807678300000001</v>
      </c>
      <c r="K29" s="211"/>
      <c r="L29" s="384"/>
      <c r="M29" s="269">
        <v>20.77</v>
      </c>
      <c r="N29" s="233"/>
      <c r="O29" s="233">
        <f t="shared" si="2"/>
        <v>42.003814869999999</v>
      </c>
      <c r="P29" s="211"/>
      <c r="Q29" s="384"/>
      <c r="R29" s="269">
        <v>7.84</v>
      </c>
      <c r="S29" s="233"/>
      <c r="T29" s="233">
        <f t="shared" si="3"/>
        <v>15.855075039999999</v>
      </c>
      <c r="U29" s="211"/>
      <c r="V29" s="384"/>
      <c r="W29" s="269">
        <v>56.74</v>
      </c>
      <c r="X29" s="233"/>
      <c r="Y29" s="233">
        <f t="shared" si="4"/>
        <v>114.74706094</v>
      </c>
      <c r="Z29" s="211"/>
      <c r="AA29" s="384"/>
      <c r="AB29" s="396">
        <v>1.84</v>
      </c>
      <c r="AC29" s="233"/>
      <c r="AD29" s="233">
        <f t="shared" si="5"/>
        <v>3.7210890399999998</v>
      </c>
      <c r="AE29" s="211"/>
      <c r="AF29" s="384"/>
      <c r="AG29" s="388">
        <v>26.04</v>
      </c>
      <c r="AH29" s="233"/>
      <c r="AI29" s="233">
        <f t="shared" si="6"/>
        <v>52.661499239999998</v>
      </c>
      <c r="AJ29" s="211"/>
      <c r="AK29" s="384"/>
      <c r="AL29" s="388">
        <v>28.24</v>
      </c>
      <c r="AM29" s="233"/>
      <c r="AN29" s="233">
        <f t="shared" si="7"/>
        <v>57.110627439999995</v>
      </c>
      <c r="AO29" s="211"/>
      <c r="AP29" s="390"/>
      <c r="AQ29" s="138">
        <v>4.83</v>
      </c>
      <c r="AR29" s="233"/>
      <c r="AS29" s="233">
        <f t="shared" si="8"/>
        <v>9.7678587300000004</v>
      </c>
      <c r="AT29" s="211"/>
      <c r="AU29" s="384"/>
      <c r="AV29" s="269">
        <v>172.48</v>
      </c>
      <c r="AW29" s="233"/>
      <c r="AX29" s="233">
        <f t="shared" si="9"/>
        <v>348.81165088</v>
      </c>
      <c r="AY29" s="211"/>
      <c r="AZ29" s="384"/>
      <c r="BA29" s="269">
        <v>0.02</v>
      </c>
      <c r="BB29" s="233"/>
      <c r="BC29" s="233">
        <f t="shared" si="10"/>
        <v>4.0446620000000003E-2</v>
      </c>
      <c r="BD29" s="211"/>
      <c r="BE29" s="384"/>
      <c r="BF29" s="211"/>
      <c r="BG29" s="406">
        <v>2022331</v>
      </c>
    </row>
    <row r="30" spans="1:59" ht="12.75">
      <c r="A30" s="381" t="s">
        <v>195</v>
      </c>
      <c r="B30" s="382"/>
      <c r="C30" s="383">
        <v>3.04</v>
      </c>
      <c r="D30" s="233"/>
      <c r="E30" s="233">
        <f t="shared" si="0"/>
        <v>9.2476921599999997</v>
      </c>
      <c r="F30" s="211"/>
      <c r="G30" s="384"/>
      <c r="H30" s="393">
        <v>1.21</v>
      </c>
      <c r="I30" s="233"/>
      <c r="J30" s="233">
        <f t="shared" si="1"/>
        <v>3.6808248399999997</v>
      </c>
      <c r="K30" s="211"/>
      <c r="L30" s="384"/>
      <c r="M30" s="269">
        <v>7.36</v>
      </c>
      <c r="N30" s="233"/>
      <c r="O30" s="233">
        <f t="shared" si="2"/>
        <v>22.389149440000001</v>
      </c>
      <c r="P30" s="211"/>
      <c r="Q30" s="384"/>
      <c r="R30" s="386">
        <v>14.69</v>
      </c>
      <c r="S30" s="233"/>
      <c r="T30" s="233">
        <f t="shared" si="3"/>
        <v>44.68703876</v>
      </c>
      <c r="U30" s="211"/>
      <c r="V30" s="384"/>
      <c r="W30" s="269">
        <v>118</v>
      </c>
      <c r="X30" s="233"/>
      <c r="Y30" s="233">
        <f t="shared" si="4"/>
        <v>358.95647200000002</v>
      </c>
      <c r="Z30" s="211"/>
      <c r="AA30" s="384"/>
      <c r="AB30" s="396">
        <v>5.88</v>
      </c>
      <c r="AC30" s="233"/>
      <c r="AD30" s="233">
        <f t="shared" si="5"/>
        <v>17.886983520000001</v>
      </c>
      <c r="AE30" s="211"/>
      <c r="AF30" s="384"/>
      <c r="AG30" s="394">
        <v>24.03</v>
      </c>
      <c r="AH30" s="233"/>
      <c r="AI30" s="233">
        <f t="shared" si="6"/>
        <v>73.09935612000001</v>
      </c>
      <c r="AJ30" s="211"/>
      <c r="AK30" s="384"/>
      <c r="AL30" s="394">
        <v>43.48</v>
      </c>
      <c r="AM30" s="233"/>
      <c r="AN30" s="233">
        <f t="shared" si="7"/>
        <v>132.26633391999999</v>
      </c>
      <c r="AO30" s="211"/>
      <c r="AP30" s="390"/>
      <c r="AQ30" s="138">
        <v>2.66</v>
      </c>
      <c r="AR30" s="233"/>
      <c r="AS30" s="233">
        <f t="shared" si="8"/>
        <v>8.0917306399999998</v>
      </c>
      <c r="AT30" s="211"/>
      <c r="AU30" s="384"/>
      <c r="AV30" s="269">
        <v>126.97</v>
      </c>
      <c r="AW30" s="233"/>
      <c r="AX30" s="233">
        <f t="shared" si="9"/>
        <v>386.24324788000001</v>
      </c>
      <c r="AY30" s="211"/>
      <c r="AZ30" s="384"/>
      <c r="BA30" s="269">
        <v>0.56000000000000005</v>
      </c>
      <c r="BB30" s="233"/>
      <c r="BC30" s="233">
        <f t="shared" si="10"/>
        <v>1.7035222400000003</v>
      </c>
      <c r="BD30" s="211"/>
      <c r="BE30" s="384"/>
      <c r="BF30" s="211"/>
      <c r="BG30" s="392">
        <v>3042004</v>
      </c>
    </row>
    <row r="31" spans="1:59" ht="12.75">
      <c r="A31" s="381" t="s">
        <v>196</v>
      </c>
      <c r="B31" s="382"/>
      <c r="C31" s="383">
        <v>24.84</v>
      </c>
      <c r="D31" s="233"/>
      <c r="E31" s="233">
        <f t="shared" si="0"/>
        <v>461.91144995999997</v>
      </c>
      <c r="F31" s="211"/>
      <c r="G31" s="384"/>
      <c r="H31" s="385">
        <v>0.65</v>
      </c>
      <c r="I31" s="233"/>
      <c r="J31" s="233">
        <f t="shared" si="1"/>
        <v>12.087054849999999</v>
      </c>
      <c r="K31" s="211"/>
      <c r="L31" s="384"/>
      <c r="M31" s="269">
        <v>10.24</v>
      </c>
      <c r="N31" s="233"/>
      <c r="O31" s="233">
        <f t="shared" si="2"/>
        <v>190.41760256000001</v>
      </c>
      <c r="P31" s="211"/>
      <c r="Q31" s="384"/>
      <c r="R31" s="386">
        <v>3.05</v>
      </c>
      <c r="S31" s="233"/>
      <c r="T31" s="233">
        <f t="shared" si="3"/>
        <v>56.716180449999996</v>
      </c>
      <c r="U31" s="211"/>
      <c r="V31" s="384"/>
      <c r="W31" s="269">
        <v>119.14</v>
      </c>
      <c r="X31" s="233"/>
      <c r="Y31" s="233">
        <f t="shared" si="4"/>
        <v>2215.4641766599998</v>
      </c>
      <c r="Z31" s="211"/>
      <c r="AA31" s="384"/>
      <c r="AB31" s="396">
        <v>5.29</v>
      </c>
      <c r="AC31" s="233"/>
      <c r="AD31" s="233">
        <f t="shared" si="5"/>
        <v>98.370031010000005</v>
      </c>
      <c r="AE31" s="211"/>
      <c r="AF31" s="384"/>
      <c r="AG31" s="388">
        <v>15.93</v>
      </c>
      <c r="AH31" s="233"/>
      <c r="AI31" s="233">
        <f t="shared" si="6"/>
        <v>296.22582117000002</v>
      </c>
      <c r="AJ31" s="211"/>
      <c r="AK31" s="384"/>
      <c r="AL31" s="388">
        <v>45.74</v>
      </c>
      <c r="AM31" s="233"/>
      <c r="AN31" s="233">
        <f t="shared" si="7"/>
        <v>850.55675206000001</v>
      </c>
      <c r="AO31" s="211"/>
      <c r="AP31" s="390"/>
      <c r="AQ31" s="138">
        <v>1.31</v>
      </c>
      <c r="AR31" s="233"/>
      <c r="AS31" s="233">
        <f t="shared" si="8"/>
        <v>24.360064390000002</v>
      </c>
      <c r="AT31" s="211"/>
      <c r="AU31" s="384"/>
      <c r="AV31" s="269">
        <v>178.75</v>
      </c>
      <c r="AW31" s="233"/>
      <c r="AX31" s="233">
        <f t="shared" si="9"/>
        <v>3323.9400837500002</v>
      </c>
      <c r="AY31" s="211"/>
      <c r="AZ31" s="384"/>
      <c r="BA31" s="269">
        <v>0.12</v>
      </c>
      <c r="BB31" s="233"/>
      <c r="BC31" s="233">
        <f t="shared" si="10"/>
        <v>2.2314562799999997</v>
      </c>
      <c r="BD31" s="211"/>
      <c r="BE31" s="384"/>
      <c r="BF31" s="211"/>
      <c r="BG31" s="392">
        <v>18595469</v>
      </c>
    </row>
    <row r="32" spans="1:59" ht="12.75">
      <c r="A32" s="381" t="s">
        <v>197</v>
      </c>
      <c r="B32" s="382"/>
      <c r="C32" s="383">
        <v>7.98</v>
      </c>
      <c r="D32" s="233"/>
      <c r="E32" s="233">
        <f t="shared" si="0"/>
        <v>103.85112948</v>
      </c>
      <c r="F32" s="211"/>
      <c r="G32" s="384"/>
      <c r="H32" s="393">
        <v>1.1299999999999999</v>
      </c>
      <c r="I32" s="233"/>
      <c r="J32" s="233">
        <f t="shared" si="1"/>
        <v>14.705736379999999</v>
      </c>
      <c r="K32" s="211"/>
      <c r="L32" s="384"/>
      <c r="M32" s="269">
        <v>9.34</v>
      </c>
      <c r="N32" s="233"/>
      <c r="O32" s="233">
        <f t="shared" si="2"/>
        <v>121.55006884000001</v>
      </c>
      <c r="P32" s="211"/>
      <c r="Q32" s="384"/>
      <c r="R32" s="269">
        <v>3.35</v>
      </c>
      <c r="S32" s="233"/>
      <c r="T32" s="233">
        <f t="shared" si="3"/>
        <v>43.5966521</v>
      </c>
      <c r="U32" s="211"/>
      <c r="V32" s="384"/>
      <c r="W32" s="269">
        <v>142.04</v>
      </c>
      <c r="X32" s="233"/>
      <c r="Y32" s="233">
        <f t="shared" si="4"/>
        <v>1848.4980490400001</v>
      </c>
      <c r="Z32" s="211"/>
      <c r="AA32" s="384"/>
      <c r="AB32" s="396">
        <v>9.5</v>
      </c>
      <c r="AC32" s="233"/>
      <c r="AD32" s="233">
        <f t="shared" si="5"/>
        <v>123.63229699999999</v>
      </c>
      <c r="AE32" s="211"/>
      <c r="AF32" s="384"/>
      <c r="AG32" s="394">
        <v>54.23</v>
      </c>
      <c r="AH32" s="233"/>
      <c r="AI32" s="233">
        <f t="shared" si="6"/>
        <v>705.74520697999992</v>
      </c>
      <c r="AJ32" s="211"/>
      <c r="AK32" s="384"/>
      <c r="AL32" s="394">
        <v>62.32</v>
      </c>
      <c r="AM32" s="233"/>
      <c r="AN32" s="233">
        <f t="shared" si="7"/>
        <v>811.02786832000004</v>
      </c>
      <c r="AO32" s="211"/>
      <c r="AP32" s="390"/>
      <c r="AQ32" s="138">
        <v>29.2</v>
      </c>
      <c r="AR32" s="233"/>
      <c r="AS32" s="233">
        <f t="shared" si="8"/>
        <v>380.0066392</v>
      </c>
      <c r="AT32" s="211"/>
      <c r="AU32" s="384"/>
      <c r="AV32" s="269">
        <v>139</v>
      </c>
      <c r="AW32" s="233"/>
      <c r="AX32" s="233">
        <f t="shared" si="9"/>
        <v>1808.935714</v>
      </c>
      <c r="AY32" s="211"/>
      <c r="AZ32" s="384"/>
      <c r="BA32" s="269">
        <v>0.11</v>
      </c>
      <c r="BB32" s="233"/>
      <c r="BC32" s="233">
        <f t="shared" si="10"/>
        <v>1.4315318600000002</v>
      </c>
      <c r="BD32" s="211"/>
      <c r="BE32" s="384"/>
      <c r="BF32" s="211"/>
      <c r="BG32" s="392">
        <v>13013926</v>
      </c>
    </row>
    <row r="33" spans="1:59" ht="12.75">
      <c r="A33" s="381" t="s">
        <v>198</v>
      </c>
      <c r="B33" s="382"/>
      <c r="C33" s="383">
        <v>98.68</v>
      </c>
      <c r="D33" s="233"/>
      <c r="E33" s="233">
        <f t="shared" si="0"/>
        <v>1156.21668572</v>
      </c>
      <c r="F33" s="211"/>
      <c r="G33" s="384"/>
      <c r="H33" s="385">
        <v>0.71</v>
      </c>
      <c r="I33" s="233"/>
      <c r="J33" s="233">
        <f t="shared" si="1"/>
        <v>8.3189485899999998</v>
      </c>
      <c r="K33" s="211"/>
      <c r="L33" s="384"/>
      <c r="M33" s="269">
        <v>18.34</v>
      </c>
      <c r="N33" s="233"/>
      <c r="O33" s="233">
        <f t="shared" si="2"/>
        <v>214.88664385999999</v>
      </c>
      <c r="P33" s="211"/>
      <c r="Q33" s="384"/>
      <c r="R33" s="386">
        <v>2.4700000000000002</v>
      </c>
      <c r="S33" s="233"/>
      <c r="T33" s="233">
        <f t="shared" si="3"/>
        <v>28.940567630000004</v>
      </c>
      <c r="U33" s="211"/>
      <c r="V33" s="384"/>
      <c r="W33" s="269">
        <v>28.89</v>
      </c>
      <c r="X33" s="233"/>
      <c r="Y33" s="233">
        <f t="shared" si="4"/>
        <v>338.49918981000002</v>
      </c>
      <c r="Z33" s="211"/>
      <c r="AA33" s="384"/>
      <c r="AB33" s="396">
        <v>9.34</v>
      </c>
      <c r="AC33" s="233"/>
      <c r="AD33" s="233">
        <f t="shared" si="5"/>
        <v>109.43518286</v>
      </c>
      <c r="AE33" s="211"/>
      <c r="AF33" s="384"/>
      <c r="AG33" s="388">
        <v>90.32</v>
      </c>
      <c r="AH33" s="233"/>
      <c r="AI33" s="233">
        <f t="shared" si="6"/>
        <v>1058.26399528</v>
      </c>
      <c r="AJ33" s="211"/>
      <c r="AK33" s="384"/>
      <c r="AL33" s="388">
        <v>28.7</v>
      </c>
      <c r="AM33" s="233"/>
      <c r="AN33" s="233">
        <f t="shared" si="7"/>
        <v>336.2729923</v>
      </c>
      <c r="AO33" s="211"/>
      <c r="AP33" s="390"/>
      <c r="AQ33" s="138">
        <v>13.07</v>
      </c>
      <c r="AR33" s="233"/>
      <c r="AS33" s="233">
        <f t="shared" si="8"/>
        <v>153.13895503000001</v>
      </c>
      <c r="AT33" s="211"/>
      <c r="AU33" s="384"/>
      <c r="AV33" s="269">
        <v>173.1</v>
      </c>
      <c r="AW33" s="233"/>
      <c r="AX33" s="233">
        <f t="shared" si="9"/>
        <v>2028.1830998999999</v>
      </c>
      <c r="AY33" s="211"/>
      <c r="AZ33" s="384"/>
      <c r="BA33" s="269">
        <v>3.14</v>
      </c>
      <c r="BB33" s="233"/>
      <c r="BC33" s="233">
        <f t="shared" si="10"/>
        <v>36.79084306</v>
      </c>
      <c r="BD33" s="211"/>
      <c r="BE33" s="384"/>
      <c r="BF33" s="211"/>
      <c r="BG33" s="392">
        <v>11716829</v>
      </c>
    </row>
    <row r="34" spans="1:59" ht="12.75">
      <c r="A34" s="381" t="s">
        <v>199</v>
      </c>
      <c r="B34" s="382"/>
      <c r="C34" s="383">
        <v>160.82</v>
      </c>
      <c r="D34" s="233"/>
      <c r="E34" s="233">
        <f t="shared" si="0"/>
        <v>510.98753815999999</v>
      </c>
      <c r="F34" s="211"/>
      <c r="G34" s="384"/>
      <c r="H34" s="385">
        <v>2.3199999999999998</v>
      </c>
      <c r="I34" s="233"/>
      <c r="J34" s="233">
        <f t="shared" si="1"/>
        <v>7.3715401599999995</v>
      </c>
      <c r="K34" s="211"/>
      <c r="L34" s="384"/>
      <c r="M34" s="269">
        <v>25.92</v>
      </c>
      <c r="N34" s="233"/>
      <c r="O34" s="233">
        <f t="shared" si="2"/>
        <v>82.357896960000005</v>
      </c>
      <c r="P34" s="211"/>
      <c r="Q34" s="384"/>
      <c r="R34" s="269">
        <v>5.14</v>
      </c>
      <c r="S34" s="233"/>
      <c r="T34" s="233">
        <f t="shared" si="3"/>
        <v>16.331774319999997</v>
      </c>
      <c r="U34" s="211"/>
      <c r="V34" s="384"/>
      <c r="W34" s="269">
        <v>9.6300000000000008</v>
      </c>
      <c r="X34" s="233"/>
      <c r="Y34" s="233">
        <f t="shared" si="4"/>
        <v>30.59824644</v>
      </c>
      <c r="Z34" s="211"/>
      <c r="AA34" s="384"/>
      <c r="AB34" s="396">
        <v>9.16</v>
      </c>
      <c r="AC34" s="233"/>
      <c r="AD34" s="233">
        <f t="shared" si="5"/>
        <v>29.104874080000002</v>
      </c>
      <c r="AE34" s="211"/>
      <c r="AF34" s="384"/>
      <c r="AG34" s="388">
        <v>36.35</v>
      </c>
      <c r="AH34" s="233"/>
      <c r="AI34" s="233">
        <f t="shared" si="6"/>
        <v>115.49805380000001</v>
      </c>
      <c r="AJ34" s="211"/>
      <c r="AK34" s="384"/>
      <c r="AL34" s="388">
        <v>11.34</v>
      </c>
      <c r="AM34" s="233"/>
      <c r="AN34" s="233">
        <f t="shared" si="7"/>
        <v>36.031579919999999</v>
      </c>
      <c r="AO34" s="211"/>
      <c r="AP34" s="390"/>
      <c r="AQ34" s="138">
        <v>9.7899999999999991</v>
      </c>
      <c r="AR34" s="233"/>
      <c r="AS34" s="233">
        <f t="shared" si="8"/>
        <v>31.106628519999997</v>
      </c>
      <c r="AT34" s="211"/>
      <c r="AU34" s="384"/>
      <c r="AV34" s="269">
        <v>200.83</v>
      </c>
      <c r="AW34" s="233"/>
      <c r="AX34" s="233">
        <f t="shared" si="9"/>
        <v>638.11483204000012</v>
      </c>
      <c r="AY34" s="211"/>
      <c r="AZ34" s="384"/>
      <c r="BA34" s="269">
        <v>0</v>
      </c>
      <c r="BB34" s="233"/>
      <c r="BC34" s="233">
        <f t="shared" si="10"/>
        <v>0</v>
      </c>
      <c r="BD34" s="211"/>
      <c r="BE34" s="384"/>
      <c r="BF34" s="211"/>
      <c r="BG34" s="392">
        <v>3177388</v>
      </c>
    </row>
    <row r="35" spans="1:59" ht="12.75">
      <c r="A35" s="381" t="s">
        <v>200</v>
      </c>
      <c r="B35" s="382"/>
      <c r="C35" s="383">
        <v>117.27</v>
      </c>
      <c r="D35" s="233"/>
      <c r="E35" s="233">
        <f t="shared" si="0"/>
        <v>145.51178228999999</v>
      </c>
      <c r="F35" s="211"/>
      <c r="G35" s="384"/>
      <c r="H35" s="393">
        <v>6.4</v>
      </c>
      <c r="I35" s="233"/>
      <c r="J35" s="233">
        <f t="shared" si="1"/>
        <v>7.9412928000000012</v>
      </c>
      <c r="K35" s="211"/>
      <c r="L35" s="384"/>
      <c r="M35" s="269">
        <v>13.18</v>
      </c>
      <c r="N35" s="233"/>
      <c r="O35" s="233">
        <f t="shared" si="2"/>
        <v>16.354099859999998</v>
      </c>
      <c r="P35" s="211"/>
      <c r="Q35" s="384"/>
      <c r="R35" s="269">
        <v>39.590000000000003</v>
      </c>
      <c r="S35" s="233"/>
      <c r="T35" s="233">
        <f t="shared" si="3"/>
        <v>49.12434093000001</v>
      </c>
      <c r="U35" s="211"/>
      <c r="V35" s="384"/>
      <c r="W35" s="269">
        <v>34.25</v>
      </c>
      <c r="X35" s="233"/>
      <c r="Y35" s="233">
        <f t="shared" si="4"/>
        <v>42.498324750000002</v>
      </c>
      <c r="Z35" s="211"/>
      <c r="AA35" s="384"/>
      <c r="AB35" s="396">
        <v>23.07</v>
      </c>
      <c r="AC35" s="233"/>
      <c r="AD35" s="233">
        <f t="shared" si="5"/>
        <v>28.625878889999999</v>
      </c>
      <c r="AE35" s="211"/>
      <c r="AF35" s="384"/>
      <c r="AG35" s="394">
        <v>72.69</v>
      </c>
      <c r="AH35" s="233"/>
      <c r="AI35" s="233">
        <f t="shared" si="6"/>
        <v>90.195714629999998</v>
      </c>
      <c r="AJ35" s="211"/>
      <c r="AK35" s="384"/>
      <c r="AL35" s="394">
        <v>66.930000000000007</v>
      </c>
      <c r="AM35" s="233"/>
      <c r="AN35" s="233">
        <f t="shared" si="7"/>
        <v>83.04855111000002</v>
      </c>
      <c r="AO35" s="211"/>
      <c r="AP35" s="390"/>
      <c r="AQ35" s="138">
        <v>11.98</v>
      </c>
      <c r="AR35" s="233"/>
      <c r="AS35" s="233">
        <f t="shared" si="8"/>
        <v>14.865107460000001</v>
      </c>
      <c r="AT35" s="211"/>
      <c r="AU35" s="384"/>
      <c r="AV35" s="269">
        <v>173.7</v>
      </c>
      <c r="AW35" s="233"/>
      <c r="AX35" s="233">
        <f t="shared" si="9"/>
        <v>215.53164989999996</v>
      </c>
      <c r="AY35" s="211"/>
      <c r="AZ35" s="384"/>
      <c r="BA35" s="269">
        <v>0.35</v>
      </c>
      <c r="BB35" s="233"/>
      <c r="BC35" s="233">
        <f t="shared" si="10"/>
        <v>0.43428944999999997</v>
      </c>
      <c r="BD35" s="211"/>
      <c r="BE35" s="384"/>
      <c r="BF35" s="211"/>
      <c r="BG35" s="392">
        <v>1240827</v>
      </c>
    </row>
    <row r="36" spans="1:59" ht="12.75">
      <c r="A36" s="381" t="s">
        <v>201</v>
      </c>
      <c r="B36" s="382"/>
      <c r="C36" s="383">
        <v>4.79</v>
      </c>
      <c r="D36" s="233"/>
      <c r="E36" s="233">
        <f t="shared" si="0"/>
        <v>94.298358950000008</v>
      </c>
      <c r="F36" s="211"/>
      <c r="G36" s="384"/>
      <c r="H36" s="385">
        <v>1.95</v>
      </c>
      <c r="I36" s="233"/>
      <c r="J36" s="233">
        <f t="shared" si="1"/>
        <v>38.388684750000003</v>
      </c>
      <c r="K36" s="211"/>
      <c r="L36" s="384"/>
      <c r="M36" s="269">
        <v>5.84</v>
      </c>
      <c r="N36" s="233"/>
      <c r="O36" s="233">
        <f t="shared" si="2"/>
        <v>114.9691892</v>
      </c>
      <c r="P36" s="211"/>
      <c r="Q36" s="384"/>
      <c r="R36" s="269">
        <v>3.8</v>
      </c>
      <c r="S36" s="233"/>
      <c r="T36" s="233">
        <f t="shared" si="3"/>
        <v>74.808718999999996</v>
      </c>
      <c r="U36" s="211"/>
      <c r="V36" s="384"/>
      <c r="W36" s="269">
        <v>275.91000000000003</v>
      </c>
      <c r="X36" s="233"/>
      <c r="Y36" s="233">
        <f t="shared" si="4"/>
        <v>5431.7035945500002</v>
      </c>
      <c r="Z36" s="211"/>
      <c r="AA36" s="384"/>
      <c r="AB36" s="396">
        <v>11.46</v>
      </c>
      <c r="AC36" s="233"/>
      <c r="AD36" s="233">
        <f t="shared" si="5"/>
        <v>225.60734730000001</v>
      </c>
      <c r="AE36" s="211"/>
      <c r="AF36" s="384"/>
      <c r="AG36" s="388">
        <v>28</v>
      </c>
      <c r="AH36" s="233"/>
      <c r="AI36" s="233">
        <f t="shared" si="6"/>
        <v>551.22213999999997</v>
      </c>
      <c r="AJ36" s="211"/>
      <c r="AK36" s="384"/>
      <c r="AL36" s="388">
        <v>26.04</v>
      </c>
      <c r="AM36" s="233"/>
      <c r="AN36" s="233">
        <f t="shared" si="7"/>
        <v>512.6365902</v>
      </c>
      <c r="AO36" s="211"/>
      <c r="AP36" s="390"/>
      <c r="AQ36" s="138">
        <v>9.5299999999999994</v>
      </c>
      <c r="AR36" s="233"/>
      <c r="AS36" s="233">
        <f t="shared" si="8"/>
        <v>187.61239264999998</v>
      </c>
      <c r="AT36" s="211"/>
      <c r="AU36" s="384"/>
      <c r="AV36" s="269">
        <v>98.95</v>
      </c>
      <c r="AW36" s="233"/>
      <c r="AX36" s="233">
        <f t="shared" si="9"/>
        <v>1947.9796697500001</v>
      </c>
      <c r="AY36" s="211"/>
      <c r="AZ36" s="384"/>
      <c r="BA36" s="269">
        <v>2.2999999999999998</v>
      </c>
      <c r="BB36" s="233"/>
      <c r="BC36" s="233">
        <f t="shared" si="10"/>
        <v>45.278961500000001</v>
      </c>
      <c r="BD36" s="211"/>
      <c r="BE36" s="384"/>
      <c r="BF36" s="211"/>
      <c r="BG36" s="392">
        <v>19686505</v>
      </c>
    </row>
    <row r="37" spans="1:59" ht="12.75">
      <c r="A37" s="381" t="s">
        <v>202</v>
      </c>
      <c r="B37" s="382"/>
      <c r="C37" s="383">
        <v>73.05</v>
      </c>
      <c r="D37" s="233"/>
      <c r="E37" s="233">
        <f t="shared" si="0"/>
        <v>149.32493835</v>
      </c>
      <c r="F37" s="211"/>
      <c r="G37" s="384"/>
      <c r="H37" s="385">
        <v>1.36</v>
      </c>
      <c r="I37" s="233"/>
      <c r="J37" s="233">
        <f t="shared" si="1"/>
        <v>2.7800399200000006</v>
      </c>
      <c r="K37" s="211"/>
      <c r="L37" s="384"/>
      <c r="M37" s="269">
        <v>21.2</v>
      </c>
      <c r="N37" s="233"/>
      <c r="O37" s="233">
        <f t="shared" si="2"/>
        <v>43.335916399999995</v>
      </c>
      <c r="P37" s="211"/>
      <c r="Q37" s="384"/>
      <c r="R37" s="269">
        <v>9.91</v>
      </c>
      <c r="S37" s="233"/>
      <c r="T37" s="233">
        <f t="shared" si="3"/>
        <v>20.257496769999999</v>
      </c>
      <c r="U37" s="211"/>
      <c r="V37" s="384"/>
      <c r="W37" s="269">
        <v>126.88</v>
      </c>
      <c r="X37" s="233"/>
      <c r="Y37" s="233">
        <f t="shared" si="4"/>
        <v>259.36137135999996</v>
      </c>
      <c r="Z37" s="211"/>
      <c r="AA37" s="384"/>
      <c r="AB37" s="396">
        <v>11.56</v>
      </c>
      <c r="AC37" s="233"/>
      <c r="AD37" s="233">
        <f t="shared" si="5"/>
        <v>23.630339320000001</v>
      </c>
      <c r="AE37" s="211"/>
      <c r="AF37" s="384"/>
      <c r="AG37" s="388">
        <v>26.87</v>
      </c>
      <c r="AH37" s="233"/>
      <c r="AI37" s="233">
        <f t="shared" si="6"/>
        <v>54.926229890000002</v>
      </c>
      <c r="AJ37" s="211"/>
      <c r="AK37" s="384"/>
      <c r="AL37" s="388">
        <v>72.819999999999993</v>
      </c>
      <c r="AM37" s="233"/>
      <c r="AN37" s="233">
        <f t="shared" si="7"/>
        <v>148.85478454</v>
      </c>
      <c r="AO37" s="211"/>
      <c r="AP37" s="390"/>
      <c r="AQ37" s="138">
        <v>8.59</v>
      </c>
      <c r="AR37" s="233"/>
      <c r="AS37" s="233">
        <f t="shared" si="8"/>
        <v>17.559222730000002</v>
      </c>
      <c r="AT37" s="211"/>
      <c r="AU37" s="384"/>
      <c r="AV37" s="269">
        <v>114.02</v>
      </c>
      <c r="AW37" s="233"/>
      <c r="AX37" s="233">
        <f t="shared" si="9"/>
        <v>233.07364093999999</v>
      </c>
      <c r="AY37" s="211"/>
      <c r="AZ37" s="384"/>
      <c r="BA37" s="269">
        <v>0.1</v>
      </c>
      <c r="BB37" s="233"/>
      <c r="BC37" s="233">
        <f t="shared" si="10"/>
        <v>0.2044147</v>
      </c>
      <c r="BD37" s="211"/>
      <c r="BE37" s="384"/>
      <c r="BF37" s="211"/>
      <c r="BG37" s="392">
        <v>2044147</v>
      </c>
    </row>
    <row r="38" spans="1:59" ht="12.75">
      <c r="A38" s="381" t="s">
        <v>203</v>
      </c>
      <c r="B38" s="382"/>
      <c r="C38" s="383">
        <v>58.92</v>
      </c>
      <c r="D38" s="233"/>
      <c r="E38" s="233">
        <f t="shared" si="0"/>
        <v>737.97853848</v>
      </c>
      <c r="F38" s="211"/>
      <c r="G38" s="384"/>
      <c r="H38" s="385">
        <v>0.24</v>
      </c>
      <c r="I38" s="233"/>
      <c r="J38" s="233">
        <f t="shared" si="1"/>
        <v>3.0060225599999999</v>
      </c>
      <c r="K38" s="211"/>
      <c r="L38" s="384"/>
      <c r="M38" s="269">
        <v>7.56</v>
      </c>
      <c r="N38" s="233"/>
      <c r="O38" s="233">
        <f t="shared" si="2"/>
        <v>94.689710640000001</v>
      </c>
      <c r="P38" s="211"/>
      <c r="Q38" s="384"/>
      <c r="R38" s="269">
        <v>1.1100000000000001</v>
      </c>
      <c r="S38" s="233"/>
      <c r="T38" s="233">
        <f t="shared" si="3"/>
        <v>13.902854340000001</v>
      </c>
      <c r="U38" s="211"/>
      <c r="V38" s="384"/>
      <c r="W38" s="269">
        <v>22.73</v>
      </c>
      <c r="X38" s="233"/>
      <c r="Y38" s="233">
        <f t="shared" si="4"/>
        <v>284.69538662000002</v>
      </c>
      <c r="Z38" s="211"/>
      <c r="AA38" s="384"/>
      <c r="AB38" s="396">
        <v>2.0299999999999998</v>
      </c>
      <c r="AC38" s="233"/>
      <c r="AD38" s="233">
        <f t="shared" si="5"/>
        <v>25.425940819999997</v>
      </c>
      <c r="AE38" s="211"/>
      <c r="AF38" s="384"/>
      <c r="AG38" s="388">
        <v>106.52</v>
      </c>
      <c r="AH38" s="233"/>
      <c r="AI38" s="233">
        <f t="shared" si="6"/>
        <v>1334.17301288</v>
      </c>
      <c r="AJ38" s="211"/>
      <c r="AK38" s="384"/>
      <c r="AL38" s="388">
        <v>28.46</v>
      </c>
      <c r="AM38" s="233"/>
      <c r="AN38" s="233">
        <f t="shared" si="7"/>
        <v>356.46417524000003</v>
      </c>
      <c r="AO38" s="211"/>
      <c r="AP38" s="390"/>
      <c r="AQ38" s="138">
        <v>51.42</v>
      </c>
      <c r="AR38" s="233"/>
      <c r="AS38" s="233">
        <f t="shared" si="8"/>
        <v>644.04033348000007</v>
      </c>
      <c r="AT38" s="211"/>
      <c r="AU38" s="384"/>
      <c r="AV38" s="269">
        <v>96.08</v>
      </c>
      <c r="AW38" s="233"/>
      <c r="AX38" s="233">
        <f t="shared" si="9"/>
        <v>1203.4110315200001</v>
      </c>
      <c r="AY38" s="211"/>
      <c r="AZ38" s="384"/>
      <c r="BA38" s="269">
        <v>0</v>
      </c>
      <c r="BB38" s="233"/>
      <c r="BC38" s="233">
        <f t="shared" si="10"/>
        <v>0</v>
      </c>
      <c r="BD38" s="211"/>
      <c r="BE38" s="384"/>
      <c r="BF38" s="211"/>
      <c r="BG38" s="392">
        <v>12525094</v>
      </c>
    </row>
    <row r="39" spans="1:59" ht="12.75">
      <c r="A39" s="381" t="s">
        <v>204</v>
      </c>
      <c r="B39" s="382"/>
      <c r="C39" s="383">
        <v>7.91</v>
      </c>
      <c r="D39" s="233"/>
      <c r="E39" s="233">
        <f t="shared" si="0"/>
        <v>1043.01047221</v>
      </c>
      <c r="F39" s="211"/>
      <c r="G39" s="384"/>
      <c r="H39" s="393">
        <v>2.4900000000000002</v>
      </c>
      <c r="I39" s="233"/>
      <c r="J39" s="233">
        <f t="shared" si="1"/>
        <v>328.33073019000005</v>
      </c>
      <c r="K39" s="211"/>
      <c r="L39" s="384"/>
      <c r="M39" s="269">
        <v>6.43</v>
      </c>
      <c r="N39" s="233"/>
      <c r="O39" s="233">
        <f t="shared" si="2"/>
        <v>847.85807032999992</v>
      </c>
      <c r="P39" s="211"/>
      <c r="Q39" s="384"/>
      <c r="R39" s="269">
        <v>1.08</v>
      </c>
      <c r="S39" s="233"/>
      <c r="T39" s="233">
        <f t="shared" si="3"/>
        <v>142.40850948000002</v>
      </c>
      <c r="U39" s="211"/>
      <c r="V39" s="384"/>
      <c r="W39" s="269">
        <v>276.07</v>
      </c>
      <c r="X39" s="233"/>
      <c r="Y39" s="233">
        <f t="shared" si="4"/>
        <v>36402.515937169999</v>
      </c>
      <c r="Z39" s="211"/>
      <c r="AA39" s="384"/>
      <c r="AB39" s="396">
        <v>9.1199999999999992</v>
      </c>
      <c r="AC39" s="233"/>
      <c r="AD39" s="233">
        <f t="shared" si="5"/>
        <v>1202.5607467199998</v>
      </c>
      <c r="AE39" s="211"/>
      <c r="AF39" s="384"/>
      <c r="AG39" s="394">
        <v>78.900000000000006</v>
      </c>
      <c r="AH39" s="233"/>
      <c r="AI39" s="233">
        <f t="shared" si="6"/>
        <v>10403.732775900002</v>
      </c>
      <c r="AJ39" s="211"/>
      <c r="AK39" s="384"/>
      <c r="AL39" s="394">
        <v>56.94</v>
      </c>
      <c r="AM39" s="233"/>
      <c r="AN39" s="233">
        <f t="shared" si="7"/>
        <v>7508.0930831399992</v>
      </c>
      <c r="AO39" s="211"/>
      <c r="AP39" s="390"/>
      <c r="AQ39" s="138">
        <v>16.53</v>
      </c>
      <c r="AR39" s="233"/>
      <c r="AS39" s="233">
        <f t="shared" si="8"/>
        <v>2179.6413534300004</v>
      </c>
      <c r="AT39" s="211"/>
      <c r="AU39" s="384"/>
      <c r="AV39" s="269">
        <v>127.53</v>
      </c>
      <c r="AW39" s="233"/>
      <c r="AX39" s="233">
        <f t="shared" si="9"/>
        <v>16816.071494430002</v>
      </c>
      <c r="AY39" s="211"/>
      <c r="AZ39" s="384"/>
      <c r="BA39" s="269">
        <v>0.99</v>
      </c>
      <c r="BB39" s="233"/>
      <c r="BC39" s="233">
        <f t="shared" si="10"/>
        <v>130.54113369000001</v>
      </c>
      <c r="BD39" s="211"/>
      <c r="BE39" s="384"/>
      <c r="BF39" s="211"/>
      <c r="BG39" s="392">
        <v>131859731</v>
      </c>
    </row>
    <row r="40" spans="1:59" ht="12.75">
      <c r="A40" s="381" t="s">
        <v>205</v>
      </c>
      <c r="B40" s="382"/>
      <c r="C40" s="383">
        <v>7.23</v>
      </c>
      <c r="D40" s="233"/>
      <c r="E40" s="233">
        <f t="shared" si="0"/>
        <v>62.526833040000007</v>
      </c>
      <c r="F40" s="211"/>
      <c r="G40" s="384"/>
      <c r="H40" s="385">
        <v>0.39</v>
      </c>
      <c r="I40" s="233"/>
      <c r="J40" s="233">
        <f t="shared" si="1"/>
        <v>3.3728167200000003</v>
      </c>
      <c r="K40" s="211"/>
      <c r="L40" s="384"/>
      <c r="M40" s="269">
        <v>2.66</v>
      </c>
      <c r="N40" s="233"/>
      <c r="O40" s="233">
        <f t="shared" si="2"/>
        <v>23.004339680000001</v>
      </c>
      <c r="P40" s="211"/>
      <c r="Q40" s="384"/>
      <c r="R40" s="269">
        <v>1.28</v>
      </c>
      <c r="S40" s="233"/>
      <c r="T40" s="233">
        <f t="shared" si="3"/>
        <v>11.06975744</v>
      </c>
      <c r="U40" s="211"/>
      <c r="V40" s="384"/>
      <c r="W40" s="269">
        <v>290.13</v>
      </c>
      <c r="X40" s="233"/>
      <c r="Y40" s="233">
        <f t="shared" si="4"/>
        <v>2509.1161922399997</v>
      </c>
      <c r="Z40" s="211"/>
      <c r="AA40" s="384"/>
      <c r="AB40" s="396">
        <v>7.66</v>
      </c>
      <c r="AC40" s="233"/>
      <c r="AD40" s="233">
        <f t="shared" si="5"/>
        <v>66.245579680000006</v>
      </c>
      <c r="AE40" s="211"/>
      <c r="AF40" s="384"/>
      <c r="AG40" s="388">
        <v>39.46</v>
      </c>
      <c r="AH40" s="233"/>
      <c r="AI40" s="233">
        <f t="shared" si="6"/>
        <v>341.25986607999999</v>
      </c>
      <c r="AJ40" s="211"/>
      <c r="AK40" s="384"/>
      <c r="AL40" s="388">
        <v>312.48</v>
      </c>
      <c r="AM40" s="233"/>
      <c r="AN40" s="233">
        <f t="shared" si="7"/>
        <v>2702.4045350400002</v>
      </c>
      <c r="AO40" s="211"/>
      <c r="AP40" s="390"/>
      <c r="AQ40" s="138">
        <v>42.58</v>
      </c>
      <c r="AR40" s="233"/>
      <c r="AS40" s="233">
        <f t="shared" si="8"/>
        <v>368.24239983999996</v>
      </c>
      <c r="AT40" s="211"/>
      <c r="AU40" s="384"/>
      <c r="AV40" s="269">
        <v>46.45</v>
      </c>
      <c r="AW40" s="233"/>
      <c r="AX40" s="233">
        <f t="shared" si="9"/>
        <v>401.71111960000002</v>
      </c>
      <c r="AY40" s="211"/>
      <c r="AZ40" s="384"/>
      <c r="BA40" s="269">
        <v>0</v>
      </c>
      <c r="BB40" s="233"/>
      <c r="BC40" s="233">
        <f t="shared" si="10"/>
        <v>0</v>
      </c>
      <c r="BD40" s="211"/>
      <c r="BE40" s="384"/>
      <c r="BF40" s="211"/>
      <c r="BG40" s="392">
        <v>8648248</v>
      </c>
    </row>
    <row r="41" spans="1:59" ht="12.75">
      <c r="A41" s="401" t="s">
        <v>206</v>
      </c>
      <c r="B41" s="382"/>
      <c r="C41" s="383">
        <v>22.58</v>
      </c>
      <c r="D41" s="233"/>
      <c r="E41" s="233">
        <f t="shared" si="0"/>
        <v>4.36726554</v>
      </c>
      <c r="F41" s="211"/>
      <c r="G41" s="384"/>
      <c r="H41" s="393">
        <v>0.69</v>
      </c>
      <c r="I41" s="233"/>
      <c r="J41" s="233">
        <f t="shared" si="1"/>
        <v>0.13345497000000001</v>
      </c>
      <c r="K41" s="211"/>
      <c r="L41" s="384"/>
      <c r="M41" s="269">
        <v>1.23</v>
      </c>
      <c r="N41" s="233"/>
      <c r="O41" s="233">
        <f t="shared" si="2"/>
        <v>0.23789799</v>
      </c>
      <c r="P41" s="211"/>
      <c r="Q41" s="384"/>
      <c r="R41" s="269">
        <v>9.66</v>
      </c>
      <c r="S41" s="233"/>
      <c r="T41" s="233">
        <f t="shared" si="3"/>
        <v>1.86836958</v>
      </c>
      <c r="U41" s="211"/>
      <c r="V41" s="384"/>
      <c r="W41" s="269">
        <v>47.23</v>
      </c>
      <c r="X41" s="233"/>
      <c r="Y41" s="233">
        <f t="shared" si="4"/>
        <v>9.1348959900000004</v>
      </c>
      <c r="Z41" s="211"/>
      <c r="AA41" s="384"/>
      <c r="AB41" s="396">
        <v>28.03</v>
      </c>
      <c r="AC41" s="233"/>
      <c r="AD41" s="233">
        <f t="shared" si="5"/>
        <v>5.4213663900000002</v>
      </c>
      <c r="AE41" s="211"/>
      <c r="AF41" s="384"/>
      <c r="AG41" s="394">
        <v>10.53</v>
      </c>
      <c r="AH41" s="233"/>
      <c r="AI41" s="233">
        <f t="shared" si="6"/>
        <v>2.0366388899999999</v>
      </c>
      <c r="AJ41" s="211"/>
      <c r="AK41" s="384"/>
      <c r="AL41" s="394">
        <v>222.3</v>
      </c>
      <c r="AM41" s="233"/>
      <c r="AN41" s="233">
        <f t="shared" si="7"/>
        <v>42.995709900000001</v>
      </c>
      <c r="AO41" s="211"/>
      <c r="AP41" s="390"/>
      <c r="AQ41" s="138">
        <v>4.25</v>
      </c>
      <c r="AR41" s="233"/>
      <c r="AS41" s="233">
        <f t="shared" si="8"/>
        <v>0.82200525000000002</v>
      </c>
      <c r="AT41" s="211"/>
      <c r="AU41" s="384"/>
      <c r="AV41" s="269">
        <v>96.75</v>
      </c>
      <c r="AW41" s="233"/>
      <c r="AX41" s="233">
        <f t="shared" si="9"/>
        <v>18.71270775</v>
      </c>
      <c r="AY41" s="211"/>
      <c r="AZ41" s="384"/>
      <c r="BA41" s="269">
        <v>0.01</v>
      </c>
      <c r="BB41" s="233"/>
      <c r="BC41" s="233">
        <f t="shared" si="10"/>
        <v>1.9341300000000001E-3</v>
      </c>
      <c r="BD41" s="211"/>
      <c r="BE41" s="384"/>
      <c r="BF41" s="211"/>
      <c r="BG41" s="392">
        <v>193413</v>
      </c>
    </row>
    <row r="42" spans="1:59" ht="12.75">
      <c r="A42" s="381" t="s">
        <v>207</v>
      </c>
      <c r="B42" s="382"/>
      <c r="C42" s="383">
        <v>16.86</v>
      </c>
      <c r="D42" s="233"/>
      <c r="E42" s="233">
        <f t="shared" si="0"/>
        <v>202.10286006000001</v>
      </c>
      <c r="F42" s="211"/>
      <c r="G42" s="384"/>
      <c r="H42" s="393">
        <v>1.65</v>
      </c>
      <c r="I42" s="233"/>
      <c r="J42" s="233">
        <f t="shared" si="1"/>
        <v>19.778749649999998</v>
      </c>
      <c r="K42" s="211"/>
      <c r="L42" s="384"/>
      <c r="M42" s="269">
        <v>5.85</v>
      </c>
      <c r="N42" s="233"/>
      <c r="O42" s="233">
        <f t="shared" si="2"/>
        <v>70.124657849999991</v>
      </c>
      <c r="P42" s="211"/>
      <c r="Q42" s="384"/>
      <c r="R42" s="269">
        <v>4.46</v>
      </c>
      <c r="S42" s="233"/>
      <c r="T42" s="233">
        <f t="shared" si="3"/>
        <v>53.462559659999997</v>
      </c>
      <c r="U42" s="211"/>
      <c r="V42" s="384"/>
      <c r="W42" s="269">
        <v>29.01</v>
      </c>
      <c r="X42" s="233"/>
      <c r="Y42" s="233">
        <f t="shared" si="4"/>
        <v>347.74638021000004</v>
      </c>
      <c r="Z42" s="211"/>
      <c r="AA42" s="384"/>
      <c r="AB42" s="396">
        <v>18.09</v>
      </c>
      <c r="AC42" s="233"/>
      <c r="AD42" s="233">
        <f t="shared" si="5"/>
        <v>216.84701888999999</v>
      </c>
      <c r="AE42" s="211"/>
      <c r="AF42" s="384"/>
      <c r="AG42" s="394">
        <v>69.37</v>
      </c>
      <c r="AH42" s="233"/>
      <c r="AI42" s="233">
        <f t="shared" si="6"/>
        <v>831.5465837700001</v>
      </c>
      <c r="AJ42" s="211"/>
      <c r="AK42" s="384"/>
      <c r="AL42" s="394">
        <v>21.65</v>
      </c>
      <c r="AM42" s="233"/>
      <c r="AN42" s="233">
        <f t="shared" si="7"/>
        <v>259.52116964999999</v>
      </c>
      <c r="AO42" s="211"/>
      <c r="AP42" s="390"/>
      <c r="AQ42" s="138">
        <v>9.2100000000000009</v>
      </c>
      <c r="AR42" s="233"/>
      <c r="AS42" s="233">
        <f t="shared" si="8"/>
        <v>110.40138441000001</v>
      </c>
      <c r="AT42" s="211"/>
      <c r="AU42" s="384"/>
      <c r="AV42" s="269">
        <v>204.24</v>
      </c>
      <c r="AW42" s="233"/>
      <c r="AX42" s="233">
        <f t="shared" si="9"/>
        <v>2448.24959304</v>
      </c>
      <c r="AY42" s="211"/>
      <c r="AZ42" s="384"/>
      <c r="BA42" s="269">
        <v>0.49</v>
      </c>
      <c r="BB42" s="233"/>
      <c r="BC42" s="233">
        <f t="shared" si="10"/>
        <v>5.8736892899999997</v>
      </c>
      <c r="BD42" s="211"/>
      <c r="BE42" s="384"/>
      <c r="BF42" s="211"/>
      <c r="BG42" s="392">
        <v>11987121</v>
      </c>
    </row>
    <row r="43" spans="1:59" ht="12.75">
      <c r="A43" s="381" t="s">
        <v>208</v>
      </c>
      <c r="B43" s="382"/>
      <c r="C43" s="383">
        <v>7</v>
      </c>
      <c r="D43" s="233"/>
      <c r="E43" s="233">
        <f t="shared" si="0"/>
        <v>42.036749999999998</v>
      </c>
      <c r="F43" s="211"/>
      <c r="G43" s="384"/>
      <c r="H43" s="407">
        <v>1.41</v>
      </c>
      <c r="I43" s="233"/>
      <c r="J43" s="233">
        <f t="shared" si="1"/>
        <v>8.4674025000000004</v>
      </c>
      <c r="K43" s="211"/>
      <c r="L43" s="384"/>
      <c r="M43" s="269">
        <v>1.46</v>
      </c>
      <c r="N43" s="233"/>
      <c r="O43" s="233">
        <f t="shared" si="2"/>
        <v>8.7676649999999992</v>
      </c>
      <c r="P43" s="211"/>
      <c r="Q43" s="384"/>
      <c r="R43" s="386">
        <v>4.1399999999999997</v>
      </c>
      <c r="S43" s="233"/>
      <c r="T43" s="233">
        <f t="shared" si="3"/>
        <v>24.861734999999996</v>
      </c>
      <c r="U43" s="211"/>
      <c r="V43" s="384"/>
      <c r="W43" s="269">
        <v>201.67</v>
      </c>
      <c r="X43" s="233"/>
      <c r="Y43" s="233">
        <f t="shared" si="4"/>
        <v>1211.0787674999999</v>
      </c>
      <c r="Z43" s="211"/>
      <c r="AA43" s="384"/>
      <c r="AB43" s="396">
        <v>26.3</v>
      </c>
      <c r="AC43" s="233"/>
      <c r="AD43" s="233">
        <f t="shared" si="5"/>
        <v>157.938075</v>
      </c>
      <c r="AE43" s="211"/>
      <c r="AF43" s="384"/>
      <c r="AG43" s="388">
        <v>47.81</v>
      </c>
      <c r="AH43" s="233"/>
      <c r="AI43" s="233">
        <f t="shared" si="6"/>
        <v>287.11100249999998</v>
      </c>
      <c r="AJ43" s="211"/>
      <c r="AK43" s="384"/>
      <c r="AL43" s="138">
        <v>37.92</v>
      </c>
      <c r="AM43" s="233"/>
      <c r="AN43" s="233">
        <f t="shared" si="7"/>
        <v>227.71907999999999</v>
      </c>
      <c r="AO43" s="211"/>
      <c r="AP43" s="390"/>
      <c r="AQ43" s="138">
        <v>12.86</v>
      </c>
      <c r="AR43" s="233"/>
      <c r="AS43" s="233">
        <f t="shared" si="8"/>
        <v>77.227514999999997</v>
      </c>
      <c r="AT43" s="211"/>
      <c r="AU43" s="384"/>
      <c r="AV43" s="269">
        <v>179.02</v>
      </c>
      <c r="AW43" s="233"/>
      <c r="AX43" s="233">
        <f t="shared" si="9"/>
        <v>1075.059855</v>
      </c>
      <c r="AY43" s="211"/>
      <c r="AZ43" s="384"/>
      <c r="BA43" s="269">
        <v>1.01</v>
      </c>
      <c r="BB43" s="233"/>
      <c r="BC43" s="233">
        <f t="shared" si="10"/>
        <v>6.0653024999999996</v>
      </c>
      <c r="BD43" s="211"/>
      <c r="BE43" s="384"/>
      <c r="BF43" s="211"/>
      <c r="BG43" s="392">
        <v>6005250</v>
      </c>
    </row>
    <row r="44" spans="1:59" ht="12.75">
      <c r="A44" s="381" t="s">
        <v>209</v>
      </c>
      <c r="B44" s="397"/>
      <c r="C44" s="398"/>
      <c r="D44" s="233"/>
      <c r="E44" s="233">
        <f t="shared" si="0"/>
        <v>0</v>
      </c>
      <c r="F44" s="211"/>
      <c r="G44" s="384"/>
      <c r="H44" s="399"/>
      <c r="I44" s="233"/>
      <c r="J44" s="233">
        <f t="shared" si="1"/>
        <v>0</v>
      </c>
      <c r="K44" s="211"/>
      <c r="L44" s="384"/>
      <c r="M44" s="400"/>
      <c r="N44" s="233"/>
      <c r="O44" s="233">
        <f t="shared" si="2"/>
        <v>0</v>
      </c>
      <c r="P44" s="211"/>
      <c r="Q44" s="384"/>
      <c r="R44" s="211"/>
      <c r="S44" s="233"/>
      <c r="T44" s="233">
        <f t="shared" si="3"/>
        <v>0</v>
      </c>
      <c r="U44" s="211"/>
      <c r="V44" s="384"/>
      <c r="W44" s="269">
        <v>0</v>
      </c>
      <c r="X44" s="233"/>
      <c r="Y44" s="233">
        <f t="shared" si="4"/>
        <v>0</v>
      </c>
      <c r="Z44" s="211"/>
      <c r="AA44" s="384"/>
      <c r="AB44" s="396">
        <v>0</v>
      </c>
      <c r="AC44" s="233"/>
      <c r="AD44" s="233">
        <f t="shared" si="5"/>
        <v>0</v>
      </c>
      <c r="AE44" s="211"/>
      <c r="AF44" s="384"/>
      <c r="AG44" s="146"/>
      <c r="AH44" s="233"/>
      <c r="AI44" s="233">
        <f t="shared" si="6"/>
        <v>0</v>
      </c>
      <c r="AJ44" s="211"/>
      <c r="AK44" s="384"/>
      <c r="AL44" s="138">
        <v>0</v>
      </c>
      <c r="AM44" s="233"/>
      <c r="AN44" s="233">
        <f t="shared" si="7"/>
        <v>0</v>
      </c>
      <c r="AO44" s="211"/>
      <c r="AP44" s="390"/>
      <c r="AQ44" s="138">
        <v>0</v>
      </c>
      <c r="AR44" s="233"/>
      <c r="AS44" s="233">
        <f t="shared" si="8"/>
        <v>0</v>
      </c>
      <c r="AT44" s="211"/>
      <c r="AU44" s="384"/>
      <c r="AV44" s="269">
        <v>0</v>
      </c>
      <c r="AW44" s="233"/>
      <c r="AX44" s="233">
        <f t="shared" si="9"/>
        <v>0</v>
      </c>
      <c r="AY44" s="211"/>
      <c r="AZ44" s="384"/>
      <c r="BA44" s="269">
        <v>0</v>
      </c>
      <c r="BB44" s="233"/>
      <c r="BC44" s="233">
        <f t="shared" si="10"/>
        <v>0</v>
      </c>
      <c r="BD44" s="211"/>
      <c r="BE44" s="384"/>
      <c r="BF44" s="211"/>
      <c r="BG44" s="392">
        <v>8863338</v>
      </c>
    </row>
    <row r="45" spans="1:59" ht="12.75">
      <c r="A45" s="381" t="s">
        <v>210</v>
      </c>
      <c r="B45" s="382"/>
      <c r="C45" s="383">
        <v>55.75</v>
      </c>
      <c r="D45" s="233"/>
      <c r="E45" s="233">
        <f t="shared" si="0"/>
        <v>2463.46076275</v>
      </c>
      <c r="F45" s="211"/>
      <c r="G45" s="384"/>
      <c r="H45" s="408">
        <v>6.61</v>
      </c>
      <c r="I45" s="233"/>
      <c r="J45" s="233">
        <f t="shared" si="1"/>
        <v>292.08028057000001</v>
      </c>
      <c r="K45" s="211"/>
      <c r="L45" s="384"/>
      <c r="M45" s="269">
        <v>16.73</v>
      </c>
      <c r="N45" s="233"/>
      <c r="O45" s="233">
        <f t="shared" si="2"/>
        <v>739.25916700999994</v>
      </c>
      <c r="P45" s="211"/>
      <c r="Q45" s="384"/>
      <c r="R45" s="386">
        <v>38.57</v>
      </c>
      <c r="S45" s="233"/>
      <c r="T45" s="233">
        <f t="shared" si="3"/>
        <v>1704.3171590899999</v>
      </c>
      <c r="U45" s="211"/>
      <c r="V45" s="384"/>
      <c r="W45" s="269">
        <v>32.43</v>
      </c>
      <c r="X45" s="233"/>
      <c r="Y45" s="233">
        <f t="shared" si="4"/>
        <v>1433.00506791</v>
      </c>
      <c r="Z45" s="211"/>
      <c r="AA45" s="384"/>
      <c r="AB45" s="396">
        <v>5.97</v>
      </c>
      <c r="AC45" s="233"/>
      <c r="AD45" s="233">
        <f t="shared" si="5"/>
        <v>263.80019289000001</v>
      </c>
      <c r="AE45" s="211"/>
      <c r="AF45" s="384"/>
      <c r="AG45" s="394">
        <v>41.28</v>
      </c>
      <c r="AH45" s="233"/>
      <c r="AI45" s="233">
        <f t="shared" si="6"/>
        <v>1824.0656553600002</v>
      </c>
      <c r="AJ45" s="211"/>
      <c r="AK45" s="384"/>
      <c r="AL45" s="138">
        <v>38</v>
      </c>
      <c r="AM45" s="233"/>
      <c r="AN45" s="233">
        <f t="shared" si="7"/>
        <v>1679.130206</v>
      </c>
      <c r="AO45" s="211"/>
      <c r="AP45" s="390"/>
      <c r="AQ45" s="138">
        <v>5.13</v>
      </c>
      <c r="AR45" s="233"/>
      <c r="AS45" s="233">
        <f t="shared" si="8"/>
        <v>226.68257781</v>
      </c>
      <c r="AT45" s="211"/>
      <c r="AU45" s="384"/>
      <c r="AV45" s="269">
        <v>180.46</v>
      </c>
      <c r="AW45" s="233"/>
      <c r="AX45" s="233">
        <f t="shared" si="9"/>
        <v>7974.1009730200003</v>
      </c>
      <c r="AY45" s="211"/>
      <c r="AZ45" s="384"/>
      <c r="BA45" s="269">
        <v>0.14000000000000001</v>
      </c>
      <c r="BB45" s="233"/>
      <c r="BC45" s="233">
        <f t="shared" si="10"/>
        <v>6.1862691800000009</v>
      </c>
      <c r="BD45" s="211"/>
      <c r="BE45" s="384"/>
      <c r="BF45" s="211"/>
      <c r="BG45" s="392">
        <v>44187637</v>
      </c>
    </row>
    <row r="46" spans="1:59" ht="12.75">
      <c r="A46" s="409" t="s">
        <v>211</v>
      </c>
      <c r="B46" s="397"/>
      <c r="C46" s="398">
        <v>56.6</v>
      </c>
      <c r="D46" s="233"/>
      <c r="E46" s="233">
        <f t="shared" si="0"/>
        <v>64.976799999999997</v>
      </c>
      <c r="F46" s="211"/>
      <c r="G46" s="384"/>
      <c r="H46" s="399">
        <v>1.68</v>
      </c>
      <c r="I46" s="233"/>
      <c r="J46" s="233">
        <f t="shared" si="1"/>
        <v>1.9286399999999999</v>
      </c>
      <c r="K46" s="211"/>
      <c r="L46" s="384"/>
      <c r="M46" s="269">
        <v>19.72</v>
      </c>
      <c r="N46" s="233"/>
      <c r="O46" s="233">
        <f t="shared" si="2"/>
        <v>22.638559999999998</v>
      </c>
      <c r="P46" s="211"/>
      <c r="Q46" s="384"/>
      <c r="R46" s="269">
        <v>6.9</v>
      </c>
      <c r="S46" s="233"/>
      <c r="T46" s="233">
        <f t="shared" si="3"/>
        <v>7.9211999999999998</v>
      </c>
      <c r="U46" s="211"/>
      <c r="V46" s="384"/>
      <c r="W46" s="269">
        <v>66.62</v>
      </c>
      <c r="X46" s="233"/>
      <c r="Y46" s="233">
        <f t="shared" si="4"/>
        <v>76.479759999999999</v>
      </c>
      <c r="Z46" s="211"/>
      <c r="AA46" s="384"/>
      <c r="AB46" s="396">
        <v>3.88</v>
      </c>
      <c r="AC46" s="233"/>
      <c r="AD46" s="233">
        <f t="shared" si="5"/>
        <v>4.4542400000000004</v>
      </c>
      <c r="AE46" s="211"/>
      <c r="AF46" s="384"/>
      <c r="AG46" s="138">
        <v>27.37</v>
      </c>
      <c r="AH46" s="233"/>
      <c r="AI46" s="233">
        <f t="shared" si="6"/>
        <v>31.420760000000001</v>
      </c>
      <c r="AJ46" s="211"/>
      <c r="AK46" s="384"/>
      <c r="AL46" s="138">
        <v>88.22</v>
      </c>
      <c r="AM46" s="233"/>
      <c r="AN46" s="233">
        <f t="shared" si="7"/>
        <v>101.27656</v>
      </c>
      <c r="AO46" s="211"/>
      <c r="AP46" s="390"/>
      <c r="AQ46" s="138">
        <v>6.72</v>
      </c>
      <c r="AR46" s="233"/>
      <c r="AS46" s="233">
        <f t="shared" si="8"/>
        <v>7.7145599999999996</v>
      </c>
      <c r="AT46" s="211"/>
      <c r="AU46" s="384"/>
      <c r="AV46" s="269">
        <v>154.80000000000001</v>
      </c>
      <c r="AW46" s="233"/>
      <c r="AX46" s="233">
        <f t="shared" si="9"/>
        <v>177.71039999999999</v>
      </c>
      <c r="AY46" s="211"/>
      <c r="AZ46" s="384"/>
      <c r="BA46" s="269">
        <v>1.1100000000000001</v>
      </c>
      <c r="BB46" s="233"/>
      <c r="BC46" s="233">
        <f t="shared" si="10"/>
        <v>1.2742800000000001</v>
      </c>
      <c r="BD46" s="211"/>
      <c r="BE46" s="384"/>
      <c r="BF46" s="211"/>
      <c r="BG46" s="410">
        <v>1148000</v>
      </c>
    </row>
    <row r="47" spans="1:59" ht="12.75">
      <c r="A47" s="381" t="s">
        <v>212</v>
      </c>
      <c r="B47" s="382"/>
      <c r="C47" s="383">
        <v>40.29</v>
      </c>
      <c r="D47" s="233"/>
      <c r="E47" s="233">
        <f t="shared" si="0"/>
        <v>1508.6748436800001</v>
      </c>
      <c r="F47" s="211"/>
      <c r="G47" s="384"/>
      <c r="H47" s="393">
        <v>0.35</v>
      </c>
      <c r="I47" s="233"/>
      <c r="J47" s="233">
        <f t="shared" si="1"/>
        <v>13.1058872</v>
      </c>
      <c r="K47" s="211"/>
      <c r="L47" s="384"/>
      <c r="M47" s="400"/>
      <c r="N47" s="233"/>
      <c r="O47" s="233">
        <f t="shared" si="2"/>
        <v>0</v>
      </c>
      <c r="P47" s="211"/>
      <c r="Q47" s="384"/>
      <c r="R47" s="211"/>
      <c r="S47" s="233"/>
      <c r="T47" s="233">
        <f t="shared" si="3"/>
        <v>0</v>
      </c>
      <c r="U47" s="211"/>
      <c r="V47" s="384"/>
      <c r="W47" s="269">
        <v>0</v>
      </c>
      <c r="X47" s="233"/>
      <c r="Y47" s="233">
        <f t="shared" si="4"/>
        <v>0</v>
      </c>
      <c r="Z47" s="211"/>
      <c r="AA47" s="384"/>
      <c r="AB47" s="396">
        <v>6.8</v>
      </c>
      <c r="AC47" s="233"/>
      <c r="AD47" s="233">
        <f t="shared" si="5"/>
        <v>254.62866560000001</v>
      </c>
      <c r="AE47" s="211"/>
      <c r="AF47" s="384"/>
      <c r="AG47" s="394">
        <v>46.11</v>
      </c>
      <c r="AH47" s="233"/>
      <c r="AI47" s="233">
        <f t="shared" si="6"/>
        <v>1726.6070251199999</v>
      </c>
      <c r="AJ47" s="211"/>
      <c r="AK47" s="384"/>
      <c r="AL47" s="394">
        <v>77.38</v>
      </c>
      <c r="AM47" s="233"/>
      <c r="AN47" s="233">
        <f t="shared" si="7"/>
        <v>2897.52443296</v>
      </c>
      <c r="AO47" s="211"/>
      <c r="AP47" s="390"/>
      <c r="AQ47" s="138">
        <v>0</v>
      </c>
      <c r="AR47" s="233"/>
      <c r="AS47" s="233">
        <f t="shared" si="8"/>
        <v>0</v>
      </c>
      <c r="AT47" s="211"/>
      <c r="AU47" s="384"/>
      <c r="AV47" s="269">
        <v>0</v>
      </c>
      <c r="AW47" s="233"/>
      <c r="AX47" s="233">
        <f t="shared" si="9"/>
        <v>0</v>
      </c>
      <c r="AY47" s="211"/>
      <c r="AZ47" s="384"/>
      <c r="BA47" s="269">
        <v>0</v>
      </c>
      <c r="BB47" s="233"/>
      <c r="BC47" s="233">
        <f t="shared" si="10"/>
        <v>0</v>
      </c>
      <c r="BD47" s="211"/>
      <c r="BE47" s="384"/>
      <c r="BF47" s="211"/>
      <c r="BG47" s="392">
        <v>37445392</v>
      </c>
    </row>
    <row r="48" spans="1:59" ht="12.75">
      <c r="A48" s="381" t="s">
        <v>213</v>
      </c>
      <c r="B48" s="382"/>
      <c r="C48" s="383">
        <v>7.96</v>
      </c>
      <c r="D48" s="233"/>
      <c r="E48" s="233">
        <f t="shared" si="0"/>
        <v>44.16766792</v>
      </c>
      <c r="F48" s="211"/>
      <c r="G48" s="384"/>
      <c r="H48" s="385">
        <v>0.95</v>
      </c>
      <c r="I48" s="233"/>
      <c r="J48" s="233">
        <f t="shared" si="1"/>
        <v>5.2712668999999996</v>
      </c>
      <c r="K48" s="211"/>
      <c r="L48" s="384"/>
      <c r="M48" s="269">
        <v>1.42</v>
      </c>
      <c r="N48" s="233"/>
      <c r="O48" s="233">
        <f t="shared" si="2"/>
        <v>7.8791568400000003</v>
      </c>
      <c r="P48" s="211"/>
      <c r="Q48" s="384"/>
      <c r="R48" s="386">
        <v>7.25</v>
      </c>
      <c r="S48" s="233"/>
      <c r="T48" s="233">
        <f t="shared" si="3"/>
        <v>40.228089500000003</v>
      </c>
      <c r="U48" s="211"/>
      <c r="V48" s="384"/>
      <c r="W48" s="269">
        <v>188.44</v>
      </c>
      <c r="X48" s="233"/>
      <c r="Y48" s="233">
        <f t="shared" si="4"/>
        <v>1045.5974048799999</v>
      </c>
      <c r="Z48" s="211"/>
      <c r="AA48" s="384"/>
      <c r="AB48" s="396">
        <v>11.73</v>
      </c>
      <c r="AC48" s="233"/>
      <c r="AD48" s="233">
        <f t="shared" si="5"/>
        <v>65.086274459999998</v>
      </c>
      <c r="AE48" s="211"/>
      <c r="AF48" s="384"/>
      <c r="AG48" s="388">
        <v>19.260000000000002</v>
      </c>
      <c r="AH48" s="233"/>
      <c r="AI48" s="233">
        <f t="shared" si="6"/>
        <v>106.86800052000001</v>
      </c>
      <c r="AJ48" s="211"/>
      <c r="AK48" s="384"/>
      <c r="AL48" s="388">
        <v>9.5500000000000007</v>
      </c>
      <c r="AM48" s="233"/>
      <c r="AN48" s="233">
        <f t="shared" si="7"/>
        <v>52.990104100000003</v>
      </c>
      <c r="AO48" s="211"/>
      <c r="AP48" s="390"/>
      <c r="AQ48" s="138">
        <v>18.22</v>
      </c>
      <c r="AR48" s="233"/>
      <c r="AS48" s="233">
        <f t="shared" si="8"/>
        <v>101.09735044</v>
      </c>
      <c r="AT48" s="211"/>
      <c r="AU48" s="384"/>
      <c r="AV48" s="269">
        <v>144.09</v>
      </c>
      <c r="AW48" s="233"/>
      <c r="AX48" s="233">
        <f t="shared" si="9"/>
        <v>799.51247118000003</v>
      </c>
      <c r="AY48" s="211"/>
      <c r="AZ48" s="384"/>
      <c r="BA48" s="269">
        <v>0.05</v>
      </c>
      <c r="BB48" s="233"/>
      <c r="BC48" s="233">
        <f t="shared" si="10"/>
        <v>0.27743510000000005</v>
      </c>
      <c r="BD48" s="211"/>
      <c r="BE48" s="384"/>
      <c r="BF48" s="211"/>
      <c r="BG48" s="392">
        <v>5548702</v>
      </c>
    </row>
    <row r="49" spans="1:59" ht="12.75">
      <c r="A49" s="381" t="s">
        <v>214</v>
      </c>
      <c r="B49" s="382"/>
      <c r="C49" s="383">
        <v>37.270000000000003</v>
      </c>
      <c r="D49" s="233"/>
      <c r="E49" s="233">
        <f t="shared" si="0"/>
        <v>1050.8557515800001</v>
      </c>
      <c r="F49" s="211"/>
      <c r="G49" s="384"/>
      <c r="H49" s="385">
        <v>0.88</v>
      </c>
      <c r="I49" s="233"/>
      <c r="J49" s="233">
        <f t="shared" si="1"/>
        <v>24.812263519999998</v>
      </c>
      <c r="K49" s="211"/>
      <c r="L49" s="384"/>
      <c r="M49" s="269">
        <v>6.08</v>
      </c>
      <c r="N49" s="233"/>
      <c r="O49" s="233">
        <f t="shared" si="2"/>
        <v>171.43018432</v>
      </c>
      <c r="P49" s="211"/>
      <c r="Q49" s="384"/>
      <c r="R49" s="269">
        <v>1.61</v>
      </c>
      <c r="S49" s="233"/>
      <c r="T49" s="233">
        <f t="shared" si="3"/>
        <v>45.395163940000003</v>
      </c>
      <c r="U49" s="211"/>
      <c r="V49" s="384"/>
      <c r="W49" s="269">
        <v>50.05</v>
      </c>
      <c r="X49" s="233"/>
      <c r="Y49" s="233">
        <f t="shared" si="4"/>
        <v>1411.1974876999998</v>
      </c>
      <c r="Z49" s="211"/>
      <c r="AA49" s="384"/>
      <c r="AB49" s="396">
        <v>11.27</v>
      </c>
      <c r="AC49" s="233"/>
      <c r="AD49" s="233">
        <f t="shared" si="5"/>
        <v>317.76614757999999</v>
      </c>
      <c r="AE49" s="211"/>
      <c r="AF49" s="384"/>
      <c r="AG49" s="388">
        <v>28.82</v>
      </c>
      <c r="AH49" s="233"/>
      <c r="AI49" s="233">
        <f t="shared" si="6"/>
        <v>812.60163027999999</v>
      </c>
      <c r="AJ49" s="211"/>
      <c r="AK49" s="384"/>
      <c r="AL49" s="388">
        <v>117.77</v>
      </c>
      <c r="AM49" s="233"/>
      <c r="AN49" s="233">
        <f t="shared" si="7"/>
        <v>3320.6139485799999</v>
      </c>
      <c r="AO49" s="211"/>
      <c r="AP49" s="390"/>
      <c r="AQ49" s="138">
        <v>20.58</v>
      </c>
      <c r="AR49" s="233"/>
      <c r="AS49" s="233">
        <f t="shared" si="8"/>
        <v>580.26861731999998</v>
      </c>
      <c r="AT49" s="211"/>
      <c r="AU49" s="384"/>
      <c r="AV49" s="269">
        <v>67.66</v>
      </c>
      <c r="AW49" s="233"/>
      <c r="AX49" s="233">
        <f t="shared" si="9"/>
        <v>1907.7247156399999</v>
      </c>
      <c r="AY49" s="211"/>
      <c r="AZ49" s="384"/>
      <c r="BA49" s="269">
        <v>0</v>
      </c>
      <c r="BB49" s="233"/>
      <c r="BC49" s="233">
        <f t="shared" si="10"/>
        <v>0</v>
      </c>
      <c r="BD49" s="211"/>
      <c r="BE49" s="384"/>
      <c r="BF49" s="211"/>
      <c r="BG49" s="406">
        <v>28195754</v>
      </c>
    </row>
    <row r="50" spans="1:59" ht="12.75">
      <c r="A50" s="381" t="s">
        <v>215</v>
      </c>
      <c r="B50" s="402"/>
      <c r="C50" s="403">
        <v>9.7100000000000009</v>
      </c>
      <c r="D50" s="233"/>
      <c r="E50" s="233">
        <f t="shared" si="0"/>
        <v>111.68451710000001</v>
      </c>
      <c r="F50" s="211"/>
      <c r="G50" s="384"/>
      <c r="H50" s="393">
        <v>2.42</v>
      </c>
      <c r="I50" s="233"/>
      <c r="J50" s="233">
        <f t="shared" si="1"/>
        <v>27.834864199999998</v>
      </c>
      <c r="K50" s="211"/>
      <c r="L50" s="384"/>
      <c r="M50" s="269">
        <v>10.78</v>
      </c>
      <c r="N50" s="233"/>
      <c r="O50" s="233">
        <f t="shared" si="2"/>
        <v>123.9916678</v>
      </c>
      <c r="P50" s="211"/>
      <c r="Q50" s="384"/>
      <c r="R50" s="386">
        <v>3.32</v>
      </c>
      <c r="S50" s="233"/>
      <c r="T50" s="233">
        <f t="shared" si="3"/>
        <v>38.186673199999994</v>
      </c>
      <c r="U50" s="211"/>
      <c r="V50" s="384"/>
      <c r="W50" s="269">
        <v>69.63</v>
      </c>
      <c r="X50" s="233"/>
      <c r="Y50" s="233">
        <f t="shared" si="4"/>
        <v>800.8849563</v>
      </c>
      <c r="Z50" s="211"/>
      <c r="AA50" s="384"/>
      <c r="AB50" s="396">
        <v>12.05</v>
      </c>
      <c r="AC50" s="233"/>
      <c r="AD50" s="233">
        <f t="shared" si="5"/>
        <v>138.5992205</v>
      </c>
      <c r="AE50" s="211"/>
      <c r="AF50" s="384"/>
      <c r="AG50" s="394">
        <v>24.67</v>
      </c>
      <c r="AH50" s="233"/>
      <c r="AI50" s="233">
        <f t="shared" si="6"/>
        <v>283.75458670000006</v>
      </c>
      <c r="AJ50" s="211"/>
      <c r="AK50" s="384"/>
      <c r="AL50" s="394">
        <v>10.23</v>
      </c>
      <c r="AM50" s="233"/>
      <c r="AN50" s="233">
        <f t="shared" si="7"/>
        <v>117.6655623</v>
      </c>
      <c r="AO50" s="211"/>
      <c r="AP50" s="390"/>
      <c r="AQ50" s="138">
        <v>16.93</v>
      </c>
      <c r="AR50" s="233"/>
      <c r="AS50" s="233">
        <f t="shared" si="8"/>
        <v>194.72902929999998</v>
      </c>
      <c r="AT50" s="211"/>
      <c r="AU50" s="384"/>
      <c r="AV50" s="269">
        <v>137.29</v>
      </c>
      <c r="AW50" s="233"/>
      <c r="AX50" s="233">
        <f t="shared" si="9"/>
        <v>1579.1109528999998</v>
      </c>
      <c r="AY50" s="211"/>
      <c r="AZ50" s="384"/>
      <c r="BA50" s="269">
        <v>0</v>
      </c>
      <c r="BB50" s="233"/>
      <c r="BC50" s="233">
        <f t="shared" si="10"/>
        <v>0</v>
      </c>
      <c r="BD50" s="211"/>
      <c r="BE50" s="384"/>
      <c r="BF50" s="211"/>
      <c r="BG50" s="392">
        <v>11502010</v>
      </c>
    </row>
    <row r="51" spans="1:59" ht="12.75">
      <c r="A51" s="381" t="s">
        <v>216</v>
      </c>
      <c r="B51" s="382"/>
      <c r="C51" s="383">
        <v>31.9</v>
      </c>
      <c r="D51" s="233"/>
      <c r="E51" s="233">
        <f t="shared" si="0"/>
        <v>390.35407950000001</v>
      </c>
      <c r="F51" s="211"/>
      <c r="G51" s="384"/>
      <c r="H51" s="385">
        <v>1.81</v>
      </c>
      <c r="I51" s="233"/>
      <c r="J51" s="233">
        <f t="shared" si="1"/>
        <v>22.148617050000002</v>
      </c>
      <c r="K51" s="211"/>
      <c r="L51" s="384"/>
      <c r="M51" s="269">
        <v>8.5</v>
      </c>
      <c r="N51" s="233"/>
      <c r="O51" s="233">
        <f t="shared" si="2"/>
        <v>104.0128425</v>
      </c>
      <c r="P51" s="211"/>
      <c r="Q51" s="384"/>
      <c r="R51" s="269">
        <v>4.83</v>
      </c>
      <c r="S51" s="233"/>
      <c r="T51" s="233">
        <f t="shared" si="3"/>
        <v>59.103768150000001</v>
      </c>
      <c r="U51" s="211"/>
      <c r="V51" s="384"/>
      <c r="W51" s="269">
        <v>19.21</v>
      </c>
      <c r="X51" s="233"/>
      <c r="Y51" s="233">
        <f t="shared" si="4"/>
        <v>235.06902405000002</v>
      </c>
      <c r="Z51" s="211"/>
      <c r="AA51" s="384"/>
      <c r="AB51" s="396">
        <v>3.73</v>
      </c>
      <c r="AC51" s="233"/>
      <c r="AD51" s="233">
        <f t="shared" si="5"/>
        <v>45.643282649999996</v>
      </c>
      <c r="AE51" s="211"/>
      <c r="AF51" s="384"/>
      <c r="AG51" s="411">
        <v>15.69</v>
      </c>
      <c r="AH51" s="233"/>
      <c r="AI51" s="233">
        <f t="shared" si="6"/>
        <v>191.99547045</v>
      </c>
      <c r="AJ51" s="211"/>
      <c r="AK51" s="384"/>
      <c r="AL51" s="388">
        <v>15.32</v>
      </c>
      <c r="AM51" s="233"/>
      <c r="AN51" s="233">
        <f t="shared" si="7"/>
        <v>187.46785259999999</v>
      </c>
      <c r="AO51" s="211"/>
      <c r="AP51" s="390"/>
      <c r="AQ51" s="138">
        <v>4.41</v>
      </c>
      <c r="AR51" s="233"/>
      <c r="AS51" s="233">
        <f t="shared" si="8"/>
        <v>53.964310050000002</v>
      </c>
      <c r="AT51" s="211"/>
      <c r="AU51" s="384"/>
      <c r="AV51" s="269">
        <v>120.21</v>
      </c>
      <c r="AW51" s="233"/>
      <c r="AX51" s="233">
        <f t="shared" si="9"/>
        <v>1470.98632905</v>
      </c>
      <c r="AY51" s="211"/>
      <c r="AZ51" s="384"/>
      <c r="BA51" s="269">
        <v>0.09</v>
      </c>
      <c r="BB51" s="233"/>
      <c r="BC51" s="233">
        <f t="shared" si="10"/>
        <v>1.10131245</v>
      </c>
      <c r="BD51" s="211"/>
      <c r="BE51" s="384"/>
      <c r="BF51" s="211"/>
      <c r="BG51" s="392">
        <v>12236805</v>
      </c>
    </row>
    <row r="52" spans="1:59" ht="12.75">
      <c r="A52" s="412"/>
      <c r="B52" s="397"/>
      <c r="C52" s="398"/>
      <c r="D52" s="257"/>
      <c r="E52" s="257"/>
      <c r="F52" s="413"/>
      <c r="G52" s="384"/>
      <c r="H52" s="414"/>
      <c r="I52" s="257"/>
      <c r="J52" s="257"/>
      <c r="K52" s="413"/>
      <c r="L52" s="384"/>
      <c r="M52" s="400"/>
      <c r="N52" s="257"/>
      <c r="O52" s="257"/>
      <c r="P52" s="413"/>
      <c r="Q52" s="384"/>
      <c r="R52" s="211"/>
      <c r="S52" s="257"/>
      <c r="T52" s="257"/>
      <c r="U52" s="413"/>
      <c r="V52" s="384"/>
      <c r="W52" s="211"/>
      <c r="X52" s="257"/>
      <c r="Y52" s="257"/>
      <c r="Z52" s="413"/>
      <c r="AA52" s="384"/>
      <c r="AB52" s="396"/>
      <c r="AC52" s="257"/>
      <c r="AD52" s="257"/>
      <c r="AE52" s="413"/>
      <c r="AF52" s="384"/>
      <c r="AG52" s="146"/>
      <c r="AH52" s="257"/>
      <c r="AI52" s="257"/>
      <c r="AJ52" s="413"/>
      <c r="AK52" s="384"/>
      <c r="AL52" s="146"/>
      <c r="AM52" s="257"/>
      <c r="AN52" s="257"/>
      <c r="AO52" s="413"/>
      <c r="AP52" s="390"/>
      <c r="AQ52" s="146"/>
      <c r="AR52" s="257"/>
      <c r="AS52" s="257"/>
      <c r="AT52" s="413"/>
      <c r="AU52" s="384"/>
      <c r="AV52" s="257"/>
      <c r="AW52" s="257"/>
      <c r="AX52" s="257"/>
      <c r="AY52" s="413"/>
      <c r="AZ52" s="384"/>
      <c r="BA52" s="211"/>
      <c r="BB52" s="257"/>
      <c r="BC52" s="257"/>
      <c r="BD52" s="413"/>
      <c r="BE52" s="384"/>
      <c r="BF52" s="211"/>
      <c r="BG52" s="410"/>
    </row>
    <row r="53" spans="1:59" ht="12.75">
      <c r="A53" s="415" t="s">
        <v>97</v>
      </c>
      <c r="B53" s="367">
        <f>(C53+H53+M53+R53+W53+AB53+AG53+AL53+AQ53+AV53+BA53)</f>
        <v>8828.8000000000011</v>
      </c>
      <c r="C53" s="416">
        <f>SUM(C56:C72)</f>
        <v>1137.3800000000001</v>
      </c>
      <c r="D53" s="368">
        <f>SUM(C53/C$4)</f>
        <v>6.784718307548683E-2</v>
      </c>
      <c r="E53" s="417">
        <f>SUM(E56:E72)</f>
        <v>25613.444496329997</v>
      </c>
      <c r="F53" s="368">
        <f>SUM(E53/E$4)</f>
        <v>5.1924489054770782E-2</v>
      </c>
      <c r="G53" s="283"/>
      <c r="H53" s="416">
        <f>SUM(H56:H72)</f>
        <v>101.48</v>
      </c>
      <c r="I53" s="368">
        <f>SUM(H53/H$4)</f>
        <v>9.8195365039431035E-2</v>
      </c>
      <c r="J53" s="417">
        <f>SUM(J56:J72)</f>
        <v>2035.8399119200001</v>
      </c>
      <c r="K53" s="368">
        <f>SUM(J53/J$4)</f>
        <v>3.0627132418791975E-2</v>
      </c>
      <c r="L53" s="283"/>
      <c r="M53" s="416">
        <f>SUM(M56:M72)</f>
        <v>210.45000000000002</v>
      </c>
      <c r="N53" s="368">
        <f>SUM(M53/M$4)</f>
        <v>5.1264125343161507E-2</v>
      </c>
      <c r="O53" s="417">
        <f>SUM(O56:O72)</f>
        <v>4119.3660433900004</v>
      </c>
      <c r="P53" s="368">
        <f>SUM(O53/O$4)</f>
        <v>2.2032952941405795E-2</v>
      </c>
      <c r="Q53" s="283"/>
      <c r="R53" s="416">
        <f>SUM(R56:R72)</f>
        <v>363.47</v>
      </c>
      <c r="S53" s="368">
        <f>SUM(R53/R$4)</f>
        <v>0.14510881064831266</v>
      </c>
      <c r="T53" s="417">
        <f>SUM(T56:T72)</f>
        <v>6661.5279112199996</v>
      </c>
      <c r="U53" s="368">
        <f>SUM(T53/T$4)</f>
        <v>6.4615869431677353E-2</v>
      </c>
      <c r="V53" s="283"/>
      <c r="W53" s="416">
        <f>SUM(W56:W72)</f>
        <v>468.51000000000005</v>
      </c>
      <c r="X53" s="368">
        <f>SUM(W53/W$4)</f>
        <v>4.5213982547871762E-2</v>
      </c>
      <c r="Y53" s="417">
        <f>SUM(Y56:Y72)</f>
        <v>13237.62691551</v>
      </c>
      <c r="Z53" s="368">
        <f>SUM(Y53/Y$4)</f>
        <v>3.477069961085575E-2</v>
      </c>
      <c r="AA53" s="283"/>
      <c r="AB53" s="416">
        <f>SUM(AB56:AB72)</f>
        <v>196.06</v>
      </c>
      <c r="AC53" s="368">
        <f>SUM(AB53/AB$4)</f>
        <v>8.1716862699332274E-2</v>
      </c>
      <c r="AD53" s="417">
        <f>SUM(AD56:AD72)</f>
        <v>4503.4061172599995</v>
      </c>
      <c r="AE53" s="368">
        <f>SUM(AD53/AD$4)</f>
        <v>3.4273762115495564E-2</v>
      </c>
      <c r="AF53" s="283"/>
      <c r="AG53" s="418">
        <f>SUM(AG56:AG72)</f>
        <v>1938.96</v>
      </c>
      <c r="AH53" s="368">
        <f>SUM(AG53/AG$4)</f>
        <v>0.14149171391667945</v>
      </c>
      <c r="AI53" s="417">
        <f>SUM(AI56:AI72)</f>
        <v>47656.490463349997</v>
      </c>
      <c r="AJ53" s="368">
        <f>SUM(AI53/AI$4)</f>
        <v>5.0714962717448742E-2</v>
      </c>
      <c r="AK53" s="283"/>
      <c r="AL53" s="418">
        <f>SUM(AL56:AL72)</f>
        <v>1532.3000000000002</v>
      </c>
      <c r="AM53" s="368">
        <f>SUM(AL53/AL$4)</f>
        <v>0.12861793012679648</v>
      </c>
      <c r="AN53" s="417">
        <f>SUM(AN56:AN72)</f>
        <v>35631.570793829997</v>
      </c>
      <c r="AO53" s="368">
        <f>SUM(AN53/AN$4)</f>
        <v>7.1467460651506734E-2</v>
      </c>
      <c r="AP53" s="370"/>
      <c r="AQ53" s="416">
        <f>SUM(AQ56:AQ72)</f>
        <v>124.86000000000001</v>
      </c>
      <c r="AR53" s="368">
        <f>SUM(AQ53/AQ$4)</f>
        <v>9.8404066674547833E-2</v>
      </c>
      <c r="AS53" s="417">
        <f>SUM(AS56:AS72)</f>
        <v>2735.8397386500001</v>
      </c>
      <c r="AT53" s="368">
        <f>SUM(AS53/AS$4)</f>
        <v>4.0438604088149074E-2</v>
      </c>
      <c r="AU53" s="283"/>
      <c r="AV53" s="416">
        <f>SUM(AV56:AV72)</f>
        <v>2711.8100000000004</v>
      </c>
      <c r="AW53" s="368">
        <f>SUM(AV53/AV$4)</f>
        <v>0.12699669701157523</v>
      </c>
      <c r="AX53" s="417">
        <f>SUM(AX56:AX72)</f>
        <v>74634.963975050006</v>
      </c>
      <c r="AY53" s="368">
        <f>SUM(AX53/AX$4)</f>
        <v>6.9514038464151356E-2</v>
      </c>
      <c r="AZ53" s="283"/>
      <c r="BA53" s="416">
        <f>SUM(BA56:BA72)</f>
        <v>43.519999999999996</v>
      </c>
      <c r="BB53" s="368">
        <f>SUM(BA53/BA$4)</f>
        <v>0.15801895356014667</v>
      </c>
      <c r="BC53" s="417">
        <f>SUM(BC56:BC72)</f>
        <v>1236.44256907</v>
      </c>
      <c r="BD53" s="368">
        <f>SUM(BC53/BC$4)</f>
        <v>8.5070976311258983E-2</v>
      </c>
      <c r="BE53" s="283"/>
      <c r="BF53" s="282"/>
      <c r="BG53" s="419">
        <f>SUM(BG56:BG72)</f>
        <v>389455861</v>
      </c>
    </row>
    <row r="54" spans="1:59" ht="12.75">
      <c r="A54" s="372" t="s">
        <v>217</v>
      </c>
      <c r="B54" s="373"/>
      <c r="C54" s="374">
        <f>AVERAGE(C56:C72)</f>
        <v>71.086250000000007</v>
      </c>
      <c r="D54" s="375"/>
      <c r="E54" s="375"/>
      <c r="F54" s="257"/>
      <c r="G54" s="376"/>
      <c r="H54" s="377"/>
      <c r="I54" s="375"/>
      <c r="J54" s="375"/>
      <c r="K54" s="257"/>
      <c r="L54" s="376"/>
      <c r="M54" s="377"/>
      <c r="N54" s="375"/>
      <c r="O54" s="375"/>
      <c r="P54" s="257"/>
      <c r="Q54" s="376"/>
      <c r="R54" s="377"/>
      <c r="S54" s="375"/>
      <c r="T54" s="375"/>
      <c r="U54" s="257"/>
      <c r="V54" s="376"/>
      <c r="W54" s="377"/>
      <c r="X54" s="375"/>
      <c r="Y54" s="375"/>
      <c r="Z54" s="257"/>
      <c r="AA54" s="376"/>
      <c r="AB54" s="377"/>
      <c r="AC54" s="375"/>
      <c r="AD54" s="375"/>
      <c r="AE54" s="257"/>
      <c r="AF54" s="376"/>
      <c r="AG54" s="378"/>
      <c r="AH54" s="375"/>
      <c r="AI54" s="375"/>
      <c r="AJ54" s="257"/>
      <c r="AK54" s="376"/>
      <c r="AL54" s="378"/>
      <c r="AM54" s="375"/>
      <c r="AN54" s="375"/>
      <c r="AO54" s="257"/>
      <c r="AP54" s="379"/>
      <c r="AQ54" s="377"/>
      <c r="AR54" s="375"/>
      <c r="AS54" s="375"/>
      <c r="AT54" s="257"/>
      <c r="AU54" s="376"/>
      <c r="AV54" s="377"/>
      <c r="AW54" s="375"/>
      <c r="AX54" s="375"/>
      <c r="AY54" s="257"/>
      <c r="AZ54" s="376"/>
      <c r="BA54" s="377"/>
      <c r="BB54" s="375"/>
      <c r="BC54" s="375"/>
      <c r="BD54" s="257"/>
      <c r="BE54" s="376"/>
      <c r="BF54" s="257"/>
      <c r="BG54" s="380"/>
    </row>
    <row r="55" spans="1:59" ht="12.75">
      <c r="A55" s="372" t="s">
        <v>218</v>
      </c>
      <c r="B55" s="373">
        <f>SUM(C55:BD55)</f>
        <v>1</v>
      </c>
      <c r="C55" s="420">
        <f>C53/$B53</f>
        <v>0.12882611453425152</v>
      </c>
      <c r="D55" s="233"/>
      <c r="E55" s="233"/>
      <c r="F55" s="211"/>
      <c r="G55" s="384"/>
      <c r="H55" s="420">
        <f>H53/$B53</f>
        <v>1.1494200797390358E-2</v>
      </c>
      <c r="I55" s="233"/>
      <c r="J55" s="233"/>
      <c r="K55" s="211"/>
      <c r="L55" s="384"/>
      <c r="M55" s="420">
        <f>M53/$B53</f>
        <v>2.3836761507792677E-2</v>
      </c>
      <c r="N55" s="233"/>
      <c r="O55" s="233"/>
      <c r="P55" s="211"/>
      <c r="Q55" s="384"/>
      <c r="R55" s="420">
        <f>R53/$B53</f>
        <v>4.1168675244653861E-2</v>
      </c>
      <c r="S55" s="233"/>
      <c r="T55" s="233"/>
      <c r="U55" s="211"/>
      <c r="V55" s="384"/>
      <c r="W55" s="420">
        <f>W53/$B53</f>
        <v>5.3066101848495834E-2</v>
      </c>
      <c r="X55" s="233"/>
      <c r="Y55" s="233"/>
      <c r="Z55" s="211"/>
      <c r="AA55" s="384"/>
      <c r="AB55" s="420">
        <f>AB53/$B53</f>
        <v>2.220686843059079E-2</v>
      </c>
      <c r="AC55" s="233"/>
      <c r="AD55" s="233"/>
      <c r="AE55" s="211"/>
      <c r="AF55" s="384"/>
      <c r="AG55" s="421">
        <f>AG53/$B53</f>
        <v>0.21961761507792676</v>
      </c>
      <c r="AH55" s="233"/>
      <c r="AI55" s="233"/>
      <c r="AJ55" s="211"/>
      <c r="AK55" s="384"/>
      <c r="AL55" s="421">
        <f>AL53/$B53</f>
        <v>0.17355699528814789</v>
      </c>
      <c r="AM55" s="233"/>
      <c r="AN55" s="233"/>
      <c r="AO55" s="211"/>
      <c r="AP55" s="390"/>
      <c r="AQ55" s="420">
        <f>AQ53/$B53</f>
        <v>1.4142352301558535E-2</v>
      </c>
      <c r="AR55" s="233"/>
      <c r="AS55" s="233"/>
      <c r="AT55" s="211"/>
      <c r="AU55" s="384"/>
      <c r="AV55" s="420">
        <f>AV53/$B53</f>
        <v>0.30715499275099672</v>
      </c>
      <c r="AW55" s="233"/>
      <c r="AX55" s="233"/>
      <c r="AY55" s="211"/>
      <c r="AZ55" s="384"/>
      <c r="BA55" s="420">
        <f>BA53/$B53</f>
        <v>4.9293222181949975E-3</v>
      </c>
      <c r="BB55" s="233"/>
      <c r="BC55" s="233"/>
      <c r="BD55" s="211"/>
      <c r="BE55" s="384"/>
      <c r="BF55" s="211"/>
      <c r="BG55" s="392"/>
    </row>
    <row r="56" spans="1:59" ht="12.75">
      <c r="A56" s="422" t="s">
        <v>219</v>
      </c>
      <c r="B56" s="382"/>
      <c r="C56" s="383">
        <v>141.53</v>
      </c>
      <c r="D56" s="233"/>
      <c r="E56" s="233">
        <f t="shared" ref="E56:E72" si="11">SUM(C56*$BG56)/1000000</f>
        <v>4660.5957792300005</v>
      </c>
      <c r="F56" s="211"/>
      <c r="G56" s="384"/>
      <c r="H56" s="385">
        <v>8.43</v>
      </c>
      <c r="I56" s="233"/>
      <c r="J56" s="233">
        <f t="shared" ref="J56:J72" si="12">SUM(H56*$BG56)/1000000</f>
        <v>277.60066712999998</v>
      </c>
      <c r="K56" s="211"/>
      <c r="L56" s="384"/>
      <c r="M56" s="269">
        <v>4.6399999999999997</v>
      </c>
      <c r="N56" s="233"/>
      <c r="O56" s="233">
        <f t="shared" ref="O56:O72" si="13">SUM(M56*$BG56)/1000000</f>
        <v>152.79562223999997</v>
      </c>
      <c r="P56" s="211"/>
      <c r="Q56" s="384"/>
      <c r="R56" s="386">
        <v>6.98</v>
      </c>
      <c r="S56" s="233"/>
      <c r="T56" s="233">
        <f t="shared" ref="T56:T72" si="14">SUM(R56*$BG56)/1000000</f>
        <v>229.85203518</v>
      </c>
      <c r="U56" s="211"/>
      <c r="V56" s="384"/>
      <c r="W56" s="269">
        <v>67.099999999999994</v>
      </c>
      <c r="X56" s="233"/>
      <c r="Y56" s="233">
        <f t="shared" ref="Y56:Y72" si="15">SUM(W56*$BG56)/1000000</f>
        <v>2209.6091060999997</v>
      </c>
      <c r="Z56" s="211"/>
      <c r="AA56" s="384"/>
      <c r="AB56" s="387">
        <v>3.86</v>
      </c>
      <c r="AC56" s="233"/>
      <c r="AD56" s="233">
        <f t="shared" ref="AD56:AD72" si="16">SUM(AB56*$BG56)/1000000</f>
        <v>127.11015125999999</v>
      </c>
      <c r="AE56" s="211"/>
      <c r="AF56" s="384"/>
      <c r="AG56" s="388">
        <v>186.08</v>
      </c>
      <c r="AH56" s="233"/>
      <c r="AI56" s="233">
        <f t="shared" ref="AI56:AI72" si="17">SUM(AG56*$BG56)/1000000</f>
        <v>6127.6313332800009</v>
      </c>
      <c r="AJ56" s="211"/>
      <c r="AK56" s="384"/>
      <c r="AL56" s="388">
        <v>114.19</v>
      </c>
      <c r="AM56" s="233"/>
      <c r="AN56" s="233">
        <f t="shared" ref="AN56:AN72" si="18">SUM(AL56*$BG56)/1000000</f>
        <v>3760.2870912899998</v>
      </c>
      <c r="AO56" s="211"/>
      <c r="AP56" s="390"/>
      <c r="AQ56" s="391">
        <v>7.89</v>
      </c>
      <c r="AR56" s="233"/>
      <c r="AS56" s="233">
        <f t="shared" ref="AS56:AS72" si="19">SUM(AQ56*$BG56)/1000000</f>
        <v>259.81841799</v>
      </c>
      <c r="AT56" s="211"/>
      <c r="AU56" s="384"/>
      <c r="AV56" s="269">
        <v>218.3</v>
      </c>
      <c r="AW56" s="233"/>
      <c r="AX56" s="233">
        <f t="shared" ref="AX56:AX72" si="20">SUM(AV56*$BG56)/1000000</f>
        <v>7188.6388653000004</v>
      </c>
      <c r="AY56" s="211"/>
      <c r="AZ56" s="384"/>
      <c r="BA56" s="269">
        <v>1.54</v>
      </c>
      <c r="BB56" s="233"/>
      <c r="BC56" s="233">
        <f t="shared" ref="BC56:BC72" si="21">SUM(BA56*$BG56)/1000000</f>
        <v>50.712340140000002</v>
      </c>
      <c r="BD56" s="211"/>
      <c r="BE56" s="384"/>
      <c r="BF56" s="211"/>
      <c r="BG56" s="392">
        <v>32930091</v>
      </c>
    </row>
    <row r="57" spans="1:59" ht="12.75">
      <c r="A57" s="422" t="s">
        <v>220</v>
      </c>
      <c r="B57" s="382"/>
      <c r="C57" s="383">
        <v>54.68</v>
      </c>
      <c r="D57" s="233"/>
      <c r="E57" s="233">
        <f t="shared" si="11"/>
        <v>1817.6320421199998</v>
      </c>
      <c r="F57" s="211"/>
      <c r="G57" s="384"/>
      <c r="H57" s="393">
        <v>6.79</v>
      </c>
      <c r="I57" s="233"/>
      <c r="J57" s="233">
        <f t="shared" si="12"/>
        <v>225.70814861000002</v>
      </c>
      <c r="K57" s="211"/>
      <c r="L57" s="384"/>
      <c r="M57" s="269">
        <v>7.07</v>
      </c>
      <c r="N57" s="233"/>
      <c r="O57" s="233">
        <f t="shared" si="13"/>
        <v>235.01570113</v>
      </c>
      <c r="P57" s="211"/>
      <c r="Q57" s="384"/>
      <c r="R57" s="269">
        <v>20.260000000000002</v>
      </c>
      <c r="S57" s="233"/>
      <c r="T57" s="233">
        <f t="shared" si="14"/>
        <v>673.46790734000001</v>
      </c>
      <c r="U57" s="211"/>
      <c r="V57" s="384"/>
      <c r="W57" s="269">
        <v>41.26</v>
      </c>
      <c r="X57" s="233"/>
      <c r="Y57" s="233">
        <f t="shared" si="15"/>
        <v>1371.53434634</v>
      </c>
      <c r="Z57" s="211"/>
      <c r="AA57" s="384"/>
      <c r="AB57" s="387">
        <v>19.47</v>
      </c>
      <c r="AC57" s="233"/>
      <c r="AD57" s="233">
        <f t="shared" si="16"/>
        <v>647.20731273000001</v>
      </c>
      <c r="AE57" s="211"/>
      <c r="AF57" s="384"/>
      <c r="AG57" s="394">
        <v>102.05</v>
      </c>
      <c r="AH57" s="233"/>
      <c r="AI57" s="233">
        <f t="shared" si="17"/>
        <v>3392.2704809499996</v>
      </c>
      <c r="AJ57" s="211"/>
      <c r="AK57" s="384"/>
      <c r="AL57" s="394">
        <v>85.31</v>
      </c>
      <c r="AM57" s="233"/>
      <c r="AN57" s="233">
        <f t="shared" si="18"/>
        <v>2835.8118052899999</v>
      </c>
      <c r="AO57" s="211"/>
      <c r="AP57" s="390"/>
      <c r="AQ57" s="391">
        <v>7.35</v>
      </c>
      <c r="AR57" s="233"/>
      <c r="AS57" s="233">
        <f t="shared" si="19"/>
        <v>244.32325364999997</v>
      </c>
      <c r="AT57" s="211"/>
      <c r="AU57" s="384"/>
      <c r="AV57" s="269">
        <v>263.94</v>
      </c>
      <c r="AW57" s="233"/>
      <c r="AX57" s="233">
        <f t="shared" si="20"/>
        <v>8773.6979004599998</v>
      </c>
      <c r="AY57" s="211"/>
      <c r="AZ57" s="384"/>
      <c r="BA57" s="269">
        <v>3.69</v>
      </c>
      <c r="BB57" s="233"/>
      <c r="BC57" s="233">
        <f t="shared" si="21"/>
        <v>122.66024571</v>
      </c>
      <c r="BD57" s="211"/>
      <c r="BE57" s="384"/>
      <c r="BF57" s="211"/>
      <c r="BG57" s="392">
        <v>33241259</v>
      </c>
    </row>
    <row r="58" spans="1:59" ht="12.75">
      <c r="A58" s="422" t="s">
        <v>221</v>
      </c>
      <c r="B58" s="382"/>
      <c r="C58" s="383">
        <v>155.19999999999999</v>
      </c>
      <c r="D58" s="233"/>
      <c r="E58" s="233">
        <f t="shared" si="11"/>
        <v>6399.8858655999993</v>
      </c>
      <c r="F58" s="211"/>
      <c r="G58" s="384"/>
      <c r="H58" s="393">
        <v>0.74</v>
      </c>
      <c r="I58" s="233"/>
      <c r="J58" s="233">
        <f t="shared" si="12"/>
        <v>30.514919719999998</v>
      </c>
      <c r="K58" s="211"/>
      <c r="L58" s="384"/>
      <c r="M58" s="158">
        <v>19.55</v>
      </c>
      <c r="N58" s="233"/>
      <c r="O58" s="233">
        <f t="shared" si="13"/>
        <v>806.17118989999994</v>
      </c>
      <c r="P58" s="211"/>
      <c r="Q58" s="384"/>
      <c r="R58" s="386">
        <v>1.6</v>
      </c>
      <c r="S58" s="233"/>
      <c r="T58" s="233">
        <f t="shared" si="14"/>
        <v>65.9782048</v>
      </c>
      <c r="U58" s="211"/>
      <c r="V58" s="384"/>
      <c r="W58" s="269">
        <v>20.47</v>
      </c>
      <c r="X58" s="233"/>
      <c r="Y58" s="233">
        <f t="shared" si="15"/>
        <v>844.10865765999995</v>
      </c>
      <c r="Z58" s="211"/>
      <c r="AA58" s="384"/>
      <c r="AB58" s="387">
        <v>1.03</v>
      </c>
      <c r="AC58" s="233"/>
      <c r="AD58" s="233">
        <f t="shared" si="16"/>
        <v>42.473469340000001</v>
      </c>
      <c r="AE58" s="211"/>
      <c r="AF58" s="384"/>
      <c r="AG58" s="388">
        <v>84.49</v>
      </c>
      <c r="AH58" s="233"/>
      <c r="AI58" s="233">
        <f t="shared" si="17"/>
        <v>3484.0615772199999</v>
      </c>
      <c r="AJ58" s="211"/>
      <c r="AK58" s="384"/>
      <c r="AL58" s="388">
        <v>78.959999999999994</v>
      </c>
      <c r="AM58" s="233"/>
      <c r="AN58" s="233">
        <f t="shared" si="18"/>
        <v>3256.0244068799998</v>
      </c>
      <c r="AO58" s="211"/>
      <c r="AP58" s="390"/>
      <c r="AQ58" s="391">
        <v>14.06</v>
      </c>
      <c r="AR58" s="233"/>
      <c r="AS58" s="233">
        <f t="shared" si="19"/>
        <v>579.78347468000004</v>
      </c>
      <c r="AT58" s="211"/>
      <c r="AU58" s="384"/>
      <c r="AV58" s="269">
        <v>137.16999999999999</v>
      </c>
      <c r="AW58" s="233"/>
      <c r="AX58" s="233">
        <f t="shared" si="20"/>
        <v>5656.3939702599992</v>
      </c>
      <c r="AY58" s="211"/>
      <c r="AZ58" s="384"/>
      <c r="BA58" s="269">
        <v>0</v>
      </c>
      <c r="BB58" s="233"/>
      <c r="BC58" s="233">
        <f t="shared" si="21"/>
        <v>0</v>
      </c>
      <c r="BD58" s="211"/>
      <c r="BE58" s="384"/>
      <c r="BF58" s="211"/>
      <c r="BG58" s="392">
        <v>41236378</v>
      </c>
    </row>
    <row r="59" spans="1:59" ht="12.75">
      <c r="A59" s="422" t="s">
        <v>222</v>
      </c>
      <c r="B59" s="382"/>
      <c r="C59" s="383">
        <v>114.47</v>
      </c>
      <c r="D59" s="233"/>
      <c r="E59" s="233">
        <f t="shared" si="11"/>
        <v>1164.7338525799998</v>
      </c>
      <c r="F59" s="211"/>
      <c r="G59" s="384"/>
      <c r="H59" s="385">
        <v>7.79</v>
      </c>
      <c r="I59" s="233"/>
      <c r="J59" s="233">
        <f t="shared" si="12"/>
        <v>79.263359059999999</v>
      </c>
      <c r="K59" s="211"/>
      <c r="L59" s="384"/>
      <c r="M59" s="269">
        <v>11.05</v>
      </c>
      <c r="N59" s="233"/>
      <c r="O59" s="233">
        <f t="shared" si="13"/>
        <v>112.4339047</v>
      </c>
      <c r="P59" s="211"/>
      <c r="Q59" s="384"/>
      <c r="R59" s="269">
        <v>17.34</v>
      </c>
      <c r="S59" s="233"/>
      <c r="T59" s="233">
        <f t="shared" si="14"/>
        <v>176.43474275999998</v>
      </c>
      <c r="U59" s="211"/>
      <c r="V59" s="384"/>
      <c r="W59" s="269">
        <v>31.38</v>
      </c>
      <c r="X59" s="233"/>
      <c r="Y59" s="233">
        <f t="shared" si="15"/>
        <v>319.29193931999998</v>
      </c>
      <c r="Z59" s="211"/>
      <c r="AA59" s="384"/>
      <c r="AB59" s="387">
        <v>13.16</v>
      </c>
      <c r="AC59" s="233"/>
      <c r="AD59" s="233">
        <f t="shared" si="16"/>
        <v>133.90318424</v>
      </c>
      <c r="AE59" s="211"/>
      <c r="AF59" s="384"/>
      <c r="AG59" s="388">
        <v>272.58</v>
      </c>
      <c r="AH59" s="233"/>
      <c r="AI59" s="233">
        <f t="shared" si="17"/>
        <v>2773.5053161199999</v>
      </c>
      <c r="AJ59" s="211"/>
      <c r="AK59" s="384"/>
      <c r="AL59" s="388">
        <v>90.59</v>
      </c>
      <c r="AM59" s="233"/>
      <c r="AN59" s="233">
        <f t="shared" si="18"/>
        <v>921.75451825999994</v>
      </c>
      <c r="AO59" s="211"/>
      <c r="AP59" s="390"/>
      <c r="AQ59" s="391">
        <v>8.7899999999999991</v>
      </c>
      <c r="AR59" s="233"/>
      <c r="AS59" s="233">
        <f t="shared" si="19"/>
        <v>89.438373059999989</v>
      </c>
      <c r="AT59" s="211"/>
      <c r="AU59" s="384"/>
      <c r="AV59" s="269">
        <v>210.05</v>
      </c>
      <c r="AW59" s="233"/>
      <c r="AX59" s="233">
        <f t="shared" si="20"/>
        <v>2137.2616907000001</v>
      </c>
      <c r="AY59" s="211"/>
      <c r="AZ59" s="384"/>
      <c r="BA59" s="269">
        <v>5.68</v>
      </c>
      <c r="BB59" s="233"/>
      <c r="BC59" s="233">
        <f t="shared" si="21"/>
        <v>57.794079519999997</v>
      </c>
      <c r="BD59" s="211"/>
      <c r="BE59" s="384"/>
      <c r="BF59" s="211"/>
      <c r="BG59" s="392">
        <v>10175014</v>
      </c>
    </row>
    <row r="60" spans="1:59" ht="12.75">
      <c r="A60" s="216" t="s">
        <v>223</v>
      </c>
      <c r="B60" s="423"/>
      <c r="C60" s="424"/>
      <c r="D60" s="233"/>
      <c r="E60" s="233">
        <f t="shared" si="11"/>
        <v>0</v>
      </c>
      <c r="F60" s="211"/>
      <c r="G60" s="384"/>
      <c r="H60" s="213"/>
      <c r="I60" s="233"/>
      <c r="J60" s="233">
        <f t="shared" si="12"/>
        <v>0</v>
      </c>
      <c r="K60" s="211"/>
      <c r="L60" s="384"/>
      <c r="M60" s="400"/>
      <c r="N60" s="233"/>
      <c r="O60" s="233">
        <f t="shared" si="13"/>
        <v>0</v>
      </c>
      <c r="P60" s="211"/>
      <c r="Q60" s="384"/>
      <c r="R60" s="211"/>
      <c r="S60" s="233"/>
      <c r="T60" s="233">
        <f t="shared" si="14"/>
        <v>0</v>
      </c>
      <c r="U60" s="211"/>
      <c r="V60" s="384"/>
      <c r="W60" s="211"/>
      <c r="X60" s="233"/>
      <c r="Y60" s="233">
        <f t="shared" si="15"/>
        <v>0</v>
      </c>
      <c r="Z60" s="211"/>
      <c r="AA60" s="384"/>
      <c r="AB60" s="387">
        <v>0</v>
      </c>
      <c r="AC60" s="233"/>
      <c r="AD60" s="233">
        <f t="shared" si="16"/>
        <v>0</v>
      </c>
      <c r="AE60" s="211"/>
      <c r="AF60" s="384"/>
      <c r="AG60" s="391"/>
      <c r="AH60" s="233"/>
      <c r="AI60" s="233">
        <f t="shared" si="17"/>
        <v>0</v>
      </c>
      <c r="AJ60" s="211"/>
      <c r="AK60" s="384"/>
      <c r="AL60" s="391"/>
      <c r="AM60" s="233"/>
      <c r="AN60" s="233">
        <f t="shared" si="18"/>
        <v>0</v>
      </c>
      <c r="AO60" s="211"/>
      <c r="AP60" s="390"/>
      <c r="AQ60" s="391">
        <v>0</v>
      </c>
      <c r="AR60" s="233"/>
      <c r="AS60" s="233">
        <f t="shared" si="19"/>
        <v>0</v>
      </c>
      <c r="AT60" s="211"/>
      <c r="AU60" s="384"/>
      <c r="AV60" s="269">
        <v>0</v>
      </c>
      <c r="AW60" s="233"/>
      <c r="AX60" s="233">
        <f t="shared" si="20"/>
        <v>0</v>
      </c>
      <c r="AY60" s="211"/>
      <c r="AZ60" s="384"/>
      <c r="BA60" s="269">
        <v>0</v>
      </c>
      <c r="BB60" s="233"/>
      <c r="BC60" s="233">
        <f t="shared" si="21"/>
        <v>0</v>
      </c>
      <c r="BD60" s="211"/>
      <c r="BE60" s="384"/>
      <c r="BF60" s="211"/>
      <c r="BG60" s="392">
        <v>5900754</v>
      </c>
    </row>
    <row r="61" spans="1:59" ht="12.75">
      <c r="A61" s="216" t="s">
        <v>224</v>
      </c>
      <c r="B61" s="423"/>
      <c r="C61" s="424">
        <v>41.2</v>
      </c>
      <c r="D61" s="233"/>
      <c r="E61" s="233">
        <f t="shared" si="11"/>
        <v>3250.1446884000002</v>
      </c>
      <c r="F61" s="211"/>
      <c r="G61" s="384"/>
      <c r="H61" s="213">
        <v>3.45</v>
      </c>
      <c r="I61" s="233"/>
      <c r="J61" s="233">
        <f t="shared" si="12"/>
        <v>272.16017415000005</v>
      </c>
      <c r="K61" s="211"/>
      <c r="L61" s="384"/>
      <c r="M61" s="269">
        <v>13.38</v>
      </c>
      <c r="N61" s="233"/>
      <c r="O61" s="233">
        <f t="shared" si="13"/>
        <v>1055.5081536600001</v>
      </c>
      <c r="P61" s="211"/>
      <c r="Q61" s="384"/>
      <c r="R61" s="158">
        <v>17.38</v>
      </c>
      <c r="S61" s="233"/>
      <c r="T61" s="233">
        <f t="shared" si="14"/>
        <v>1371.0561816599998</v>
      </c>
      <c r="U61" s="211"/>
      <c r="V61" s="384"/>
      <c r="W61" s="269">
        <v>35.270000000000003</v>
      </c>
      <c r="X61" s="233"/>
      <c r="Y61" s="233">
        <f t="shared" si="15"/>
        <v>2782.3447368900001</v>
      </c>
      <c r="Z61" s="211"/>
      <c r="AA61" s="384"/>
      <c r="AB61" s="425">
        <v>23.69</v>
      </c>
      <c r="AC61" s="233"/>
      <c r="AD61" s="233">
        <f t="shared" si="16"/>
        <v>1868.8331958300002</v>
      </c>
      <c r="AE61" s="211"/>
      <c r="AF61" s="384"/>
      <c r="AG61" s="391">
        <v>159.33000000000001</v>
      </c>
      <c r="AH61" s="233"/>
      <c r="AI61" s="233">
        <f t="shared" si="17"/>
        <v>12569.066825310001</v>
      </c>
      <c r="AJ61" s="211"/>
      <c r="AK61" s="384"/>
      <c r="AL61" s="391">
        <v>102.6</v>
      </c>
      <c r="AM61" s="233"/>
      <c r="AN61" s="233">
        <f t="shared" si="18"/>
        <v>8093.8069181999999</v>
      </c>
      <c r="AO61" s="211"/>
      <c r="AP61" s="390"/>
      <c r="AQ61" s="391">
        <v>5.81</v>
      </c>
      <c r="AR61" s="233"/>
      <c r="AS61" s="233">
        <f t="shared" si="19"/>
        <v>458.33351066999995</v>
      </c>
      <c r="AT61" s="211"/>
      <c r="AU61" s="384"/>
      <c r="AV61" s="269">
        <v>253.45</v>
      </c>
      <c r="AW61" s="233"/>
      <c r="AX61" s="233">
        <f t="shared" si="20"/>
        <v>19993.911924149998</v>
      </c>
      <c r="AY61" s="211"/>
      <c r="AZ61" s="384"/>
      <c r="BA61" s="269">
        <v>0.38</v>
      </c>
      <c r="BB61" s="233"/>
      <c r="BC61" s="233">
        <f t="shared" si="21"/>
        <v>29.977062660000001</v>
      </c>
      <c r="BD61" s="211"/>
      <c r="BE61" s="384"/>
      <c r="BF61" s="211"/>
      <c r="BG61" s="392">
        <v>78887007</v>
      </c>
    </row>
    <row r="62" spans="1:59" ht="12.75">
      <c r="A62" s="216" t="s">
        <v>225</v>
      </c>
      <c r="B62" s="423"/>
      <c r="C62" s="424">
        <v>53.8</v>
      </c>
      <c r="D62" s="233"/>
      <c r="E62" s="233">
        <f t="shared" si="11"/>
        <v>3695.4376953999995</v>
      </c>
      <c r="F62" s="211"/>
      <c r="G62" s="384"/>
      <c r="H62" s="213">
        <v>7.38</v>
      </c>
      <c r="I62" s="233"/>
      <c r="J62" s="233">
        <f t="shared" si="12"/>
        <v>506.92063554000003</v>
      </c>
      <c r="K62" s="211"/>
      <c r="L62" s="384"/>
      <c r="M62" s="269">
        <v>9.9</v>
      </c>
      <c r="N62" s="233"/>
      <c r="O62" s="233">
        <f t="shared" si="13"/>
        <v>680.0154867</v>
      </c>
      <c r="P62" s="211"/>
      <c r="Q62" s="384"/>
      <c r="R62" s="386">
        <v>27.24</v>
      </c>
      <c r="S62" s="233"/>
      <c r="T62" s="233">
        <f t="shared" si="14"/>
        <v>1871.0729149199999</v>
      </c>
      <c r="U62" s="211"/>
      <c r="V62" s="384"/>
      <c r="W62" s="269">
        <v>56.26</v>
      </c>
      <c r="X62" s="233"/>
      <c r="Y62" s="233">
        <f t="shared" si="15"/>
        <v>3864.4112405800001</v>
      </c>
      <c r="Z62" s="211"/>
      <c r="AA62" s="384"/>
      <c r="AB62" s="425">
        <v>11.73</v>
      </c>
      <c r="AC62" s="233"/>
      <c r="AD62" s="233">
        <f t="shared" si="16"/>
        <v>805.71531908999998</v>
      </c>
      <c r="AE62" s="211"/>
      <c r="AF62" s="384"/>
      <c r="AG62" s="391">
        <v>187.98</v>
      </c>
      <c r="AH62" s="233"/>
      <c r="AI62" s="233">
        <f t="shared" si="17"/>
        <v>12912.05163534</v>
      </c>
      <c r="AJ62" s="211"/>
      <c r="AK62" s="384"/>
      <c r="AL62" s="391">
        <v>133.15</v>
      </c>
      <c r="AM62" s="233"/>
      <c r="AN62" s="233">
        <f t="shared" si="18"/>
        <v>9145.8648539500009</v>
      </c>
      <c r="AO62" s="211"/>
      <c r="AP62" s="390"/>
      <c r="AQ62" s="391">
        <v>7.49</v>
      </c>
      <c r="AR62" s="233"/>
      <c r="AS62" s="233">
        <f t="shared" si="19"/>
        <v>514.47636317000001</v>
      </c>
      <c r="AT62" s="211"/>
      <c r="AU62" s="384"/>
      <c r="AV62" s="269">
        <v>196.58</v>
      </c>
      <c r="AW62" s="233"/>
      <c r="AX62" s="233">
        <f t="shared" si="20"/>
        <v>13502.77215914</v>
      </c>
      <c r="AY62" s="211"/>
      <c r="AZ62" s="384"/>
      <c r="BA62" s="269">
        <v>12.12</v>
      </c>
      <c r="BB62" s="233"/>
      <c r="BC62" s="233">
        <f t="shared" si="21"/>
        <v>832.5038079599999</v>
      </c>
      <c r="BD62" s="211"/>
      <c r="BE62" s="384"/>
      <c r="BF62" s="211"/>
      <c r="BG62" s="392">
        <v>68688433</v>
      </c>
    </row>
    <row r="63" spans="1:59" ht="12.75">
      <c r="A63" s="216" t="s">
        <v>226</v>
      </c>
      <c r="B63" s="423"/>
      <c r="C63" s="424">
        <v>15</v>
      </c>
      <c r="D63" s="233"/>
      <c r="E63" s="233">
        <f t="shared" si="11"/>
        <v>401.75074499999999</v>
      </c>
      <c r="F63" s="211"/>
      <c r="G63" s="384"/>
      <c r="H63" s="213">
        <v>9.44</v>
      </c>
      <c r="I63" s="233"/>
      <c r="J63" s="233">
        <f t="shared" si="12"/>
        <v>252.83513551999999</v>
      </c>
      <c r="K63" s="211"/>
      <c r="L63" s="384"/>
      <c r="M63" s="269">
        <v>4.7300000000000004</v>
      </c>
      <c r="N63" s="233"/>
      <c r="O63" s="233">
        <f t="shared" si="13"/>
        <v>126.68540159000001</v>
      </c>
      <c r="P63" s="211"/>
      <c r="Q63" s="384"/>
      <c r="R63" s="386">
        <v>9.44</v>
      </c>
      <c r="S63" s="233"/>
      <c r="T63" s="233">
        <f t="shared" si="14"/>
        <v>252.83513551999999</v>
      </c>
      <c r="U63" s="211"/>
      <c r="V63" s="384"/>
      <c r="W63" s="269">
        <v>18.14</v>
      </c>
      <c r="X63" s="233"/>
      <c r="Y63" s="233">
        <f t="shared" si="15"/>
        <v>485.85056761999999</v>
      </c>
      <c r="Z63" s="211"/>
      <c r="AA63" s="384"/>
      <c r="AB63" s="425">
        <v>3.37</v>
      </c>
      <c r="AC63" s="233"/>
      <c r="AD63" s="233">
        <f t="shared" si="16"/>
        <v>90.260000710000014</v>
      </c>
      <c r="AE63" s="211"/>
      <c r="AF63" s="384"/>
      <c r="AG63" s="391">
        <v>37.53</v>
      </c>
      <c r="AH63" s="233"/>
      <c r="AI63" s="233">
        <f t="shared" si="17"/>
        <v>1005.18036399</v>
      </c>
      <c r="AJ63" s="211"/>
      <c r="AK63" s="384"/>
      <c r="AL63" s="391">
        <v>45.98</v>
      </c>
      <c r="AM63" s="233"/>
      <c r="AN63" s="233">
        <f t="shared" si="18"/>
        <v>1231.4999503399999</v>
      </c>
      <c r="AO63" s="211"/>
      <c r="AP63" s="390"/>
      <c r="AQ63" s="391">
        <v>4.49</v>
      </c>
      <c r="AR63" s="233"/>
      <c r="AS63" s="233">
        <f t="shared" si="19"/>
        <v>120.25738966999999</v>
      </c>
      <c r="AT63" s="211"/>
      <c r="AU63" s="384"/>
      <c r="AV63" s="269">
        <v>187.26</v>
      </c>
      <c r="AW63" s="233"/>
      <c r="AX63" s="233">
        <f t="shared" si="20"/>
        <v>5015.4563005800001</v>
      </c>
      <c r="AY63" s="211"/>
      <c r="AZ63" s="384"/>
      <c r="BA63" s="269">
        <v>1.0900000000000001</v>
      </c>
      <c r="BB63" s="233"/>
      <c r="BC63" s="233">
        <f t="shared" si="21"/>
        <v>29.193887470000004</v>
      </c>
      <c r="BD63" s="211"/>
      <c r="BE63" s="384"/>
      <c r="BF63" s="211"/>
      <c r="BG63" s="392">
        <v>26783383</v>
      </c>
    </row>
    <row r="64" spans="1:59" ht="12.75">
      <c r="A64" s="216" t="s">
        <v>227</v>
      </c>
      <c r="B64" s="423"/>
      <c r="C64" s="424">
        <v>192.4</v>
      </c>
      <c r="D64" s="233"/>
      <c r="E64" s="233">
        <f t="shared" si="11"/>
        <v>1222.1473108</v>
      </c>
      <c r="F64" s="211"/>
      <c r="G64" s="384"/>
      <c r="H64" s="213">
        <v>9.99</v>
      </c>
      <c r="I64" s="233"/>
      <c r="J64" s="233">
        <f t="shared" si="12"/>
        <v>63.457648829999997</v>
      </c>
      <c r="K64" s="211"/>
      <c r="L64" s="384"/>
      <c r="M64" s="269">
        <v>30.55</v>
      </c>
      <c r="N64" s="233"/>
      <c r="O64" s="233">
        <f t="shared" si="13"/>
        <v>194.05717435</v>
      </c>
      <c r="P64" s="211"/>
      <c r="Q64" s="384"/>
      <c r="R64" s="386">
        <v>67.540000000000006</v>
      </c>
      <c r="S64" s="233"/>
      <c r="T64" s="233">
        <f t="shared" si="14"/>
        <v>429.02198218000007</v>
      </c>
      <c r="U64" s="211"/>
      <c r="V64" s="384"/>
      <c r="W64" s="269">
        <v>35.1</v>
      </c>
      <c r="X64" s="233"/>
      <c r="Y64" s="233">
        <f t="shared" si="15"/>
        <v>222.95930670000001</v>
      </c>
      <c r="Z64" s="211"/>
      <c r="AA64" s="384"/>
      <c r="AB64" s="425">
        <v>25.92</v>
      </c>
      <c r="AC64" s="233"/>
      <c r="AD64" s="233">
        <f t="shared" si="16"/>
        <v>164.64687264000003</v>
      </c>
      <c r="AE64" s="211"/>
      <c r="AF64" s="384"/>
      <c r="AG64" s="391">
        <v>156.24</v>
      </c>
      <c r="AH64" s="233"/>
      <c r="AI64" s="233">
        <f t="shared" si="17"/>
        <v>992.45476008000003</v>
      </c>
      <c r="AJ64" s="211"/>
      <c r="AK64" s="384"/>
      <c r="AL64" s="391">
        <v>118.83</v>
      </c>
      <c r="AM64" s="233"/>
      <c r="AN64" s="233">
        <f t="shared" si="18"/>
        <v>754.82206311000004</v>
      </c>
      <c r="AO64" s="211"/>
      <c r="AP64" s="390"/>
      <c r="AQ64" s="391">
        <v>8.0299999999999994</v>
      </c>
      <c r="AR64" s="233"/>
      <c r="AS64" s="233">
        <f t="shared" si="19"/>
        <v>51.007499509999995</v>
      </c>
      <c r="AT64" s="211"/>
      <c r="AU64" s="384"/>
      <c r="AV64" s="269">
        <v>144.86000000000001</v>
      </c>
      <c r="AW64" s="233"/>
      <c r="AX64" s="233">
        <f t="shared" si="20"/>
        <v>920.16766862000009</v>
      </c>
      <c r="AY64" s="211"/>
      <c r="AZ64" s="384"/>
      <c r="BA64" s="269">
        <v>3.88</v>
      </c>
      <c r="BB64" s="233"/>
      <c r="BC64" s="233">
        <f t="shared" si="21"/>
        <v>24.646213960000001</v>
      </c>
      <c r="BD64" s="211"/>
      <c r="BE64" s="384"/>
      <c r="BF64" s="211"/>
      <c r="BG64" s="392">
        <v>6352117</v>
      </c>
    </row>
    <row r="65" spans="1:59" ht="12.75">
      <c r="A65" s="216" t="s">
        <v>228</v>
      </c>
      <c r="B65" s="423"/>
      <c r="C65" s="424">
        <v>41.8</v>
      </c>
      <c r="D65" s="233"/>
      <c r="E65" s="233">
        <f t="shared" si="11"/>
        <v>246.90256799999997</v>
      </c>
      <c r="F65" s="211"/>
      <c r="G65" s="384"/>
      <c r="H65" s="213">
        <v>3.28</v>
      </c>
      <c r="I65" s="233"/>
      <c r="J65" s="233">
        <f t="shared" si="12"/>
        <v>19.374172799999997</v>
      </c>
      <c r="K65" s="211"/>
      <c r="L65" s="384"/>
      <c r="M65" s="269">
        <v>9.58</v>
      </c>
      <c r="N65" s="233"/>
      <c r="O65" s="233">
        <f t="shared" si="13"/>
        <v>56.5867608</v>
      </c>
      <c r="P65" s="211"/>
      <c r="Q65" s="384"/>
      <c r="R65" s="386">
        <v>24.75</v>
      </c>
      <c r="S65" s="233"/>
      <c r="T65" s="233">
        <f t="shared" si="14"/>
        <v>146.19230999999999</v>
      </c>
      <c r="U65" s="211"/>
      <c r="V65" s="384"/>
      <c r="W65" s="269">
        <v>19.05</v>
      </c>
      <c r="X65" s="233"/>
      <c r="Y65" s="233">
        <f t="shared" si="15"/>
        <v>112.52377799999999</v>
      </c>
      <c r="Z65" s="211"/>
      <c r="AA65" s="384"/>
      <c r="AB65" s="391">
        <v>5.87</v>
      </c>
      <c r="AC65" s="233"/>
      <c r="AD65" s="233">
        <f t="shared" si="16"/>
        <v>34.6726812</v>
      </c>
      <c r="AE65" s="211"/>
      <c r="AF65" s="384"/>
      <c r="AG65" s="391">
        <v>104.27</v>
      </c>
      <c r="AH65" s="233"/>
      <c r="AI65" s="233">
        <f t="shared" si="17"/>
        <v>615.89786519999996</v>
      </c>
      <c r="AJ65" s="211"/>
      <c r="AK65" s="384"/>
      <c r="AL65" s="391">
        <v>57.5</v>
      </c>
      <c r="AM65" s="233"/>
      <c r="AN65" s="233">
        <f t="shared" si="18"/>
        <v>339.63869999999997</v>
      </c>
      <c r="AO65" s="211"/>
      <c r="AP65" s="390"/>
      <c r="AQ65" s="391">
        <v>7.99</v>
      </c>
      <c r="AR65" s="233"/>
      <c r="AS65" s="233">
        <f t="shared" si="19"/>
        <v>47.195012399999996</v>
      </c>
      <c r="AT65" s="211"/>
      <c r="AU65" s="384"/>
      <c r="AV65" s="269">
        <v>140.78</v>
      </c>
      <c r="AW65" s="233"/>
      <c r="AX65" s="233">
        <f t="shared" si="20"/>
        <v>831.55367279999996</v>
      </c>
      <c r="AY65" s="211"/>
      <c r="AZ65" s="384"/>
      <c r="BA65" s="269">
        <v>1.46</v>
      </c>
      <c r="BB65" s="233"/>
      <c r="BC65" s="233">
        <f t="shared" si="21"/>
        <v>8.623869599999999</v>
      </c>
      <c r="BD65" s="211"/>
      <c r="BE65" s="384"/>
      <c r="BF65" s="211"/>
      <c r="BG65" s="392">
        <v>5906760</v>
      </c>
    </row>
    <row r="66" spans="1:59" ht="12.75">
      <c r="A66" s="216" t="s">
        <v>229</v>
      </c>
      <c r="B66" s="423"/>
      <c r="C66" s="424">
        <v>47.9</v>
      </c>
      <c r="D66" s="233"/>
      <c r="E66" s="233">
        <f t="shared" si="11"/>
        <v>115.84102470000001</v>
      </c>
      <c r="F66" s="211"/>
      <c r="G66" s="384"/>
      <c r="H66" s="213">
        <v>18.309999999999999</v>
      </c>
      <c r="I66" s="233"/>
      <c r="J66" s="233">
        <f t="shared" si="12"/>
        <v>44.280775829999996</v>
      </c>
      <c r="K66" s="211"/>
      <c r="L66" s="384"/>
      <c r="M66" s="269">
        <v>22.1</v>
      </c>
      <c r="N66" s="233"/>
      <c r="O66" s="233">
        <f t="shared" si="13"/>
        <v>53.446485300000006</v>
      </c>
      <c r="P66" s="211"/>
      <c r="Q66" s="384"/>
      <c r="R66" s="426">
        <v>47.97</v>
      </c>
      <c r="S66" s="233"/>
      <c r="T66" s="233">
        <f t="shared" si="14"/>
        <v>116.01031221</v>
      </c>
      <c r="U66" s="211"/>
      <c r="V66" s="384"/>
      <c r="W66" s="269">
        <v>37.53</v>
      </c>
      <c r="X66" s="233"/>
      <c r="Y66" s="233">
        <f t="shared" si="15"/>
        <v>90.762289290000012</v>
      </c>
      <c r="Z66" s="211"/>
      <c r="AA66" s="384"/>
      <c r="AB66" s="425">
        <v>11.48</v>
      </c>
      <c r="AC66" s="233"/>
      <c r="AD66" s="233">
        <f t="shared" si="16"/>
        <v>27.76315164</v>
      </c>
      <c r="AE66" s="211"/>
      <c r="AF66" s="384"/>
      <c r="AG66" s="391">
        <v>178.82</v>
      </c>
      <c r="AH66" s="233"/>
      <c r="AI66" s="233">
        <f t="shared" si="17"/>
        <v>432.45703626</v>
      </c>
      <c r="AJ66" s="211"/>
      <c r="AK66" s="384"/>
      <c r="AL66" s="391">
        <v>108.81</v>
      </c>
      <c r="AM66" s="233"/>
      <c r="AN66" s="233">
        <f t="shared" si="18"/>
        <v>263.14534233000001</v>
      </c>
      <c r="AO66" s="211"/>
      <c r="AP66" s="390"/>
      <c r="AQ66" s="391">
        <v>6.44</v>
      </c>
      <c r="AR66" s="233"/>
      <c r="AS66" s="233">
        <f t="shared" si="19"/>
        <v>15.574450920000002</v>
      </c>
      <c r="AT66" s="211"/>
      <c r="AU66" s="384"/>
      <c r="AV66" s="269">
        <v>157.72</v>
      </c>
      <c r="AW66" s="233"/>
      <c r="AX66" s="233">
        <f t="shared" si="20"/>
        <v>381.42894395999997</v>
      </c>
      <c r="AY66" s="211"/>
      <c r="AZ66" s="384"/>
      <c r="BA66" s="269">
        <v>1.99</v>
      </c>
      <c r="BB66" s="233"/>
      <c r="BC66" s="233">
        <f t="shared" si="21"/>
        <v>4.8126020700000005</v>
      </c>
      <c r="BD66" s="211"/>
      <c r="BE66" s="384"/>
      <c r="BF66" s="211"/>
      <c r="BG66" s="392">
        <v>2418393</v>
      </c>
    </row>
    <row r="67" spans="1:59" ht="12.75">
      <c r="A67" s="216" t="s">
        <v>230</v>
      </c>
      <c r="B67" s="423"/>
      <c r="C67" s="424">
        <v>62.5</v>
      </c>
      <c r="D67" s="233"/>
      <c r="E67" s="233">
        <f t="shared" si="11"/>
        <v>242.12812500000001</v>
      </c>
      <c r="F67" s="211"/>
      <c r="G67" s="384"/>
      <c r="H67" s="213">
        <v>2.13</v>
      </c>
      <c r="I67" s="233"/>
      <c r="J67" s="233">
        <f t="shared" si="12"/>
        <v>8.2517265000000002</v>
      </c>
      <c r="K67" s="211"/>
      <c r="L67" s="384"/>
      <c r="M67" s="269">
        <v>12.16</v>
      </c>
      <c r="N67" s="233"/>
      <c r="O67" s="233">
        <f t="shared" si="13"/>
        <v>47.108448000000003</v>
      </c>
      <c r="P67" s="211"/>
      <c r="Q67" s="384"/>
      <c r="R67" s="269">
        <v>17.829999999999998</v>
      </c>
      <c r="S67" s="233"/>
      <c r="T67" s="233">
        <f t="shared" si="14"/>
        <v>69.074311499999993</v>
      </c>
      <c r="U67" s="211"/>
      <c r="V67" s="384"/>
      <c r="W67" s="269">
        <v>43.18</v>
      </c>
      <c r="X67" s="233"/>
      <c r="Y67" s="233">
        <f t="shared" si="15"/>
        <v>167.28147899999999</v>
      </c>
      <c r="Z67" s="211"/>
      <c r="AA67" s="384"/>
      <c r="AB67" s="425">
        <v>8.73</v>
      </c>
      <c r="AC67" s="233"/>
      <c r="AD67" s="233">
        <f t="shared" si="16"/>
        <v>33.820456499999999</v>
      </c>
      <c r="AE67" s="211"/>
      <c r="AF67" s="384"/>
      <c r="AG67" s="391">
        <v>129.43</v>
      </c>
      <c r="AH67" s="233"/>
      <c r="AI67" s="233">
        <f t="shared" si="17"/>
        <v>501.41829150000001</v>
      </c>
      <c r="AJ67" s="211"/>
      <c r="AK67" s="384"/>
      <c r="AL67" s="391">
        <v>106.28</v>
      </c>
      <c r="AM67" s="233"/>
      <c r="AN67" s="233">
        <f t="shared" si="18"/>
        <v>411.73403400000001</v>
      </c>
      <c r="AO67" s="211"/>
      <c r="AP67" s="390"/>
      <c r="AQ67" s="391">
        <v>7.65</v>
      </c>
      <c r="AR67" s="233"/>
      <c r="AS67" s="233">
        <f t="shared" si="19"/>
        <v>29.6364825</v>
      </c>
      <c r="AT67" s="211"/>
      <c r="AU67" s="384"/>
      <c r="AV67" s="269">
        <v>141.9</v>
      </c>
      <c r="AW67" s="233"/>
      <c r="AX67" s="233">
        <f t="shared" si="20"/>
        <v>549.72769500000004</v>
      </c>
      <c r="AY67" s="211"/>
      <c r="AZ67" s="384"/>
      <c r="BA67" s="269">
        <v>6.85</v>
      </c>
      <c r="BB67" s="233"/>
      <c r="BC67" s="233">
        <f t="shared" si="21"/>
        <v>26.537242500000001</v>
      </c>
      <c r="BD67" s="211"/>
      <c r="BE67" s="384"/>
      <c r="BF67" s="211"/>
      <c r="BG67" s="392">
        <v>3874050</v>
      </c>
    </row>
    <row r="68" spans="1:59" ht="12.75">
      <c r="A68" s="216" t="s">
        <v>231</v>
      </c>
      <c r="B68" s="423"/>
      <c r="C68" s="424">
        <v>108.3</v>
      </c>
      <c r="D68" s="233"/>
      <c r="E68" s="233">
        <f t="shared" si="11"/>
        <v>335.9714007</v>
      </c>
      <c r="F68" s="211"/>
      <c r="G68" s="384"/>
      <c r="H68" s="213">
        <v>8.15</v>
      </c>
      <c r="I68" s="233"/>
      <c r="J68" s="233">
        <f t="shared" si="12"/>
        <v>25.283166350000002</v>
      </c>
      <c r="K68" s="211"/>
      <c r="L68" s="384"/>
      <c r="M68" s="269">
        <v>21.55</v>
      </c>
      <c r="N68" s="233"/>
      <c r="O68" s="233">
        <f t="shared" si="13"/>
        <v>66.853034950000009</v>
      </c>
      <c r="P68" s="211"/>
      <c r="Q68" s="384"/>
      <c r="R68" s="269">
        <v>20.63</v>
      </c>
      <c r="S68" s="233"/>
      <c r="T68" s="233">
        <f t="shared" si="14"/>
        <v>63.998984269999994</v>
      </c>
      <c r="U68" s="211"/>
      <c r="V68" s="384"/>
      <c r="W68" s="269">
        <v>24.47</v>
      </c>
      <c r="X68" s="233"/>
      <c r="Y68" s="233">
        <f t="shared" si="15"/>
        <v>75.911543629999997</v>
      </c>
      <c r="Z68" s="211"/>
      <c r="AA68" s="384"/>
      <c r="AB68" s="391">
        <v>28.54</v>
      </c>
      <c r="AC68" s="233"/>
      <c r="AD68" s="233">
        <f t="shared" si="16"/>
        <v>88.53761566</v>
      </c>
      <c r="AE68" s="211"/>
      <c r="AF68" s="384"/>
      <c r="AG68" s="391">
        <v>154.59</v>
      </c>
      <c r="AH68" s="233"/>
      <c r="AI68" s="233">
        <f t="shared" si="17"/>
        <v>479.57358111000002</v>
      </c>
      <c r="AJ68" s="211"/>
      <c r="AK68" s="384"/>
      <c r="AL68" s="391">
        <v>229.22</v>
      </c>
      <c r="AM68" s="233"/>
      <c r="AN68" s="233">
        <f t="shared" si="18"/>
        <v>711.09293137999998</v>
      </c>
      <c r="AO68" s="211"/>
      <c r="AP68" s="390"/>
      <c r="AQ68" s="391">
        <v>4.32</v>
      </c>
      <c r="AR68" s="233"/>
      <c r="AS68" s="233">
        <f t="shared" si="19"/>
        <v>13.401629280000002</v>
      </c>
      <c r="AT68" s="211"/>
      <c r="AU68" s="384"/>
      <c r="AV68" s="269">
        <v>131.83000000000001</v>
      </c>
      <c r="AW68" s="233"/>
      <c r="AX68" s="233">
        <f t="shared" si="20"/>
        <v>408.96684907000008</v>
      </c>
      <c r="AY68" s="211"/>
      <c r="AZ68" s="384"/>
      <c r="BA68" s="269">
        <v>0.68</v>
      </c>
      <c r="BB68" s="233"/>
      <c r="BC68" s="233">
        <f t="shared" si="21"/>
        <v>2.1095157200000001</v>
      </c>
      <c r="BD68" s="211"/>
      <c r="BE68" s="384"/>
      <c r="BF68" s="211"/>
      <c r="BG68" s="392">
        <v>3102229</v>
      </c>
    </row>
    <row r="69" spans="1:59" ht="12.75">
      <c r="A69" s="216" t="s">
        <v>232</v>
      </c>
      <c r="B69" s="423"/>
      <c r="C69" s="424">
        <v>64</v>
      </c>
      <c r="D69" s="233"/>
      <c r="E69" s="233">
        <f t="shared" si="11"/>
        <v>1729.262784</v>
      </c>
      <c r="F69" s="211"/>
      <c r="G69" s="384"/>
      <c r="H69" s="213">
        <v>6.56</v>
      </c>
      <c r="I69" s="233"/>
      <c r="J69" s="233">
        <f t="shared" si="12"/>
        <v>177.24943535999998</v>
      </c>
      <c r="K69" s="211"/>
      <c r="L69" s="384"/>
      <c r="M69" s="269">
        <v>10.45</v>
      </c>
      <c r="N69" s="233"/>
      <c r="O69" s="233">
        <f t="shared" si="13"/>
        <v>282.35618894999999</v>
      </c>
      <c r="P69" s="211"/>
      <c r="Q69" s="384"/>
      <c r="R69" s="386">
        <v>35</v>
      </c>
      <c r="S69" s="233"/>
      <c r="T69" s="233">
        <f t="shared" si="14"/>
        <v>945.69058500000006</v>
      </c>
      <c r="U69" s="211"/>
      <c r="V69" s="384"/>
      <c r="W69" s="269">
        <v>16.36</v>
      </c>
      <c r="X69" s="233"/>
      <c r="Y69" s="233">
        <f t="shared" si="15"/>
        <v>442.04279915999996</v>
      </c>
      <c r="Z69" s="211"/>
      <c r="AA69" s="384"/>
      <c r="AB69" s="391">
        <v>11.33</v>
      </c>
      <c r="AC69" s="233"/>
      <c r="AD69" s="233">
        <f t="shared" si="16"/>
        <v>306.13355223000002</v>
      </c>
      <c r="AE69" s="211"/>
      <c r="AF69" s="384"/>
      <c r="AG69" s="391">
        <v>62.31</v>
      </c>
      <c r="AH69" s="233"/>
      <c r="AI69" s="233">
        <f t="shared" si="17"/>
        <v>1683.5994386100001</v>
      </c>
      <c r="AJ69" s="211"/>
      <c r="AK69" s="384"/>
      <c r="AL69" s="391">
        <v>91.52</v>
      </c>
      <c r="AM69" s="233"/>
      <c r="AN69" s="233">
        <f t="shared" si="18"/>
        <v>2472.8457811200001</v>
      </c>
      <c r="AO69" s="211"/>
      <c r="AP69" s="390"/>
      <c r="AQ69" s="391">
        <v>6</v>
      </c>
      <c r="AR69" s="233"/>
      <c r="AS69" s="233">
        <f t="shared" si="19"/>
        <v>162.11838599999999</v>
      </c>
      <c r="AT69" s="211"/>
      <c r="AU69" s="384"/>
      <c r="AV69" s="269">
        <v>189.55</v>
      </c>
      <c r="AW69" s="233"/>
      <c r="AX69" s="233">
        <f t="shared" si="20"/>
        <v>5121.5900110500006</v>
      </c>
      <c r="AY69" s="211"/>
      <c r="AZ69" s="384"/>
      <c r="BA69" s="269">
        <v>1.26</v>
      </c>
      <c r="BB69" s="233"/>
      <c r="BC69" s="233">
        <f t="shared" si="21"/>
        <v>34.044861060000002</v>
      </c>
      <c r="BD69" s="211"/>
      <c r="BE69" s="384"/>
      <c r="BF69" s="211"/>
      <c r="BG69" s="392">
        <v>27019731</v>
      </c>
    </row>
    <row r="70" spans="1:59" ht="12.75">
      <c r="A70" s="216" t="s">
        <v>233</v>
      </c>
      <c r="B70" s="423"/>
      <c r="C70" s="424">
        <v>0</v>
      </c>
      <c r="D70" s="233"/>
      <c r="E70" s="233">
        <f t="shared" si="11"/>
        <v>0</v>
      </c>
      <c r="F70" s="211"/>
      <c r="G70" s="384"/>
      <c r="H70" s="213">
        <v>0</v>
      </c>
      <c r="I70" s="233"/>
      <c r="J70" s="233">
        <f t="shared" si="12"/>
        <v>0</v>
      </c>
      <c r="K70" s="211"/>
      <c r="L70" s="384"/>
      <c r="M70" s="400"/>
      <c r="N70" s="233"/>
      <c r="O70" s="233">
        <f t="shared" si="13"/>
        <v>0</v>
      </c>
      <c r="P70" s="211"/>
      <c r="Q70" s="384"/>
      <c r="R70" s="269">
        <v>0</v>
      </c>
      <c r="S70" s="233"/>
      <c r="T70" s="233">
        <f t="shared" si="14"/>
        <v>0</v>
      </c>
      <c r="U70" s="211"/>
      <c r="V70" s="384"/>
      <c r="W70" s="269">
        <v>0</v>
      </c>
      <c r="X70" s="233"/>
      <c r="Y70" s="233">
        <f t="shared" si="15"/>
        <v>0</v>
      </c>
      <c r="Z70" s="211"/>
      <c r="AA70" s="384"/>
      <c r="AB70" s="138">
        <v>0</v>
      </c>
      <c r="AC70" s="233"/>
      <c r="AD70" s="233">
        <f t="shared" si="16"/>
        <v>0</v>
      </c>
      <c r="AE70" s="211"/>
      <c r="AF70" s="384"/>
      <c r="AG70" s="146"/>
      <c r="AH70" s="233"/>
      <c r="AI70" s="233">
        <f t="shared" si="17"/>
        <v>0</v>
      </c>
      <c r="AJ70" s="211"/>
      <c r="AK70" s="384"/>
      <c r="AL70" s="146"/>
      <c r="AM70" s="233"/>
      <c r="AN70" s="233">
        <f t="shared" si="18"/>
        <v>0</v>
      </c>
      <c r="AO70" s="211"/>
      <c r="AP70" s="390"/>
      <c r="AQ70" s="138">
        <v>0</v>
      </c>
      <c r="AR70" s="233"/>
      <c r="AS70" s="233">
        <f t="shared" si="19"/>
        <v>0</v>
      </c>
      <c r="AT70" s="211"/>
      <c r="AU70" s="384"/>
      <c r="AV70" s="269">
        <v>0</v>
      </c>
      <c r="AW70" s="233"/>
      <c r="AX70" s="233">
        <f t="shared" si="20"/>
        <v>0</v>
      </c>
      <c r="AY70" s="211"/>
      <c r="AZ70" s="384"/>
      <c r="BA70" s="269">
        <v>0</v>
      </c>
      <c r="BB70" s="233"/>
      <c r="BC70" s="233">
        <f t="shared" si="21"/>
        <v>0</v>
      </c>
      <c r="BD70" s="211"/>
      <c r="BE70" s="384"/>
      <c r="BF70" s="211"/>
      <c r="BG70" s="392">
        <v>18881361</v>
      </c>
    </row>
    <row r="71" spans="1:59" ht="12.75">
      <c r="A71" s="216" t="s">
        <v>234</v>
      </c>
      <c r="B71" s="423"/>
      <c r="C71" s="424">
        <v>33.200000000000003</v>
      </c>
      <c r="D71" s="233"/>
      <c r="E71" s="233">
        <f t="shared" si="11"/>
        <v>86.410071600000009</v>
      </c>
      <c r="F71" s="211"/>
      <c r="G71" s="384"/>
      <c r="H71" s="213">
        <v>7.48</v>
      </c>
      <c r="I71" s="233"/>
      <c r="J71" s="233">
        <f t="shared" si="12"/>
        <v>19.468293240000001</v>
      </c>
      <c r="K71" s="211"/>
      <c r="L71" s="384"/>
      <c r="M71" s="269">
        <v>25.12</v>
      </c>
      <c r="N71" s="233"/>
      <c r="O71" s="233">
        <f t="shared" si="13"/>
        <v>65.380150560000004</v>
      </c>
      <c r="P71" s="211"/>
      <c r="Q71" s="384"/>
      <c r="R71" s="386">
        <v>43.04</v>
      </c>
      <c r="S71" s="233"/>
      <c r="T71" s="233">
        <f t="shared" si="14"/>
        <v>112.02076751999999</v>
      </c>
      <c r="U71" s="211"/>
      <c r="V71" s="384"/>
      <c r="W71" s="269">
        <v>12.9</v>
      </c>
      <c r="X71" s="233"/>
      <c r="Y71" s="233">
        <f t="shared" si="15"/>
        <v>33.574997700000004</v>
      </c>
      <c r="Z71" s="211"/>
      <c r="AA71" s="384"/>
      <c r="AB71" s="391">
        <v>24.71</v>
      </c>
      <c r="AC71" s="233"/>
      <c r="AD71" s="233">
        <f t="shared" si="16"/>
        <v>64.313038230000004</v>
      </c>
      <c r="AE71" s="211"/>
      <c r="AF71" s="384"/>
      <c r="AG71" s="391">
        <v>103.82</v>
      </c>
      <c r="AH71" s="233"/>
      <c r="AI71" s="233">
        <f t="shared" si="17"/>
        <v>270.21366365999995</v>
      </c>
      <c r="AJ71" s="211"/>
      <c r="AK71" s="384"/>
      <c r="AL71" s="391">
        <v>116.72</v>
      </c>
      <c r="AM71" s="233"/>
      <c r="AN71" s="233">
        <f t="shared" si="18"/>
        <v>303.78866135999999</v>
      </c>
      <c r="AO71" s="211"/>
      <c r="AP71" s="390"/>
      <c r="AQ71" s="391">
        <v>24.51</v>
      </c>
      <c r="AR71" s="233"/>
      <c r="AS71" s="233">
        <f t="shared" si="19"/>
        <v>63.792495630000005</v>
      </c>
      <c r="AT71" s="211"/>
      <c r="AU71" s="384"/>
      <c r="AV71" s="269">
        <v>164.84</v>
      </c>
      <c r="AW71" s="233"/>
      <c r="AX71" s="233">
        <f t="shared" si="20"/>
        <v>429.03121092000004</v>
      </c>
      <c r="AY71" s="211"/>
      <c r="AZ71" s="384"/>
      <c r="BA71" s="269">
        <v>2.62</v>
      </c>
      <c r="BB71" s="233"/>
      <c r="BC71" s="233">
        <f t="shared" si="21"/>
        <v>6.8191080600000005</v>
      </c>
      <c r="BD71" s="211"/>
      <c r="BE71" s="384"/>
      <c r="BF71" s="211"/>
      <c r="BG71" s="392">
        <v>2602713</v>
      </c>
    </row>
    <row r="72" spans="1:59" ht="12.75">
      <c r="A72" s="216" t="s">
        <v>235</v>
      </c>
      <c r="B72" s="423"/>
      <c r="C72" s="424">
        <v>11.4</v>
      </c>
      <c r="D72" s="233"/>
      <c r="E72" s="233">
        <f t="shared" si="11"/>
        <v>244.6005432</v>
      </c>
      <c r="F72" s="211"/>
      <c r="G72" s="384"/>
      <c r="H72" s="213">
        <v>1.56</v>
      </c>
      <c r="I72" s="233"/>
      <c r="J72" s="233">
        <f t="shared" si="12"/>
        <v>33.471653279999998</v>
      </c>
      <c r="K72" s="211"/>
      <c r="L72" s="384"/>
      <c r="M72" s="269">
        <v>8.6199999999999992</v>
      </c>
      <c r="N72" s="233"/>
      <c r="O72" s="233">
        <f t="shared" si="13"/>
        <v>184.95234055999998</v>
      </c>
      <c r="P72" s="211"/>
      <c r="Q72" s="384"/>
      <c r="R72" s="386">
        <v>6.47</v>
      </c>
      <c r="S72" s="233"/>
      <c r="T72" s="233">
        <f t="shared" si="14"/>
        <v>138.82153635999998</v>
      </c>
      <c r="U72" s="211"/>
      <c r="V72" s="384"/>
      <c r="W72" s="269">
        <v>10.039999999999999</v>
      </c>
      <c r="X72" s="233"/>
      <c r="Y72" s="233">
        <f t="shared" si="15"/>
        <v>215.42012751999999</v>
      </c>
      <c r="Z72" s="211"/>
      <c r="AA72" s="384"/>
      <c r="AB72" s="391">
        <v>3.17</v>
      </c>
      <c r="AC72" s="233"/>
      <c r="AD72" s="233">
        <f t="shared" si="16"/>
        <v>68.016115959999993</v>
      </c>
      <c r="AE72" s="211"/>
      <c r="AF72" s="384"/>
      <c r="AG72" s="391">
        <v>19.440000000000001</v>
      </c>
      <c r="AH72" s="233"/>
      <c r="AI72" s="233">
        <f t="shared" si="17"/>
        <v>417.10829472</v>
      </c>
      <c r="AJ72" s="211"/>
      <c r="AK72" s="384"/>
      <c r="AL72" s="391">
        <v>52.64</v>
      </c>
      <c r="AM72" s="233"/>
      <c r="AN72" s="233">
        <f t="shared" si="18"/>
        <v>1129.45373632</v>
      </c>
      <c r="AO72" s="211"/>
      <c r="AP72" s="390"/>
      <c r="AQ72" s="391">
        <v>4.04</v>
      </c>
      <c r="AR72" s="233"/>
      <c r="AS72" s="233">
        <f t="shared" si="19"/>
        <v>86.682999519999996</v>
      </c>
      <c r="AT72" s="211"/>
      <c r="AU72" s="384"/>
      <c r="AV72" s="269">
        <v>173.58</v>
      </c>
      <c r="AW72" s="233"/>
      <c r="AX72" s="233">
        <f t="shared" si="20"/>
        <v>3724.3651130400003</v>
      </c>
      <c r="AY72" s="211"/>
      <c r="AZ72" s="384"/>
      <c r="BA72" s="269">
        <v>0.28000000000000003</v>
      </c>
      <c r="BB72" s="233"/>
      <c r="BC72" s="233">
        <f t="shared" si="21"/>
        <v>6.0077326400000004</v>
      </c>
      <c r="BD72" s="211"/>
      <c r="BE72" s="384"/>
      <c r="BF72" s="211"/>
      <c r="BG72" s="392">
        <v>21456188</v>
      </c>
    </row>
    <row r="73" spans="1:59" ht="12.75">
      <c r="A73" s="224"/>
      <c r="B73" s="397"/>
      <c r="C73" s="398"/>
      <c r="D73" s="257"/>
      <c r="E73" s="257"/>
      <c r="F73" s="413"/>
      <c r="G73" s="384"/>
      <c r="H73" s="414"/>
      <c r="I73" s="257"/>
      <c r="J73" s="257"/>
      <c r="K73" s="413"/>
      <c r="L73" s="384"/>
      <c r="M73" s="400"/>
      <c r="N73" s="257"/>
      <c r="O73" s="257"/>
      <c r="P73" s="413"/>
      <c r="Q73" s="384"/>
      <c r="R73" s="211"/>
      <c r="S73" s="257"/>
      <c r="T73" s="257"/>
      <c r="U73" s="413"/>
      <c r="V73" s="384"/>
      <c r="W73" s="211"/>
      <c r="X73" s="257"/>
      <c r="Y73" s="257"/>
      <c r="Z73" s="413"/>
      <c r="AA73" s="384"/>
      <c r="AB73" s="396"/>
      <c r="AC73" s="257"/>
      <c r="AD73" s="257"/>
      <c r="AE73" s="413"/>
      <c r="AF73" s="384"/>
      <c r="AG73" s="396"/>
      <c r="AH73" s="257"/>
      <c r="AI73" s="257"/>
      <c r="AJ73" s="413"/>
      <c r="AK73" s="384"/>
      <c r="AL73" s="396"/>
      <c r="AM73" s="257"/>
      <c r="AN73" s="257"/>
      <c r="AO73" s="413"/>
      <c r="AP73" s="390"/>
      <c r="AQ73" s="396"/>
      <c r="AR73" s="257"/>
      <c r="AS73" s="257"/>
      <c r="AT73" s="413"/>
      <c r="AU73" s="384"/>
      <c r="AV73" s="257"/>
      <c r="AW73" s="257"/>
      <c r="AX73" s="257"/>
      <c r="AY73" s="413"/>
      <c r="AZ73" s="384"/>
      <c r="BA73" s="211"/>
      <c r="BB73" s="257"/>
      <c r="BC73" s="257"/>
      <c r="BD73" s="413"/>
      <c r="BE73" s="384"/>
      <c r="BF73" s="211"/>
      <c r="BG73" s="410"/>
    </row>
    <row r="74" spans="1:59" ht="12.75">
      <c r="A74" s="366" t="s">
        <v>98</v>
      </c>
      <c r="B74" s="367">
        <f>(C74+H74+M74+R74+W74+AB74+AG74+AL74+AQ74+AV74+BA74)</f>
        <v>1868.32</v>
      </c>
      <c r="C74" s="416">
        <f>SUM(C77:C80)</f>
        <v>280</v>
      </c>
      <c r="D74" s="368">
        <f>SUM(C74/C$4)</f>
        <v>1.6702607098011493E-2</v>
      </c>
      <c r="E74" s="417">
        <f>SUM(E77:E80)</f>
        <v>73763.761136899993</v>
      </c>
      <c r="F74" s="368">
        <f>SUM(E74/E$4)</f>
        <v>0.14953652986190472</v>
      </c>
      <c r="G74" s="283"/>
      <c r="H74" s="416">
        <f>SUM(H77:H80)</f>
        <v>11.44</v>
      </c>
      <c r="I74" s="368">
        <f>SUM(H74/H$4)</f>
        <v>1.1069717935071846E-2</v>
      </c>
      <c r="J74" s="417">
        <f>SUM(J77:J80)</f>
        <v>4234.1526322100008</v>
      </c>
      <c r="K74" s="368">
        <f>SUM(J74/J$4)</f>
        <v>6.3698502317783498E-2</v>
      </c>
      <c r="L74" s="283"/>
      <c r="M74" s="416">
        <f>SUM(M77:M80)</f>
        <v>27.7</v>
      </c>
      <c r="N74" s="368">
        <f>SUM(M74/M$4)</f>
        <v>6.7475232692115646E-3</v>
      </c>
      <c r="O74" s="417">
        <f>SUM(O77:O80)</f>
        <v>4227.71676329</v>
      </c>
      <c r="P74" s="368">
        <f>SUM(O74/O$4)</f>
        <v>2.2612480540453422E-2</v>
      </c>
      <c r="Q74" s="283"/>
      <c r="R74" s="416">
        <f>SUM(R77:R80)</f>
        <v>10.89</v>
      </c>
      <c r="S74" s="368">
        <f>SUM(R74/R$4)</f>
        <v>4.3476351499714553E-3</v>
      </c>
      <c r="T74" s="417">
        <f>SUM(T77:T80)</f>
        <v>3449.3570053399994</v>
      </c>
      <c r="U74" s="368">
        <f>SUM(T74/T$4)</f>
        <v>3.345827036240278E-2</v>
      </c>
      <c r="V74" s="283"/>
      <c r="W74" s="416">
        <f>SUM(W77:W80)</f>
        <v>188.42</v>
      </c>
      <c r="X74" s="368">
        <f>SUM(W74/W$4)</f>
        <v>1.8183643020789304E-2</v>
      </c>
      <c r="Y74" s="417">
        <f>SUM(Y77:Y80)</f>
        <v>39213.385049850003</v>
      </c>
      <c r="Z74" s="368">
        <f>SUM(Y74/Y$4)</f>
        <v>0.10300009518289299</v>
      </c>
      <c r="AA74" s="283"/>
      <c r="AB74" s="416">
        <f>SUM(AB77:AB80)</f>
        <v>35.76</v>
      </c>
      <c r="AC74" s="368">
        <f>SUM(AB74/AB$4)</f>
        <v>1.4904595583638283E-2</v>
      </c>
      <c r="AD74" s="417">
        <f>SUM(AD77:AD80)</f>
        <v>8444.7634449899997</v>
      </c>
      <c r="AE74" s="368">
        <f>SUM(AD74/AD$4)</f>
        <v>6.4269978300628999E-2</v>
      </c>
      <c r="AF74" s="283"/>
      <c r="AG74" s="418">
        <f>SUM(AG77:AG80)</f>
        <v>263.82</v>
      </c>
      <c r="AH74" s="368">
        <f>SUM(AG74/AG$4)</f>
        <v>1.9251734932901336E-2</v>
      </c>
      <c r="AI74" s="417">
        <f>SUM(AI77:AI80)</f>
        <v>95303.282414299989</v>
      </c>
      <c r="AJ74" s="368">
        <f>SUM(AI74/AI$4)</f>
        <v>0.10141960449665804</v>
      </c>
      <c r="AK74" s="283"/>
      <c r="AL74" s="418">
        <f>SUM(AL77:AL80)</f>
        <v>170.20000000000002</v>
      </c>
      <c r="AM74" s="368">
        <f>SUM(AL74/AL$4)</f>
        <v>1.4286217912667728E-2</v>
      </c>
      <c r="AN74" s="417">
        <f>SUM(AN77:AN80)</f>
        <v>68820.317052280006</v>
      </c>
      <c r="AO74" s="368">
        <f>SUM(AN74/AN$4)</f>
        <v>0.13803526455279702</v>
      </c>
      <c r="AP74" s="370"/>
      <c r="AQ74" s="416">
        <f>SUM(AQ77:AQ80)</f>
        <v>45.05</v>
      </c>
      <c r="AR74" s="368">
        <f>SUM(AQ74/AQ$4)</f>
        <v>3.5504590771170748E-2</v>
      </c>
      <c r="AS74" s="417">
        <f>SUM(AS77:AS80)</f>
        <v>19550.008185329996</v>
      </c>
      <c r="AT74" s="368">
        <f>SUM(AS74/AS$4)</f>
        <v>0.28896979225718195</v>
      </c>
      <c r="AU74" s="283"/>
      <c r="AV74" s="416">
        <f>SUM(AV77:AV80)</f>
        <v>830.59</v>
      </c>
      <c r="AW74" s="368">
        <f>SUM(AV74/AV$4)</f>
        <v>3.889733667581588E-2</v>
      </c>
      <c r="AX74" s="417">
        <f>SUM(AX77:AX80)</f>
        <v>224724.87114986998</v>
      </c>
      <c r="AY74" s="368">
        <f>SUM(AX74/AX$4)</f>
        <v>0.20930583341857981</v>
      </c>
      <c r="AZ74" s="283"/>
      <c r="BA74" s="416">
        <f>SUM(BA77:BA80)</f>
        <v>4.45</v>
      </c>
      <c r="BB74" s="368">
        <f>SUM(BA74/BA$4)</f>
        <v>1.6157728477542571E-2</v>
      </c>
      <c r="BC74" s="417">
        <f>SUM(BC77:BC80)</f>
        <v>1990.0802894799999</v>
      </c>
      <c r="BD74" s="368">
        <f>SUM(BC74/BC$4)</f>
        <v>0.13692352350113227</v>
      </c>
      <c r="BE74" s="283"/>
      <c r="BF74" s="282"/>
      <c r="BG74" s="419">
        <f>SUM(BG77:BG80)</f>
        <v>1310898890</v>
      </c>
    </row>
    <row r="75" spans="1:59" ht="12.75">
      <c r="A75" s="372" t="s">
        <v>217</v>
      </c>
      <c r="B75" s="373"/>
      <c r="C75" s="374">
        <f>AVERAGE(C77:C81)</f>
        <v>70</v>
      </c>
      <c r="D75" s="375"/>
      <c r="E75" s="375"/>
      <c r="F75" s="257"/>
      <c r="G75" s="376"/>
      <c r="H75" s="377"/>
      <c r="I75" s="375"/>
      <c r="J75" s="375"/>
      <c r="K75" s="257"/>
      <c r="L75" s="376"/>
      <c r="M75" s="377"/>
      <c r="N75" s="375"/>
      <c r="O75" s="375"/>
      <c r="P75" s="257"/>
      <c r="Q75" s="376"/>
      <c r="R75" s="377"/>
      <c r="S75" s="375"/>
      <c r="T75" s="375"/>
      <c r="U75" s="257"/>
      <c r="V75" s="376"/>
      <c r="W75" s="377"/>
      <c r="X75" s="375"/>
      <c r="Y75" s="375"/>
      <c r="Z75" s="257"/>
      <c r="AA75" s="376"/>
      <c r="AB75" s="377"/>
      <c r="AC75" s="375"/>
      <c r="AD75" s="375"/>
      <c r="AE75" s="257"/>
      <c r="AF75" s="376"/>
      <c r="AG75" s="378"/>
      <c r="AH75" s="375"/>
      <c r="AI75" s="375"/>
      <c r="AJ75" s="257"/>
      <c r="AK75" s="376"/>
      <c r="AL75" s="378"/>
      <c r="AM75" s="375"/>
      <c r="AN75" s="375"/>
      <c r="AO75" s="257"/>
      <c r="AP75" s="379"/>
      <c r="AQ75" s="377"/>
      <c r="AR75" s="375"/>
      <c r="AS75" s="375"/>
      <c r="AT75" s="257"/>
      <c r="AU75" s="376"/>
      <c r="AV75" s="377"/>
      <c r="AW75" s="375"/>
      <c r="AX75" s="375"/>
      <c r="AY75" s="257"/>
      <c r="AZ75" s="376"/>
      <c r="BA75" s="377"/>
      <c r="BB75" s="375"/>
      <c r="BC75" s="375"/>
      <c r="BD75" s="257"/>
      <c r="BE75" s="376"/>
      <c r="BF75" s="257"/>
      <c r="BG75" s="380"/>
    </row>
    <row r="76" spans="1:59" ht="12.75">
      <c r="A76" s="372" t="s">
        <v>218</v>
      </c>
      <c r="B76" s="373"/>
      <c r="C76" s="420">
        <f>C74/$B74</f>
        <v>0.14986726042647941</v>
      </c>
      <c r="D76" s="233"/>
      <c r="E76" s="233"/>
      <c r="F76" s="211"/>
      <c r="G76" s="384"/>
      <c r="H76" s="420">
        <f>H74/$B74</f>
        <v>6.1231480688533017E-3</v>
      </c>
      <c r="I76" s="233"/>
      <c r="J76" s="233"/>
      <c r="K76" s="211"/>
      <c r="L76" s="384"/>
      <c r="M76" s="420">
        <f>M74/$B74</f>
        <v>1.4826153977905284E-2</v>
      </c>
      <c r="N76" s="233"/>
      <c r="O76" s="233"/>
      <c r="P76" s="211"/>
      <c r="Q76" s="384"/>
      <c r="R76" s="420">
        <f>R74/$B74</f>
        <v>5.8287659501584316E-3</v>
      </c>
      <c r="S76" s="233"/>
      <c r="T76" s="233"/>
      <c r="U76" s="211"/>
      <c r="V76" s="384"/>
      <c r="W76" s="420">
        <f>W74/$B74</f>
        <v>0.10084996146270446</v>
      </c>
      <c r="X76" s="233"/>
      <c r="Y76" s="233"/>
      <c r="Z76" s="211"/>
      <c r="AA76" s="384"/>
      <c r="AB76" s="420">
        <f>AB74/$B74</f>
        <v>1.9140190117324655E-2</v>
      </c>
      <c r="AC76" s="233"/>
      <c r="AD76" s="233"/>
      <c r="AE76" s="211"/>
      <c r="AF76" s="384"/>
      <c r="AG76" s="421">
        <f>AG74/$B74</f>
        <v>0.14120707373469213</v>
      </c>
      <c r="AH76" s="233"/>
      <c r="AI76" s="233"/>
      <c r="AJ76" s="211"/>
      <c r="AK76" s="384"/>
      <c r="AL76" s="421">
        <f>AL74/$B74</f>
        <v>9.1097884730667142E-2</v>
      </c>
      <c r="AM76" s="233"/>
      <c r="AN76" s="233"/>
      <c r="AO76" s="211"/>
      <c r="AP76" s="390"/>
      <c r="AQ76" s="420">
        <f>AQ74/$B74</f>
        <v>2.4112571722188919E-2</v>
      </c>
      <c r="AR76" s="233"/>
      <c r="AS76" s="233"/>
      <c r="AT76" s="211"/>
      <c r="AU76" s="384"/>
      <c r="AV76" s="420">
        <f>AV74/$B74</f>
        <v>0.44456517084867692</v>
      </c>
      <c r="AW76" s="233"/>
      <c r="AX76" s="233"/>
      <c r="AY76" s="211"/>
      <c r="AZ76" s="384"/>
      <c r="BA76" s="420">
        <f>BA74/$B74</f>
        <v>2.381818960349405E-3</v>
      </c>
      <c r="BB76" s="233"/>
      <c r="BC76" s="233"/>
      <c r="BD76" s="211"/>
      <c r="BE76" s="384"/>
      <c r="BF76" s="211"/>
      <c r="BG76" s="392"/>
    </row>
    <row r="77" spans="1:59" ht="12.75">
      <c r="A77" s="213" t="s">
        <v>236</v>
      </c>
      <c r="B77" s="423"/>
      <c r="C77" s="424">
        <v>12.3</v>
      </c>
      <c r="D77" s="233"/>
      <c r="E77" s="233">
        <f>SUM(C77*$BG77)/1000000</f>
        <v>263.91111239999998</v>
      </c>
      <c r="F77" s="211"/>
      <c r="G77" s="384"/>
      <c r="H77" s="213">
        <v>2.85</v>
      </c>
      <c r="I77" s="233"/>
      <c r="J77" s="233">
        <f>SUM(H77*$BG77)/1000000</f>
        <v>61.150135800000001</v>
      </c>
      <c r="K77" s="211"/>
      <c r="L77" s="384"/>
      <c r="M77" s="269">
        <v>2.7</v>
      </c>
      <c r="N77" s="233"/>
      <c r="O77" s="233">
        <f>SUM(M77*$BG77)/1000000</f>
        <v>57.931707600000003</v>
      </c>
      <c r="P77" s="211"/>
      <c r="Q77" s="384"/>
      <c r="R77" s="386">
        <v>1.59</v>
      </c>
      <c r="S77" s="233"/>
      <c r="T77" s="233">
        <f>SUM(R77*$BG77)/1000000</f>
        <v>34.115338919999999</v>
      </c>
      <c r="U77" s="211"/>
      <c r="V77" s="384"/>
      <c r="W77" s="269">
        <v>53.27</v>
      </c>
      <c r="X77" s="233"/>
      <c r="Y77" s="233">
        <f>SUM(W77*$BG77)/1000000</f>
        <v>1142.97113476</v>
      </c>
      <c r="Z77" s="211"/>
      <c r="AA77" s="384"/>
      <c r="AB77" s="391">
        <v>24.31</v>
      </c>
      <c r="AC77" s="233"/>
      <c r="AD77" s="233">
        <f>SUM(AB77*$BG77)/1000000</f>
        <v>521.59993027999997</v>
      </c>
      <c r="AE77" s="211"/>
      <c r="AF77" s="384"/>
      <c r="AG77" s="391">
        <v>35.090000000000003</v>
      </c>
      <c r="AH77" s="233"/>
      <c r="AI77" s="233">
        <f>SUM(AG77*$BG77)/1000000</f>
        <v>752.89763692000008</v>
      </c>
      <c r="AJ77" s="211"/>
      <c r="AK77" s="384"/>
      <c r="AL77" s="391">
        <v>23.33</v>
      </c>
      <c r="AM77" s="233"/>
      <c r="AN77" s="233">
        <f>SUM(AL77*$BG77)/1000000</f>
        <v>500.57286603999995</v>
      </c>
      <c r="AO77" s="211"/>
      <c r="AP77" s="390"/>
      <c r="AQ77" s="427">
        <v>8.1199999999999992</v>
      </c>
      <c r="AR77" s="233"/>
      <c r="AS77" s="233">
        <f>SUM(AQ77*$BG77)/1000000</f>
        <v>174.22424655999998</v>
      </c>
      <c r="AT77" s="211"/>
      <c r="AU77" s="384"/>
      <c r="AV77" s="269">
        <v>279.08999999999997</v>
      </c>
      <c r="AW77" s="233"/>
      <c r="AX77" s="233">
        <f>SUM(AV77*$BG77)/1000000</f>
        <v>5988.2075089199989</v>
      </c>
      <c r="AY77" s="211"/>
      <c r="AZ77" s="384"/>
      <c r="BA77" s="269">
        <v>0.85</v>
      </c>
      <c r="BB77" s="233"/>
      <c r="BC77" s="233">
        <f>SUM(BA77*$BG77)/1000000</f>
        <v>18.237759799999999</v>
      </c>
      <c r="BD77" s="211"/>
      <c r="BE77" s="384"/>
      <c r="BF77" s="211"/>
      <c r="BG77" s="392">
        <v>21456188</v>
      </c>
    </row>
    <row r="78" spans="1:59" ht="12.75">
      <c r="A78" s="213" t="s">
        <v>237</v>
      </c>
      <c r="B78" s="423"/>
      <c r="C78" s="424">
        <v>38.200000000000003</v>
      </c>
      <c r="D78" s="233"/>
      <c r="E78" s="233">
        <f>SUM(C78*$BG78)/1000000</f>
        <v>41842.446209000002</v>
      </c>
      <c r="F78" s="211"/>
      <c r="G78" s="384"/>
      <c r="H78" s="213">
        <v>3.25</v>
      </c>
      <c r="I78" s="233"/>
      <c r="J78" s="233">
        <f>SUM(H78*$BG78)/1000000</f>
        <v>3559.8939837500002</v>
      </c>
      <c r="K78" s="211"/>
      <c r="L78" s="384"/>
      <c r="M78" s="269">
        <v>1.79</v>
      </c>
      <c r="N78" s="233"/>
      <c r="O78" s="233">
        <f>SUM(M78*$BG78)/1000000</f>
        <v>1960.6800710499999</v>
      </c>
      <c r="P78" s="211"/>
      <c r="Q78" s="384"/>
      <c r="R78" s="269">
        <v>2.3199999999999998</v>
      </c>
      <c r="S78" s="233"/>
      <c r="T78" s="233">
        <f>SUM(R78*$BG78)/1000000</f>
        <v>2541.2166283999995</v>
      </c>
      <c r="U78" s="211"/>
      <c r="V78" s="384"/>
      <c r="W78" s="269">
        <v>30.1</v>
      </c>
      <c r="X78" s="233"/>
      <c r="Y78" s="233">
        <f>SUM(W78*$BG78)/1000000</f>
        <v>32970.0950495</v>
      </c>
      <c r="Z78" s="211"/>
      <c r="AA78" s="384"/>
      <c r="AB78" s="391">
        <v>6.9</v>
      </c>
      <c r="AC78" s="233"/>
      <c r="AD78" s="233">
        <f>SUM(AB78*$BG78)/1000000</f>
        <v>7557.9287654999998</v>
      </c>
      <c r="AE78" s="211"/>
      <c r="AF78" s="384"/>
      <c r="AG78" s="391">
        <v>79.86</v>
      </c>
      <c r="AH78" s="233"/>
      <c r="AI78" s="233">
        <f>SUM(AG78*$BG78)/1000000</f>
        <v>87474.810320699995</v>
      </c>
      <c r="AJ78" s="211"/>
      <c r="AK78" s="384"/>
      <c r="AL78" s="391">
        <v>56.35</v>
      </c>
      <c r="AM78" s="233"/>
      <c r="AN78" s="233">
        <f>SUM(AL78*$BG78)/1000000</f>
        <v>61723.084918250002</v>
      </c>
      <c r="AO78" s="211"/>
      <c r="AP78" s="390"/>
      <c r="AQ78" s="427">
        <v>16.13</v>
      </c>
      <c r="AR78" s="233"/>
      <c r="AS78" s="233">
        <f>SUM(AQ78*$BG78)/1000000</f>
        <v>17668.027679349998</v>
      </c>
      <c r="AT78" s="211"/>
      <c r="AU78" s="384"/>
      <c r="AV78" s="269">
        <v>171.14</v>
      </c>
      <c r="AW78" s="233"/>
      <c r="AX78" s="233">
        <f>SUM(AV78*$BG78)/1000000</f>
        <v>187458.54042429998</v>
      </c>
      <c r="AY78" s="211"/>
      <c r="AZ78" s="384"/>
      <c r="BA78" s="269">
        <v>1.67</v>
      </c>
      <c r="BB78" s="233"/>
      <c r="BC78" s="233">
        <f>SUM(BA78*$BG78)/1000000</f>
        <v>1829.2378316499999</v>
      </c>
      <c r="BD78" s="211"/>
      <c r="BE78" s="384"/>
      <c r="BF78" s="211"/>
      <c r="BG78" s="392">
        <v>1095351995</v>
      </c>
    </row>
    <row r="79" spans="1:59" ht="12.75">
      <c r="A79" s="213" t="s">
        <v>238</v>
      </c>
      <c r="B79" s="423"/>
      <c r="C79" s="424">
        <v>46.5</v>
      </c>
      <c r="D79" s="233"/>
      <c r="E79" s="233">
        <f>SUM(C79*$BG79)/1000000</f>
        <v>1315.3523355</v>
      </c>
      <c r="F79" s="211"/>
      <c r="G79" s="384"/>
      <c r="H79" s="213">
        <v>1.98</v>
      </c>
      <c r="I79" s="233"/>
      <c r="J79" s="233">
        <f>SUM(H79*$BG79)/1000000</f>
        <v>56.008551060000002</v>
      </c>
      <c r="K79" s="211"/>
      <c r="L79" s="384"/>
      <c r="M79" s="269">
        <v>11.92</v>
      </c>
      <c r="N79" s="233"/>
      <c r="O79" s="233">
        <f>SUM(M79*$BG79)/1000000</f>
        <v>337.18279224000003</v>
      </c>
      <c r="P79" s="211"/>
      <c r="Q79" s="384"/>
      <c r="R79" s="269">
        <v>2.06</v>
      </c>
      <c r="S79" s="233"/>
      <c r="T79" s="233">
        <f>SUM(R79*$BG79)/1000000</f>
        <v>58.271522820000001</v>
      </c>
      <c r="U79" s="211"/>
      <c r="V79" s="384"/>
      <c r="W79" s="269">
        <v>89.57</v>
      </c>
      <c r="X79" s="233"/>
      <c r="Y79" s="233">
        <f>SUM(W79*$BG79)/1000000</f>
        <v>2533.6797567899998</v>
      </c>
      <c r="Z79" s="211"/>
      <c r="AA79" s="384"/>
      <c r="AB79" s="391">
        <v>2.83</v>
      </c>
      <c r="AC79" s="233"/>
      <c r="AD79" s="233">
        <f>SUM(AB79*$BG79)/1000000</f>
        <v>80.052626010000012</v>
      </c>
      <c r="AE79" s="211"/>
      <c r="AF79" s="384"/>
      <c r="AG79" s="391">
        <v>128.04</v>
      </c>
      <c r="AH79" s="233"/>
      <c r="AI79" s="233">
        <f>SUM(AG79*$BG79)/1000000</f>
        <v>3621.8863018799998</v>
      </c>
      <c r="AJ79" s="211"/>
      <c r="AK79" s="384"/>
      <c r="AL79" s="391">
        <v>61.17</v>
      </c>
      <c r="AM79" s="233"/>
      <c r="AN79" s="233">
        <f>SUM(AL79*$BG79)/1000000</f>
        <v>1730.32478199</v>
      </c>
      <c r="AO79" s="211"/>
      <c r="AP79" s="390"/>
      <c r="AQ79" s="427">
        <v>12.66</v>
      </c>
      <c r="AR79" s="233"/>
      <c r="AS79" s="233">
        <f>SUM(AQ79*$BG79)/1000000</f>
        <v>358.11528102</v>
      </c>
      <c r="AT79" s="211"/>
      <c r="AU79" s="384"/>
      <c r="AV79" s="269">
        <v>231.15</v>
      </c>
      <c r="AW79" s="233"/>
      <c r="AX79" s="233">
        <f>SUM(AV79*$BG79)/1000000</f>
        <v>6538.5740290499998</v>
      </c>
      <c r="AY79" s="211"/>
      <c r="AZ79" s="384"/>
      <c r="BA79" s="269">
        <v>1.29</v>
      </c>
      <c r="BB79" s="233"/>
      <c r="BC79" s="233">
        <f>SUM(BA79*$BG79)/1000000</f>
        <v>36.490419630000005</v>
      </c>
      <c r="BD79" s="211"/>
      <c r="BE79" s="384"/>
      <c r="BF79" s="211"/>
      <c r="BG79" s="392">
        <v>28287147</v>
      </c>
    </row>
    <row r="80" spans="1:59" ht="12.75">
      <c r="A80" s="213" t="s">
        <v>239</v>
      </c>
      <c r="B80" s="423"/>
      <c r="C80" s="424">
        <v>183</v>
      </c>
      <c r="D80" s="233"/>
      <c r="E80" s="233">
        <f>SUM(C80*$BG80)/1000000</f>
        <v>30342.051479999998</v>
      </c>
      <c r="F80" s="211"/>
      <c r="G80" s="384"/>
      <c r="H80" s="213">
        <v>3.36</v>
      </c>
      <c r="I80" s="233"/>
      <c r="J80" s="233">
        <f>SUM(H80*$BG80)/1000000</f>
        <v>557.09996160000003</v>
      </c>
      <c r="K80" s="211"/>
      <c r="L80" s="384"/>
      <c r="M80" s="269">
        <v>11.29</v>
      </c>
      <c r="N80" s="233"/>
      <c r="O80" s="233">
        <f>SUM(M80*$BG80)/1000000</f>
        <v>1871.9221923999999</v>
      </c>
      <c r="P80" s="211"/>
      <c r="Q80" s="384"/>
      <c r="R80" s="269">
        <v>4.92</v>
      </c>
      <c r="S80" s="233"/>
      <c r="T80" s="233">
        <f>SUM(R80*$BG80)/1000000</f>
        <v>815.75351520000004</v>
      </c>
      <c r="U80" s="211"/>
      <c r="V80" s="384"/>
      <c r="W80" s="269">
        <v>15.48</v>
      </c>
      <c r="X80" s="233"/>
      <c r="Y80" s="233">
        <f>SUM(W80*$BG80)/1000000</f>
        <v>2566.6391088</v>
      </c>
      <c r="Z80" s="211"/>
      <c r="AA80" s="384"/>
      <c r="AB80" s="391">
        <v>1.72</v>
      </c>
      <c r="AC80" s="233"/>
      <c r="AD80" s="233">
        <f>SUM(AB80*$BG80)/1000000</f>
        <v>285.18212319999998</v>
      </c>
      <c r="AE80" s="211"/>
      <c r="AF80" s="384"/>
      <c r="AG80" s="391">
        <v>20.83</v>
      </c>
      <c r="AH80" s="233"/>
      <c r="AI80" s="233">
        <f>SUM(AG80*$BG80)/1000000</f>
        <v>3453.6881547999997</v>
      </c>
      <c r="AJ80" s="211"/>
      <c r="AK80" s="384"/>
      <c r="AL80" s="391">
        <v>29.35</v>
      </c>
      <c r="AM80" s="233"/>
      <c r="AN80" s="233">
        <f>SUM(AL80*$BG80)/1000000</f>
        <v>4866.3344859999997</v>
      </c>
      <c r="AO80" s="211"/>
      <c r="AP80" s="390"/>
      <c r="AQ80" s="427">
        <v>8.14</v>
      </c>
      <c r="AR80" s="233"/>
      <c r="AS80" s="233">
        <f>SUM(AQ80*$BG80)/1000000</f>
        <v>1349.6409784</v>
      </c>
      <c r="AT80" s="211"/>
      <c r="AU80" s="384"/>
      <c r="AV80" s="269">
        <v>149.21</v>
      </c>
      <c r="AW80" s="233"/>
      <c r="AX80" s="233">
        <f>SUM(AV80*$BG80)/1000000</f>
        <v>24739.549187600001</v>
      </c>
      <c r="AY80" s="211"/>
      <c r="AZ80" s="384"/>
      <c r="BA80" s="269">
        <v>0.64</v>
      </c>
      <c r="BB80" s="233"/>
      <c r="BC80" s="233">
        <f>SUM(BA80*$BG80)/1000000</f>
        <v>106.1142784</v>
      </c>
      <c r="BD80" s="211"/>
      <c r="BE80" s="384"/>
      <c r="BF80" s="211"/>
      <c r="BG80" s="392">
        <v>165803560</v>
      </c>
    </row>
    <row r="81" spans="1:59" ht="12.75">
      <c r="A81" s="224"/>
      <c r="B81" s="397"/>
      <c r="C81" s="398"/>
      <c r="D81" s="211"/>
      <c r="E81" s="211"/>
      <c r="F81" s="211"/>
      <c r="G81" s="384"/>
      <c r="H81" s="211"/>
      <c r="I81" s="211"/>
      <c r="J81" s="211"/>
      <c r="K81" s="211"/>
      <c r="L81" s="384"/>
      <c r="M81" s="400"/>
      <c r="N81" s="211"/>
      <c r="O81" s="211"/>
      <c r="P81" s="211"/>
      <c r="Q81" s="384"/>
      <c r="R81" s="211"/>
      <c r="S81" s="211"/>
      <c r="T81" s="211"/>
      <c r="U81" s="211"/>
      <c r="V81" s="384"/>
      <c r="W81" s="211"/>
      <c r="X81" s="211"/>
      <c r="Y81" s="211"/>
      <c r="Z81" s="211"/>
      <c r="AA81" s="384"/>
      <c r="AB81" s="146"/>
      <c r="AC81" s="211"/>
      <c r="AD81" s="211"/>
      <c r="AE81" s="211"/>
      <c r="AF81" s="384"/>
      <c r="AG81" s="146"/>
      <c r="AH81" s="211"/>
      <c r="AI81" s="211"/>
      <c r="AJ81" s="211"/>
      <c r="AK81" s="384"/>
      <c r="AL81" s="146"/>
      <c r="AM81" s="211"/>
      <c r="AN81" s="211"/>
      <c r="AO81" s="211"/>
      <c r="AP81" s="390"/>
      <c r="AQ81" s="146"/>
      <c r="AR81" s="211"/>
      <c r="AS81" s="211"/>
      <c r="AT81" s="211"/>
      <c r="AU81" s="384"/>
      <c r="AV81" s="211"/>
      <c r="AW81" s="211"/>
      <c r="AX81" s="211"/>
      <c r="AY81" s="211"/>
      <c r="AZ81" s="384"/>
      <c r="BA81" s="211"/>
      <c r="BB81" s="211"/>
      <c r="BC81" s="211"/>
      <c r="BD81" s="211"/>
      <c r="BE81" s="384"/>
      <c r="BF81" s="211"/>
      <c r="BG81" s="410"/>
    </row>
    <row r="82" spans="1:59" ht="12.75">
      <c r="A82" s="366" t="s">
        <v>99</v>
      </c>
      <c r="B82" s="367">
        <f>(C82+H82+M82+R82+W82+AB82+AG82+AL82+AQ82+AV82+BA82)</f>
        <v>37009.25</v>
      </c>
      <c r="C82" s="416">
        <f>SUM(C85:C135)</f>
        <v>10666.790000000003</v>
      </c>
      <c r="D82" s="368">
        <f>SUM(C82/C$4)</f>
        <v>0.6362971513107073</v>
      </c>
      <c r="E82" s="417">
        <f>SUM(E85:E135)</f>
        <v>204055.66934043003</v>
      </c>
      <c r="F82" s="368">
        <f>SUM(E82/E$4)</f>
        <v>0.41366893744998845</v>
      </c>
      <c r="G82" s="283"/>
      <c r="H82" s="416">
        <f>SUM(H85:H135)</f>
        <v>508.82000000000005</v>
      </c>
      <c r="I82" s="368">
        <f>SUM(H82/H$4)</f>
        <v>0.49235086361217284</v>
      </c>
      <c r="J82" s="417">
        <f>SUM(J85:J135)</f>
        <v>11478.364244309998</v>
      </c>
      <c r="K82" s="368">
        <f>SUM(J82/J$4)</f>
        <v>0.17268026803250125</v>
      </c>
      <c r="L82" s="283"/>
      <c r="M82" s="416">
        <f>SUM(M85:M135)</f>
        <v>2283.9099999999994</v>
      </c>
      <c r="N82" s="368">
        <f>SUM(M82/M$4)</f>
        <v>0.55634425522689457</v>
      </c>
      <c r="O82" s="417">
        <f>SUM(O85:O135)</f>
        <v>47751.895888480001</v>
      </c>
      <c r="P82" s="368">
        <f>SUM(O82/O$4)</f>
        <v>0.2554070854329708</v>
      </c>
      <c r="Q82" s="283"/>
      <c r="R82" s="416">
        <f>SUM(R85:R135)</f>
        <v>923.34999999999968</v>
      </c>
      <c r="S82" s="368">
        <f>SUM(R82/R$4)</f>
        <v>0.36863075442847948</v>
      </c>
      <c r="T82" s="417">
        <f>SUM(T85:T135)</f>
        <v>21496.118681120002</v>
      </c>
      <c r="U82" s="368">
        <f>SUM(T82/T$4)</f>
        <v>0.20850928142890707</v>
      </c>
      <c r="V82" s="283"/>
      <c r="W82" s="416">
        <f>SUM(W85:W135)</f>
        <v>3123.1600000000008</v>
      </c>
      <c r="X82" s="368">
        <f>SUM(W82/W$4)</f>
        <v>0.30140338890143475</v>
      </c>
      <c r="Y82" s="417">
        <f>SUM(Y85:Y135)</f>
        <v>69351.792573390005</v>
      </c>
      <c r="Z82" s="368">
        <f>SUM(Y82/Y$4)</f>
        <v>0.18216334109086932</v>
      </c>
      <c r="AA82" s="283"/>
      <c r="AB82" s="416">
        <f>SUM(AB85:AB135)</f>
        <v>892.41000000000042</v>
      </c>
      <c r="AC82" s="368">
        <f>SUM(AB82/AB$4)</f>
        <v>0.37195218525712104</v>
      </c>
      <c r="AD82" s="417">
        <f>SUM(AD85:AD135)</f>
        <v>16802.94387925</v>
      </c>
      <c r="AE82" s="368">
        <f>SUM(AD82/AD$4)</f>
        <v>0.12788100525737855</v>
      </c>
      <c r="AF82" s="283"/>
      <c r="AG82" s="418">
        <f>SUM(AG85:AG135)</f>
        <v>6763.38</v>
      </c>
      <c r="AH82" s="368">
        <f>SUM(AG82/AG$4)</f>
        <v>0.49354407933623773</v>
      </c>
      <c r="AI82" s="417">
        <f>SUM(AI85:AI135)</f>
        <v>135660.29607809</v>
      </c>
      <c r="AJ82" s="368">
        <f>SUM(AI82/AI$4)</f>
        <v>0.14436662857348737</v>
      </c>
      <c r="AK82" s="283"/>
      <c r="AL82" s="418">
        <f>SUM(AL85:AL135)</f>
        <v>4719.9700000000012</v>
      </c>
      <c r="AM82" s="368">
        <f>SUM(AL82/AL$4)</f>
        <v>0.39618401857376206</v>
      </c>
      <c r="AN82" s="417">
        <f>SUM(AN85:AN135)</f>
        <v>99761.838028789978</v>
      </c>
      <c r="AO82" s="368">
        <f>SUM(AN82/AN$4)</f>
        <v>0.20009573181879275</v>
      </c>
      <c r="AP82" s="370"/>
      <c r="AQ82" s="416">
        <f>SUM(AQ85:AQ135)</f>
        <v>197.89000000000004</v>
      </c>
      <c r="AR82" s="368">
        <f>SUM(AQ82/AQ$4)</f>
        <v>0.1559601213697443</v>
      </c>
      <c r="AS82" s="417">
        <f>SUM(AS85:AS135)</f>
        <v>5184.0748988699988</v>
      </c>
      <c r="AT82" s="368">
        <f>SUM(AS82/AS$4)</f>
        <v>7.6626108407271173E-2</v>
      </c>
      <c r="AU82" s="283"/>
      <c r="AV82" s="416">
        <f>SUM(AV85:AV135)</f>
        <v>6796.3</v>
      </c>
      <c r="AW82" s="368">
        <f>SUM(AV82/AV$4)</f>
        <v>0.31827733207701447</v>
      </c>
      <c r="AX82" s="417">
        <f>SUM(AX85:AX135)</f>
        <v>151596.57970269001</v>
      </c>
      <c r="AY82" s="368">
        <f>SUM(AX82/AX$4)</f>
        <v>0.1411950902262028</v>
      </c>
      <c r="AZ82" s="283"/>
      <c r="BA82" s="416">
        <f>SUM(BA85:BA135)</f>
        <v>133.27000000000004</v>
      </c>
      <c r="BB82" s="368">
        <f>SUM(BA82/BA$4)</f>
        <v>0.4838967357757526</v>
      </c>
      <c r="BC82" s="417">
        <f>SUM(BC85:BC135)</f>
        <v>3081.3477032500009</v>
      </c>
      <c r="BD82" s="368">
        <f>SUM(BC82/BC$4)</f>
        <v>0.21200601146165543</v>
      </c>
      <c r="BE82" s="283"/>
      <c r="BF82" s="282"/>
      <c r="BG82" s="419">
        <f>SUM(BG85:BG135)</f>
        <v>1046254720</v>
      </c>
    </row>
    <row r="83" spans="1:59" ht="12.75">
      <c r="A83" s="372" t="s">
        <v>217</v>
      </c>
      <c r="B83" s="373"/>
      <c r="C83" s="374">
        <f>AVERAGE(C85:C135)</f>
        <v>217.68959183673473</v>
      </c>
      <c r="D83" s="375"/>
      <c r="E83" s="375"/>
      <c r="F83" s="257"/>
      <c r="G83" s="376"/>
      <c r="H83" s="377"/>
      <c r="I83" s="375"/>
      <c r="J83" s="375"/>
      <c r="K83" s="257"/>
      <c r="L83" s="376"/>
      <c r="M83" s="377"/>
      <c r="N83" s="375"/>
      <c r="O83" s="375"/>
      <c r="P83" s="257"/>
      <c r="Q83" s="376"/>
      <c r="R83" s="377"/>
      <c r="S83" s="375"/>
      <c r="T83" s="375"/>
      <c r="U83" s="257"/>
      <c r="V83" s="376"/>
      <c r="W83" s="377"/>
      <c r="X83" s="375"/>
      <c r="Y83" s="375"/>
      <c r="Z83" s="257"/>
      <c r="AA83" s="376"/>
      <c r="AB83" s="377"/>
      <c r="AC83" s="375"/>
      <c r="AD83" s="375"/>
      <c r="AE83" s="257"/>
      <c r="AF83" s="376"/>
      <c r="AG83" s="378"/>
      <c r="AH83" s="375"/>
      <c r="AI83" s="375"/>
      <c r="AJ83" s="257"/>
      <c r="AK83" s="376"/>
      <c r="AL83" s="378"/>
      <c r="AM83" s="375"/>
      <c r="AN83" s="375"/>
      <c r="AO83" s="257"/>
      <c r="AP83" s="379"/>
      <c r="AQ83" s="377"/>
      <c r="AR83" s="375"/>
      <c r="AS83" s="375"/>
      <c r="AT83" s="257"/>
      <c r="AU83" s="376"/>
      <c r="AV83" s="377"/>
      <c r="AW83" s="375"/>
      <c r="AX83" s="375"/>
      <c r="AY83" s="257"/>
      <c r="AZ83" s="376"/>
      <c r="BA83" s="377"/>
      <c r="BB83" s="375"/>
      <c r="BC83" s="375"/>
      <c r="BD83" s="257"/>
      <c r="BE83" s="376"/>
      <c r="BF83" s="257"/>
      <c r="BG83" s="380"/>
    </row>
    <row r="84" spans="1:59" ht="12.75">
      <c r="A84" s="372" t="s">
        <v>218</v>
      </c>
      <c r="B84" s="373"/>
      <c r="C84" s="420">
        <f>C82/$B82</f>
        <v>0.2882195667299392</v>
      </c>
      <c r="D84" s="233"/>
      <c r="E84" s="233"/>
      <c r="F84" s="211"/>
      <c r="G84" s="384"/>
      <c r="H84" s="420">
        <f>H82/$B82</f>
        <v>1.3748454778197344E-2</v>
      </c>
      <c r="I84" s="233"/>
      <c r="J84" s="233"/>
      <c r="K84" s="211"/>
      <c r="L84" s="384"/>
      <c r="M84" s="420">
        <f>M82/$B82</f>
        <v>6.1711869329964787E-2</v>
      </c>
      <c r="N84" s="233"/>
      <c r="O84" s="233"/>
      <c r="P84" s="211"/>
      <c r="Q84" s="384"/>
      <c r="R84" s="420">
        <f>R82/$B82</f>
        <v>2.4949168113377052E-2</v>
      </c>
      <c r="S84" s="233"/>
      <c r="T84" s="233"/>
      <c r="U84" s="211"/>
      <c r="V84" s="384"/>
      <c r="W84" s="420">
        <f>W82/$B82</f>
        <v>8.4388632571586852E-2</v>
      </c>
      <c r="X84" s="233"/>
      <c r="Y84" s="233"/>
      <c r="Z84" s="211"/>
      <c r="AA84" s="384"/>
      <c r="AB84" s="420">
        <f>AB82/$B82</f>
        <v>2.411316089896446E-2</v>
      </c>
      <c r="AC84" s="233"/>
      <c r="AD84" s="233"/>
      <c r="AE84" s="211"/>
      <c r="AF84" s="384"/>
      <c r="AG84" s="421">
        <f>AG82/$B82</f>
        <v>0.18274836696231347</v>
      </c>
      <c r="AH84" s="233"/>
      <c r="AI84" s="233"/>
      <c r="AJ84" s="211"/>
      <c r="AK84" s="384"/>
      <c r="AL84" s="421">
        <f>AL82/$B82</f>
        <v>0.12753487303849717</v>
      </c>
      <c r="AM84" s="233"/>
      <c r="AN84" s="233"/>
      <c r="AO84" s="211"/>
      <c r="AP84" s="390"/>
      <c r="AQ84" s="420">
        <f>AQ82/$B82</f>
        <v>5.3470416179738859E-3</v>
      </c>
      <c r="AR84" s="233"/>
      <c r="AS84" s="233"/>
      <c r="AT84" s="211"/>
      <c r="AU84" s="384"/>
      <c r="AV84" s="420">
        <f>AV82/$B82</f>
        <v>0.18363787431520498</v>
      </c>
      <c r="AW84" s="233"/>
      <c r="AX84" s="233"/>
      <c r="AY84" s="211"/>
      <c r="AZ84" s="384"/>
      <c r="BA84" s="420">
        <f>BA82/$B82</f>
        <v>3.6009916439808977E-3</v>
      </c>
      <c r="BB84" s="233"/>
      <c r="BC84" s="233"/>
      <c r="BD84" s="211"/>
      <c r="BE84" s="384"/>
      <c r="BF84" s="211"/>
      <c r="BG84" s="392"/>
    </row>
    <row r="85" spans="1:59" ht="12.75">
      <c r="A85" s="428" t="s">
        <v>240</v>
      </c>
      <c r="B85" s="382"/>
      <c r="C85" s="383">
        <v>303.72000000000003</v>
      </c>
      <c r="D85" s="233"/>
      <c r="E85" s="233">
        <f t="shared" ref="E85:E135" si="22">SUM(C85*$BG85)/1000000</f>
        <v>1087.8202566000002</v>
      </c>
      <c r="F85" s="211"/>
      <c r="G85" s="384"/>
      <c r="H85" s="383">
        <v>14.66</v>
      </c>
      <c r="I85" s="233"/>
      <c r="J85" s="233">
        <f t="shared" ref="J85:J135" si="23">SUM(H85*$BG85)/1000000</f>
        <v>52.507062299999994</v>
      </c>
      <c r="K85" s="211"/>
      <c r="L85" s="384"/>
      <c r="M85" s="269">
        <v>29.63</v>
      </c>
      <c r="N85" s="233"/>
      <c r="O85" s="233">
        <f t="shared" ref="O85:O135" si="24">SUM(M85*$BG85)/1000000</f>
        <v>106.12443764999999</v>
      </c>
      <c r="P85" s="211"/>
      <c r="Q85" s="384"/>
      <c r="R85" s="386">
        <v>9.48</v>
      </c>
      <c r="S85" s="233"/>
      <c r="T85" s="233">
        <f t="shared" ref="T85:T135" si="25">SUM(R85*$BG85)/1000000</f>
        <v>33.954089400000001</v>
      </c>
      <c r="U85" s="211"/>
      <c r="V85" s="384"/>
      <c r="W85" s="269">
        <v>47.75</v>
      </c>
      <c r="X85" s="233"/>
      <c r="Y85" s="233">
        <f t="shared" ref="Y85:Y135" si="26">SUM(W85*$BG85)/1000000</f>
        <v>171.02402624999999</v>
      </c>
      <c r="Z85" s="211"/>
      <c r="AA85" s="384"/>
      <c r="AB85" s="387">
        <v>5.36</v>
      </c>
      <c r="AC85" s="233"/>
      <c r="AD85" s="233">
        <f t="shared" ref="AD85:AD135" si="27">SUM(AB85*$BG85)/1000000</f>
        <v>19.197670800000001</v>
      </c>
      <c r="AE85" s="211"/>
      <c r="AF85" s="384"/>
      <c r="AG85" s="394">
        <v>296.86</v>
      </c>
      <c r="AH85" s="233"/>
      <c r="AI85" s="233">
        <f t="shared" ref="AI85:AI135" si="28">SUM(AG85*$BG85)/1000000</f>
        <v>1063.2501033000001</v>
      </c>
      <c r="AJ85" s="211"/>
      <c r="AK85" s="384"/>
      <c r="AL85" s="394">
        <v>142</v>
      </c>
      <c r="AM85" s="233"/>
      <c r="AN85" s="233">
        <f t="shared" ref="AN85:AN135" si="29">SUM(AL85*$BG85)/1000000</f>
        <v>508.59501</v>
      </c>
      <c r="AO85" s="211"/>
      <c r="AP85" s="390"/>
      <c r="AQ85" s="427">
        <v>6.23</v>
      </c>
      <c r="AR85" s="233"/>
      <c r="AS85" s="233">
        <f t="shared" ref="AS85:AS135" si="30">SUM(AQ85*$BG85)/1000000</f>
        <v>22.313710650000001</v>
      </c>
      <c r="AT85" s="211"/>
      <c r="AU85" s="384"/>
      <c r="AV85" s="269">
        <v>150.44</v>
      </c>
      <c r="AW85" s="233"/>
      <c r="AX85" s="233">
        <f t="shared" ref="AX85:AX135" si="31">SUM(AV85*$BG85)/1000000</f>
        <v>538.82417820000001</v>
      </c>
      <c r="AY85" s="211"/>
      <c r="AZ85" s="384"/>
      <c r="BA85" s="269">
        <v>4.38</v>
      </c>
      <c r="BB85" s="233"/>
      <c r="BC85" s="233">
        <f t="shared" ref="BC85:BC135" si="32">SUM(BA85*$BG85)/1000000</f>
        <v>15.687648900000001</v>
      </c>
      <c r="BD85" s="211"/>
      <c r="BE85" s="384"/>
      <c r="BF85" s="211"/>
      <c r="BG85" s="392">
        <v>3581655</v>
      </c>
    </row>
    <row r="86" spans="1:59" ht="12.75">
      <c r="A86" s="428" t="s">
        <v>241</v>
      </c>
      <c r="B86" s="382"/>
      <c r="C86" s="383">
        <v>258.08999999999997</v>
      </c>
      <c r="D86" s="233"/>
      <c r="E86" s="233">
        <f t="shared" si="22"/>
        <v>2114.5003991999997</v>
      </c>
      <c r="F86" s="211"/>
      <c r="G86" s="384"/>
      <c r="H86" s="429">
        <v>14.69</v>
      </c>
      <c r="I86" s="233"/>
      <c r="J86" s="233">
        <f t="shared" si="23"/>
        <v>120.35340720000001</v>
      </c>
      <c r="K86" s="211"/>
      <c r="L86" s="384"/>
      <c r="M86" s="269">
        <v>68.08</v>
      </c>
      <c r="N86" s="233"/>
      <c r="O86" s="233">
        <f t="shared" si="24"/>
        <v>557.77127039999993</v>
      </c>
      <c r="P86" s="211"/>
      <c r="Q86" s="384"/>
      <c r="R86" s="269">
        <v>18.510000000000002</v>
      </c>
      <c r="S86" s="233"/>
      <c r="T86" s="233">
        <f t="shared" si="25"/>
        <v>151.6502088</v>
      </c>
      <c r="U86" s="211"/>
      <c r="V86" s="384"/>
      <c r="W86" s="269">
        <v>57.14</v>
      </c>
      <c r="X86" s="233"/>
      <c r="Y86" s="233">
        <f t="shared" si="26"/>
        <v>468.14116319999999</v>
      </c>
      <c r="Z86" s="211"/>
      <c r="AA86" s="384"/>
      <c r="AB86" s="387">
        <v>14.09</v>
      </c>
      <c r="AC86" s="233"/>
      <c r="AD86" s="233">
        <f t="shared" si="27"/>
        <v>115.43767920000001</v>
      </c>
      <c r="AE86" s="211"/>
      <c r="AF86" s="384"/>
      <c r="AG86" s="388">
        <v>95.21</v>
      </c>
      <c r="AH86" s="233"/>
      <c r="AI86" s="233">
        <f t="shared" si="28"/>
        <v>780.0441047999999</v>
      </c>
      <c r="AJ86" s="211"/>
      <c r="AK86" s="384"/>
      <c r="AL86" s="388">
        <v>154.11000000000001</v>
      </c>
      <c r="AM86" s="233"/>
      <c r="AN86" s="233">
        <f t="shared" si="29"/>
        <v>1262.6047368000002</v>
      </c>
      <c r="AO86" s="211"/>
      <c r="AP86" s="390"/>
      <c r="AQ86" s="427">
        <v>4.6500000000000004</v>
      </c>
      <c r="AR86" s="233"/>
      <c r="AS86" s="233">
        <f t="shared" si="30"/>
        <v>38.096891999999997</v>
      </c>
      <c r="AT86" s="211"/>
      <c r="AU86" s="384"/>
      <c r="AV86" s="269">
        <v>114.34</v>
      </c>
      <c r="AW86" s="233"/>
      <c r="AX86" s="233">
        <f t="shared" si="31"/>
        <v>936.77389920000007</v>
      </c>
      <c r="AY86" s="211"/>
      <c r="AZ86" s="384"/>
      <c r="BA86" s="269">
        <v>4.78</v>
      </c>
      <c r="BB86" s="233"/>
      <c r="BC86" s="233">
        <f t="shared" si="32"/>
        <v>39.161966399999997</v>
      </c>
      <c r="BD86" s="211"/>
      <c r="BE86" s="384"/>
      <c r="BF86" s="211"/>
      <c r="BG86" s="392">
        <v>8192880</v>
      </c>
    </row>
    <row r="87" spans="1:59" ht="12.75">
      <c r="A87" s="428" t="s">
        <v>242</v>
      </c>
      <c r="B87" s="382"/>
      <c r="C87" s="383">
        <v>133.72999999999999</v>
      </c>
      <c r="D87" s="233"/>
      <c r="E87" s="233">
        <f t="shared" si="22"/>
        <v>1376.4843610299999</v>
      </c>
      <c r="F87" s="211"/>
      <c r="G87" s="384"/>
      <c r="H87" s="383">
        <v>14.71</v>
      </c>
      <c r="I87" s="233"/>
      <c r="J87" s="233">
        <f t="shared" si="23"/>
        <v>151.41019181000001</v>
      </c>
      <c r="K87" s="211"/>
      <c r="L87" s="384"/>
      <c r="M87" s="269">
        <v>55.18</v>
      </c>
      <c r="N87" s="233"/>
      <c r="O87" s="233">
        <f t="shared" si="24"/>
        <v>567.96834697999998</v>
      </c>
      <c r="P87" s="211"/>
      <c r="Q87" s="384"/>
      <c r="R87" s="269">
        <v>28.84</v>
      </c>
      <c r="S87" s="233"/>
      <c r="T87" s="233">
        <f t="shared" si="25"/>
        <v>296.85043724000002</v>
      </c>
      <c r="U87" s="211"/>
      <c r="V87" s="384"/>
      <c r="W87" s="269">
        <v>182.43</v>
      </c>
      <c r="X87" s="233"/>
      <c r="Y87" s="233">
        <f t="shared" si="26"/>
        <v>1877.7539967299999</v>
      </c>
      <c r="Z87" s="211"/>
      <c r="AA87" s="384"/>
      <c r="AB87" s="387">
        <v>16.28</v>
      </c>
      <c r="AC87" s="233"/>
      <c r="AD87" s="233">
        <f t="shared" si="27"/>
        <v>167.57021908000002</v>
      </c>
      <c r="AE87" s="211"/>
      <c r="AF87" s="384"/>
      <c r="AG87" s="394">
        <v>170.84</v>
      </c>
      <c r="AH87" s="233"/>
      <c r="AI87" s="233">
        <f t="shared" si="28"/>
        <v>1758.4579992399999</v>
      </c>
      <c r="AJ87" s="211"/>
      <c r="AK87" s="384"/>
      <c r="AL87" s="394">
        <v>71.8</v>
      </c>
      <c r="AM87" s="233"/>
      <c r="AN87" s="233">
        <f t="shared" si="29"/>
        <v>739.03818979999994</v>
      </c>
      <c r="AO87" s="211"/>
      <c r="AP87" s="390"/>
      <c r="AQ87" s="427">
        <v>1.17</v>
      </c>
      <c r="AR87" s="233"/>
      <c r="AS87" s="233">
        <f t="shared" si="30"/>
        <v>12.042822869999998</v>
      </c>
      <c r="AT87" s="211"/>
      <c r="AU87" s="384"/>
      <c r="AV87" s="269">
        <v>109.95</v>
      </c>
      <c r="AW87" s="233"/>
      <c r="AX87" s="233">
        <f t="shared" si="31"/>
        <v>1131.71655945</v>
      </c>
      <c r="AY87" s="211"/>
      <c r="AZ87" s="384"/>
      <c r="BA87" s="269">
        <v>2.61</v>
      </c>
      <c r="BB87" s="233"/>
      <c r="BC87" s="233">
        <f t="shared" si="32"/>
        <v>26.864758709999997</v>
      </c>
      <c r="BD87" s="211"/>
      <c r="BE87" s="384"/>
      <c r="BF87" s="211"/>
      <c r="BG87" s="392">
        <v>10293011</v>
      </c>
    </row>
    <row r="88" spans="1:59" ht="12.75">
      <c r="A88" s="428" t="s">
        <v>243</v>
      </c>
      <c r="B88" s="382"/>
      <c r="C88" s="383">
        <v>236.19</v>
      </c>
      <c r="D88" s="233"/>
      <c r="E88" s="233">
        <f t="shared" si="22"/>
        <v>2451.43183473</v>
      </c>
      <c r="F88" s="211"/>
      <c r="G88" s="384"/>
      <c r="H88" s="430">
        <v>13.18</v>
      </c>
      <c r="I88" s="233"/>
      <c r="J88" s="233">
        <f t="shared" si="23"/>
        <v>136.79610306000001</v>
      </c>
      <c r="K88" s="211"/>
      <c r="L88" s="384"/>
      <c r="M88" s="269">
        <v>43.2</v>
      </c>
      <c r="N88" s="233"/>
      <c r="O88" s="233">
        <f t="shared" si="24"/>
        <v>448.37569440000004</v>
      </c>
      <c r="P88" s="211"/>
      <c r="Q88" s="384"/>
      <c r="R88" s="269">
        <v>11.51</v>
      </c>
      <c r="S88" s="233"/>
      <c r="T88" s="233">
        <f t="shared" si="25"/>
        <v>119.46306117</v>
      </c>
      <c r="U88" s="211"/>
      <c r="V88" s="384"/>
      <c r="W88" s="269">
        <v>85.91</v>
      </c>
      <c r="X88" s="233"/>
      <c r="Y88" s="233">
        <f t="shared" si="26"/>
        <v>891.6656459699999</v>
      </c>
      <c r="Z88" s="211"/>
      <c r="AA88" s="384"/>
      <c r="AB88" s="387">
        <v>23.01</v>
      </c>
      <c r="AC88" s="233"/>
      <c r="AD88" s="233">
        <f t="shared" si="27"/>
        <v>238.82233167000001</v>
      </c>
      <c r="AE88" s="211"/>
      <c r="AF88" s="384"/>
      <c r="AG88" s="388">
        <v>138.49</v>
      </c>
      <c r="AH88" s="233"/>
      <c r="AI88" s="233">
        <f t="shared" si="28"/>
        <v>1437.3969888300001</v>
      </c>
      <c r="AJ88" s="211"/>
      <c r="AK88" s="384"/>
      <c r="AL88" s="388">
        <v>71.37</v>
      </c>
      <c r="AM88" s="233"/>
      <c r="AN88" s="233">
        <f t="shared" si="29"/>
        <v>740.75401179000005</v>
      </c>
      <c r="AO88" s="211"/>
      <c r="AP88" s="390"/>
      <c r="AQ88" s="427">
        <v>3.09</v>
      </c>
      <c r="AR88" s="233"/>
      <c r="AS88" s="233">
        <f t="shared" si="30"/>
        <v>32.071317029999996</v>
      </c>
      <c r="AT88" s="211"/>
      <c r="AU88" s="384"/>
      <c r="AV88" s="269">
        <v>125.5</v>
      </c>
      <c r="AW88" s="233"/>
      <c r="AX88" s="233">
        <f t="shared" si="31"/>
        <v>1302.5729085</v>
      </c>
      <c r="AY88" s="211"/>
      <c r="AZ88" s="384"/>
      <c r="BA88" s="269">
        <v>2.66</v>
      </c>
      <c r="BB88" s="233"/>
      <c r="BC88" s="233">
        <f t="shared" si="32"/>
        <v>27.608318220000001</v>
      </c>
      <c r="BD88" s="211"/>
      <c r="BE88" s="384"/>
      <c r="BF88" s="211"/>
      <c r="BG88" s="392">
        <v>10379067</v>
      </c>
    </row>
    <row r="89" spans="1:59" ht="12.75">
      <c r="A89" s="428" t="s">
        <v>244</v>
      </c>
      <c r="B89" s="382"/>
      <c r="C89" s="383">
        <v>174.03</v>
      </c>
      <c r="D89" s="233"/>
      <c r="E89" s="233">
        <f t="shared" si="22"/>
        <v>782.95679327999994</v>
      </c>
      <c r="F89" s="211"/>
      <c r="G89" s="384"/>
      <c r="H89" s="429">
        <v>5.1100000000000003</v>
      </c>
      <c r="I89" s="233"/>
      <c r="J89" s="233">
        <f t="shared" si="23"/>
        <v>22.989767360000002</v>
      </c>
      <c r="K89" s="211"/>
      <c r="L89" s="384"/>
      <c r="M89" s="269">
        <v>23.11</v>
      </c>
      <c r="N89" s="233"/>
      <c r="O89" s="233">
        <f t="shared" si="24"/>
        <v>103.97133536</v>
      </c>
      <c r="P89" s="211"/>
      <c r="Q89" s="384"/>
      <c r="R89" s="269">
        <v>19.760000000000002</v>
      </c>
      <c r="S89" s="233"/>
      <c r="T89" s="233">
        <f t="shared" si="25"/>
        <v>88.899765760000008</v>
      </c>
      <c r="U89" s="211"/>
      <c r="V89" s="384"/>
      <c r="W89" s="269">
        <v>86.9</v>
      </c>
      <c r="X89" s="233"/>
      <c r="Y89" s="233">
        <f t="shared" si="26"/>
        <v>390.96101440000001</v>
      </c>
      <c r="Z89" s="211"/>
      <c r="AA89" s="384"/>
      <c r="AB89" s="387">
        <v>4.8899999999999997</v>
      </c>
      <c r="AC89" s="233"/>
      <c r="AD89" s="233">
        <f t="shared" si="27"/>
        <v>21.999992639999999</v>
      </c>
      <c r="AE89" s="211"/>
      <c r="AF89" s="384"/>
      <c r="AG89" s="388">
        <v>230.86</v>
      </c>
      <c r="AH89" s="233"/>
      <c r="AI89" s="233">
        <f t="shared" si="28"/>
        <v>1038.6335993600001</v>
      </c>
      <c r="AJ89" s="211"/>
      <c r="AK89" s="384"/>
      <c r="AL89" s="388">
        <v>106.76</v>
      </c>
      <c r="AM89" s="233"/>
      <c r="AN89" s="233">
        <f t="shared" si="29"/>
        <v>480.31067776000003</v>
      </c>
      <c r="AO89" s="211"/>
      <c r="AP89" s="390"/>
      <c r="AQ89" s="427">
        <v>8.3800000000000008</v>
      </c>
      <c r="AR89" s="233"/>
      <c r="AS89" s="233">
        <f t="shared" si="30"/>
        <v>37.701418880000006</v>
      </c>
      <c r="AT89" s="211"/>
      <c r="AU89" s="384"/>
      <c r="AV89" s="269">
        <v>169.23</v>
      </c>
      <c r="AW89" s="233"/>
      <c r="AX89" s="233">
        <f t="shared" si="31"/>
        <v>761.36170847999995</v>
      </c>
      <c r="AY89" s="211"/>
      <c r="AZ89" s="384"/>
      <c r="BA89" s="269">
        <v>1.77</v>
      </c>
      <c r="BB89" s="233"/>
      <c r="BC89" s="233">
        <f t="shared" si="32"/>
        <v>7.9631875200000009</v>
      </c>
      <c r="BD89" s="211"/>
      <c r="BE89" s="384"/>
      <c r="BF89" s="211"/>
      <c r="BG89" s="392">
        <v>4498976</v>
      </c>
    </row>
    <row r="90" spans="1:59" ht="12.75">
      <c r="A90" s="428" t="s">
        <v>245</v>
      </c>
      <c r="B90" s="382"/>
      <c r="C90" s="383">
        <v>155.71</v>
      </c>
      <c r="D90" s="233"/>
      <c r="E90" s="233">
        <f t="shared" si="22"/>
        <v>1149.9754955700002</v>
      </c>
      <c r="F90" s="211"/>
      <c r="G90" s="384"/>
      <c r="H90" s="429">
        <v>8.6199999999999992</v>
      </c>
      <c r="I90" s="233"/>
      <c r="J90" s="233">
        <f t="shared" si="23"/>
        <v>63.661863539999992</v>
      </c>
      <c r="K90" s="211"/>
      <c r="L90" s="384"/>
      <c r="M90" s="269">
        <v>37.53</v>
      </c>
      <c r="N90" s="233"/>
      <c r="O90" s="233">
        <f t="shared" si="24"/>
        <v>277.17282351</v>
      </c>
      <c r="P90" s="211"/>
      <c r="Q90" s="384"/>
      <c r="R90" s="426">
        <v>22.67</v>
      </c>
      <c r="S90" s="233"/>
      <c r="T90" s="233">
        <f t="shared" si="25"/>
        <v>167.42626989000001</v>
      </c>
      <c r="U90" s="211"/>
      <c r="V90" s="384"/>
      <c r="W90" s="269">
        <v>27.08</v>
      </c>
      <c r="X90" s="233"/>
      <c r="Y90" s="233">
        <f t="shared" si="26"/>
        <v>199.99573835999999</v>
      </c>
      <c r="Z90" s="211"/>
      <c r="AA90" s="384"/>
      <c r="AB90" s="387">
        <v>7.05</v>
      </c>
      <c r="AC90" s="233"/>
      <c r="AD90" s="233">
        <f t="shared" si="27"/>
        <v>52.06683735</v>
      </c>
      <c r="AE90" s="211"/>
      <c r="AF90" s="384"/>
      <c r="AG90" s="388">
        <v>90.27</v>
      </c>
      <c r="AH90" s="233"/>
      <c r="AI90" s="233">
        <f t="shared" si="28"/>
        <v>666.67707908999989</v>
      </c>
      <c r="AJ90" s="211"/>
      <c r="AK90" s="384"/>
      <c r="AL90" s="388">
        <v>70.430000000000007</v>
      </c>
      <c r="AM90" s="233"/>
      <c r="AN90" s="233">
        <f t="shared" si="29"/>
        <v>520.15139781000005</v>
      </c>
      <c r="AO90" s="211"/>
      <c r="AP90" s="390"/>
      <c r="AQ90" s="427">
        <v>4.29</v>
      </c>
      <c r="AR90" s="233"/>
      <c r="AS90" s="233">
        <f t="shared" si="30"/>
        <v>31.683224429999999</v>
      </c>
      <c r="AT90" s="211"/>
      <c r="AU90" s="384"/>
      <c r="AV90" s="269">
        <v>131.81</v>
      </c>
      <c r="AW90" s="233"/>
      <c r="AX90" s="233">
        <f t="shared" si="31"/>
        <v>973.46522427000002</v>
      </c>
      <c r="AY90" s="211"/>
      <c r="AZ90" s="384"/>
      <c r="BA90" s="269">
        <v>1.37</v>
      </c>
      <c r="BB90" s="233"/>
      <c r="BC90" s="233">
        <f t="shared" si="32"/>
        <v>10.11795279</v>
      </c>
      <c r="BD90" s="211"/>
      <c r="BE90" s="384"/>
      <c r="BF90" s="211"/>
      <c r="BG90" s="392">
        <v>7385367</v>
      </c>
    </row>
    <row r="91" spans="1:59" ht="12.75">
      <c r="A91" s="428" t="s">
        <v>246</v>
      </c>
      <c r="B91" s="382"/>
      <c r="C91" s="383">
        <v>231.02</v>
      </c>
      <c r="D91" s="233"/>
      <c r="E91" s="233">
        <f t="shared" si="22"/>
        <v>1038.3769139799999</v>
      </c>
      <c r="F91" s="211"/>
      <c r="G91" s="384"/>
      <c r="H91" s="429">
        <v>8.06</v>
      </c>
      <c r="I91" s="233"/>
      <c r="J91" s="233">
        <f t="shared" si="23"/>
        <v>36.227676940000002</v>
      </c>
      <c r="K91" s="211"/>
      <c r="L91" s="384"/>
      <c r="M91" s="269">
        <v>67.430000000000007</v>
      </c>
      <c r="N91" s="233"/>
      <c r="O91" s="233">
        <f t="shared" si="24"/>
        <v>303.08092507000003</v>
      </c>
      <c r="P91" s="211"/>
      <c r="Q91" s="384"/>
      <c r="R91" s="386">
        <v>12.36</v>
      </c>
      <c r="S91" s="233"/>
      <c r="T91" s="233">
        <f t="shared" si="25"/>
        <v>55.55509764</v>
      </c>
      <c r="U91" s="211"/>
      <c r="V91" s="384"/>
      <c r="W91" s="269">
        <v>39.130000000000003</v>
      </c>
      <c r="X91" s="233"/>
      <c r="Y91" s="233">
        <f t="shared" si="26"/>
        <v>175.87952837</v>
      </c>
      <c r="Z91" s="211"/>
      <c r="AA91" s="384"/>
      <c r="AB91" s="387">
        <v>18.739999999999998</v>
      </c>
      <c r="AC91" s="233"/>
      <c r="AD91" s="233">
        <f t="shared" si="27"/>
        <v>84.231596259999989</v>
      </c>
      <c r="AE91" s="211"/>
      <c r="AF91" s="384"/>
      <c r="AG91" s="388">
        <v>255.12</v>
      </c>
      <c r="AH91" s="233"/>
      <c r="AI91" s="233">
        <f t="shared" si="28"/>
        <v>1146.7003648800001</v>
      </c>
      <c r="AJ91" s="211"/>
      <c r="AK91" s="384"/>
      <c r="AL91" s="388">
        <v>108.2</v>
      </c>
      <c r="AM91" s="233"/>
      <c r="AN91" s="233">
        <f t="shared" si="29"/>
        <v>486.33184180000001</v>
      </c>
      <c r="AO91" s="211"/>
      <c r="AP91" s="390"/>
      <c r="AQ91" s="427">
        <v>2.04</v>
      </c>
      <c r="AR91" s="233"/>
      <c r="AS91" s="233">
        <f t="shared" si="30"/>
        <v>9.1692879600000001</v>
      </c>
      <c r="AT91" s="211"/>
      <c r="AU91" s="384"/>
      <c r="AV91" s="269">
        <v>106.17</v>
      </c>
      <c r="AW91" s="233"/>
      <c r="AX91" s="233">
        <f t="shared" si="31"/>
        <v>477.20750132999996</v>
      </c>
      <c r="AY91" s="211"/>
      <c r="AZ91" s="384"/>
      <c r="BA91" s="269">
        <v>2.42</v>
      </c>
      <c r="BB91" s="233"/>
      <c r="BC91" s="233">
        <f t="shared" si="32"/>
        <v>10.877292580000001</v>
      </c>
      <c r="BD91" s="211"/>
      <c r="BE91" s="384"/>
      <c r="BF91" s="211"/>
      <c r="BG91" s="392">
        <v>4494749</v>
      </c>
    </row>
    <row r="92" spans="1:59" ht="12.75">
      <c r="A92" s="428" t="s">
        <v>247</v>
      </c>
      <c r="B92" s="382"/>
      <c r="C92" s="383">
        <v>195.2</v>
      </c>
      <c r="D92" s="233"/>
      <c r="E92" s="233">
        <f t="shared" si="22"/>
        <v>1997.960816</v>
      </c>
      <c r="F92" s="211"/>
      <c r="G92" s="384"/>
      <c r="H92" s="383">
        <v>8.6300000000000008</v>
      </c>
      <c r="I92" s="233"/>
      <c r="J92" s="233">
        <f t="shared" si="23"/>
        <v>88.331976650000001</v>
      </c>
      <c r="K92" s="211"/>
      <c r="L92" s="384"/>
      <c r="M92" s="269">
        <v>61.4</v>
      </c>
      <c r="N92" s="233"/>
      <c r="O92" s="233">
        <f t="shared" si="24"/>
        <v>628.45693700000004</v>
      </c>
      <c r="P92" s="211"/>
      <c r="Q92" s="384"/>
      <c r="R92" s="269">
        <v>22.29</v>
      </c>
      <c r="S92" s="233"/>
      <c r="T92" s="233">
        <f t="shared" si="25"/>
        <v>228.14829194999999</v>
      </c>
      <c r="U92" s="211"/>
      <c r="V92" s="384"/>
      <c r="W92" s="269">
        <v>64.040000000000006</v>
      </c>
      <c r="X92" s="233"/>
      <c r="Y92" s="233">
        <f t="shared" si="26"/>
        <v>655.4785382</v>
      </c>
      <c r="Z92" s="211"/>
      <c r="AA92" s="384"/>
      <c r="AB92" s="387">
        <v>9.31</v>
      </c>
      <c r="AC92" s="233"/>
      <c r="AD92" s="233">
        <f t="shared" si="27"/>
        <v>95.292086050000009</v>
      </c>
      <c r="AE92" s="211"/>
      <c r="AF92" s="384"/>
      <c r="AG92" s="394">
        <v>78.73</v>
      </c>
      <c r="AH92" s="233"/>
      <c r="AI92" s="233">
        <f t="shared" si="28"/>
        <v>805.83737215000008</v>
      </c>
      <c r="AJ92" s="211"/>
      <c r="AK92" s="384"/>
      <c r="AL92" s="394">
        <v>65.64</v>
      </c>
      <c r="AM92" s="233"/>
      <c r="AN92" s="233">
        <f t="shared" si="29"/>
        <v>671.85526620000007</v>
      </c>
      <c r="AO92" s="211"/>
      <c r="AP92" s="390"/>
      <c r="AQ92" s="427">
        <v>3.15</v>
      </c>
      <c r="AR92" s="233"/>
      <c r="AS92" s="233">
        <f t="shared" si="30"/>
        <v>32.241683250000001</v>
      </c>
      <c r="AT92" s="211"/>
      <c r="AU92" s="384"/>
      <c r="AV92" s="269">
        <v>102.11</v>
      </c>
      <c r="AW92" s="233"/>
      <c r="AX92" s="233">
        <f t="shared" si="31"/>
        <v>1045.1423100499999</v>
      </c>
      <c r="AY92" s="211"/>
      <c r="AZ92" s="384"/>
      <c r="BA92" s="269">
        <v>0.81</v>
      </c>
      <c r="BB92" s="233"/>
      <c r="BC92" s="233">
        <f t="shared" si="32"/>
        <v>8.2907185500000011</v>
      </c>
      <c r="BD92" s="211"/>
      <c r="BE92" s="384"/>
      <c r="BF92" s="211"/>
      <c r="BG92" s="431">
        <v>10235455</v>
      </c>
    </row>
    <row r="93" spans="1:59" ht="12.75">
      <c r="A93" s="428" t="s">
        <v>248</v>
      </c>
      <c r="B93" s="382"/>
      <c r="C93" s="383">
        <v>277.3</v>
      </c>
      <c r="D93" s="233"/>
      <c r="E93" s="233">
        <f t="shared" si="22"/>
        <v>2838.2916715000001</v>
      </c>
      <c r="F93" s="211"/>
      <c r="G93" s="384"/>
      <c r="H93" s="383">
        <v>15.79</v>
      </c>
      <c r="I93" s="233"/>
      <c r="J93" s="233">
        <f t="shared" si="23"/>
        <v>161.61783444999998</v>
      </c>
      <c r="K93" s="211"/>
      <c r="L93" s="384"/>
      <c r="M93" s="269">
        <v>52.43</v>
      </c>
      <c r="N93" s="233"/>
      <c r="O93" s="233">
        <f t="shared" si="24"/>
        <v>536.64490564999994</v>
      </c>
      <c r="P93" s="211"/>
      <c r="Q93" s="384"/>
      <c r="R93" s="269">
        <v>26.9</v>
      </c>
      <c r="S93" s="233"/>
      <c r="T93" s="233">
        <f t="shared" si="25"/>
        <v>275.33373949999998</v>
      </c>
      <c r="U93" s="211"/>
      <c r="V93" s="384"/>
      <c r="W93" s="269">
        <v>56.92</v>
      </c>
      <c r="X93" s="233"/>
      <c r="Y93" s="233">
        <f t="shared" si="26"/>
        <v>582.60209859999998</v>
      </c>
      <c r="Z93" s="211"/>
      <c r="AA93" s="384"/>
      <c r="AB93" s="387">
        <v>22.7</v>
      </c>
      <c r="AC93" s="233"/>
      <c r="AD93" s="233">
        <f t="shared" si="27"/>
        <v>232.34482850000001</v>
      </c>
      <c r="AE93" s="211"/>
      <c r="AF93" s="384"/>
      <c r="AG93" s="394">
        <v>100.89</v>
      </c>
      <c r="AH93" s="233"/>
      <c r="AI93" s="233">
        <f t="shared" si="28"/>
        <v>1032.65505495</v>
      </c>
      <c r="AJ93" s="211"/>
      <c r="AK93" s="384"/>
      <c r="AL93" s="394">
        <v>121.58</v>
      </c>
      <c r="AM93" s="233"/>
      <c r="AN93" s="233">
        <f t="shared" si="29"/>
        <v>1244.4266189</v>
      </c>
      <c r="AO93" s="211"/>
      <c r="AP93" s="390"/>
      <c r="AQ93" s="427">
        <v>2.23</v>
      </c>
      <c r="AR93" s="233"/>
      <c r="AS93" s="233">
        <f t="shared" si="30"/>
        <v>22.825064649999998</v>
      </c>
      <c r="AT93" s="211"/>
      <c r="AU93" s="384"/>
      <c r="AV93" s="269">
        <v>112.17</v>
      </c>
      <c r="AW93" s="233"/>
      <c r="AX93" s="233">
        <f t="shared" si="31"/>
        <v>1148.11098735</v>
      </c>
      <c r="AY93" s="211"/>
      <c r="AZ93" s="384"/>
      <c r="BA93" s="269">
        <v>2.44</v>
      </c>
      <c r="BB93" s="233"/>
      <c r="BC93" s="233">
        <f t="shared" si="32"/>
        <v>24.974510200000001</v>
      </c>
      <c r="BD93" s="211"/>
      <c r="BE93" s="384"/>
      <c r="BF93" s="211"/>
      <c r="BG93" s="392">
        <v>10235455</v>
      </c>
    </row>
    <row r="94" spans="1:59" ht="12.75">
      <c r="A94" s="428" t="s">
        <v>249</v>
      </c>
      <c r="B94" s="382"/>
      <c r="C94" s="383">
        <v>284.85000000000002</v>
      </c>
      <c r="D94" s="233"/>
      <c r="E94" s="233">
        <f t="shared" si="22"/>
        <v>377.23625505000001</v>
      </c>
      <c r="F94" s="211"/>
      <c r="G94" s="384"/>
      <c r="H94" s="383">
        <v>12.69</v>
      </c>
      <c r="I94" s="233"/>
      <c r="J94" s="233">
        <f t="shared" si="23"/>
        <v>16.80578577</v>
      </c>
      <c r="K94" s="211"/>
      <c r="L94" s="384"/>
      <c r="M94" s="269">
        <v>47</v>
      </c>
      <c r="N94" s="233"/>
      <c r="O94" s="233">
        <f t="shared" si="24"/>
        <v>62.243651</v>
      </c>
      <c r="P94" s="211"/>
      <c r="Q94" s="384"/>
      <c r="R94" s="269">
        <v>22.17</v>
      </c>
      <c r="S94" s="233"/>
      <c r="T94" s="233">
        <f t="shared" si="25"/>
        <v>29.360462610000003</v>
      </c>
      <c r="U94" s="211"/>
      <c r="V94" s="384"/>
      <c r="W94" s="269">
        <v>64.22</v>
      </c>
      <c r="X94" s="233"/>
      <c r="Y94" s="233">
        <f t="shared" si="26"/>
        <v>85.048665260000007</v>
      </c>
      <c r="Z94" s="211"/>
      <c r="AA94" s="384"/>
      <c r="AB94" s="387">
        <v>14.72</v>
      </c>
      <c r="AC94" s="233"/>
      <c r="AD94" s="233">
        <f t="shared" si="27"/>
        <v>19.49418176</v>
      </c>
      <c r="AE94" s="211"/>
      <c r="AF94" s="384"/>
      <c r="AG94" s="394">
        <v>102.35</v>
      </c>
      <c r="AH94" s="233"/>
      <c r="AI94" s="233">
        <f t="shared" si="28"/>
        <v>135.54548254999997</v>
      </c>
      <c r="AJ94" s="211"/>
      <c r="AK94" s="384"/>
      <c r="AL94" s="394">
        <v>81.06</v>
      </c>
      <c r="AM94" s="233"/>
      <c r="AN94" s="233">
        <f t="shared" si="29"/>
        <v>107.35043298000001</v>
      </c>
      <c r="AO94" s="211"/>
      <c r="AP94" s="390"/>
      <c r="AQ94" s="427">
        <v>5.47</v>
      </c>
      <c r="AR94" s="233"/>
      <c r="AS94" s="233">
        <f t="shared" si="30"/>
        <v>7.2441015100000001</v>
      </c>
      <c r="AT94" s="211"/>
      <c r="AU94" s="384"/>
      <c r="AV94" s="269">
        <v>101.1</v>
      </c>
      <c r="AW94" s="233"/>
      <c r="AX94" s="233">
        <f t="shared" si="31"/>
        <v>133.8900663</v>
      </c>
      <c r="AY94" s="211"/>
      <c r="AZ94" s="384"/>
      <c r="BA94" s="269">
        <v>1.85</v>
      </c>
      <c r="BB94" s="233"/>
      <c r="BC94" s="233">
        <f t="shared" si="32"/>
        <v>2.4500160500000003</v>
      </c>
      <c r="BD94" s="211"/>
      <c r="BE94" s="384"/>
      <c r="BF94" s="211"/>
      <c r="BG94" s="392">
        <v>1324333</v>
      </c>
    </row>
    <row r="95" spans="1:59" ht="12.75">
      <c r="A95" s="428" t="s">
        <v>250</v>
      </c>
      <c r="B95" s="382"/>
      <c r="C95" s="383">
        <v>430.76</v>
      </c>
      <c r="D95" s="233"/>
      <c r="E95" s="233">
        <f t="shared" si="22"/>
        <v>2253.4658027199998</v>
      </c>
      <c r="F95" s="211"/>
      <c r="G95" s="384"/>
      <c r="H95" s="383">
        <v>8.74</v>
      </c>
      <c r="I95" s="233"/>
      <c r="J95" s="233">
        <f t="shared" si="23"/>
        <v>45.722191280000004</v>
      </c>
      <c r="K95" s="211"/>
      <c r="L95" s="384"/>
      <c r="M95" s="269">
        <v>58.72</v>
      </c>
      <c r="N95" s="233"/>
      <c r="O95" s="233">
        <f t="shared" si="24"/>
        <v>307.18616383999995</v>
      </c>
      <c r="P95" s="211"/>
      <c r="Q95" s="384"/>
      <c r="R95" s="269">
        <v>19.399999999999999</v>
      </c>
      <c r="S95" s="233"/>
      <c r="T95" s="233">
        <f t="shared" si="25"/>
        <v>101.4886168</v>
      </c>
      <c r="U95" s="211"/>
      <c r="V95" s="384"/>
      <c r="W95" s="269">
        <v>57.09</v>
      </c>
      <c r="X95" s="233"/>
      <c r="Y95" s="233">
        <f t="shared" si="26"/>
        <v>298.65902748000002</v>
      </c>
      <c r="Z95" s="211"/>
      <c r="AA95" s="384"/>
      <c r="AB95" s="387">
        <v>33.619999999999997</v>
      </c>
      <c r="AC95" s="233"/>
      <c r="AD95" s="233">
        <f t="shared" si="27"/>
        <v>175.87872664</v>
      </c>
      <c r="AE95" s="211"/>
      <c r="AF95" s="384"/>
      <c r="AG95" s="394">
        <v>84.18</v>
      </c>
      <c r="AH95" s="233"/>
      <c r="AI95" s="233">
        <f t="shared" si="28"/>
        <v>440.37689496000002</v>
      </c>
      <c r="AJ95" s="211"/>
      <c r="AK95" s="384"/>
      <c r="AL95" s="394">
        <v>95.24</v>
      </c>
      <c r="AM95" s="233"/>
      <c r="AN95" s="233">
        <f t="shared" si="29"/>
        <v>498.23586927999997</v>
      </c>
      <c r="AO95" s="211"/>
      <c r="AP95" s="390"/>
      <c r="AQ95" s="427">
        <v>2.4700000000000002</v>
      </c>
      <c r="AR95" s="233"/>
      <c r="AS95" s="233">
        <f t="shared" si="30"/>
        <v>12.921488840000002</v>
      </c>
      <c r="AT95" s="211"/>
      <c r="AU95" s="384"/>
      <c r="AV95" s="269">
        <v>111.61</v>
      </c>
      <c r="AW95" s="233"/>
      <c r="AX95" s="233">
        <f t="shared" si="31"/>
        <v>583.87342891999992</v>
      </c>
      <c r="AY95" s="211"/>
      <c r="AZ95" s="384"/>
      <c r="BA95" s="269">
        <v>1.02</v>
      </c>
      <c r="BB95" s="233"/>
      <c r="BC95" s="233">
        <f t="shared" si="32"/>
        <v>5.3359994400000001</v>
      </c>
      <c r="BD95" s="211"/>
      <c r="BE95" s="384"/>
      <c r="BF95" s="211"/>
      <c r="BG95" s="392">
        <v>5231372</v>
      </c>
    </row>
    <row r="96" spans="1:59" ht="12.75">
      <c r="A96" s="428" t="s">
        <v>251</v>
      </c>
      <c r="B96" s="382"/>
      <c r="C96" s="383">
        <v>241.31</v>
      </c>
      <c r="D96" s="233"/>
      <c r="E96" s="233">
        <f t="shared" si="22"/>
        <v>14690.020378159999</v>
      </c>
      <c r="F96" s="211"/>
      <c r="G96" s="384"/>
      <c r="H96" s="429">
        <v>11.53</v>
      </c>
      <c r="I96" s="233"/>
      <c r="J96" s="233">
        <f t="shared" si="23"/>
        <v>701.90184807999992</v>
      </c>
      <c r="K96" s="211"/>
      <c r="L96" s="384"/>
      <c r="M96" s="269">
        <v>55.99</v>
      </c>
      <c r="N96" s="233"/>
      <c r="O96" s="233">
        <f t="shared" si="24"/>
        <v>3408.4548546400001</v>
      </c>
      <c r="P96" s="211"/>
      <c r="Q96" s="384"/>
      <c r="R96" s="386">
        <v>22.99</v>
      </c>
      <c r="S96" s="233"/>
      <c r="T96" s="233">
        <f t="shared" si="25"/>
        <v>1399.54236664</v>
      </c>
      <c r="U96" s="211"/>
      <c r="V96" s="384"/>
      <c r="W96" s="269">
        <v>49.56</v>
      </c>
      <c r="X96" s="233"/>
      <c r="Y96" s="233">
        <f t="shared" si="26"/>
        <v>3017.0213001600005</v>
      </c>
      <c r="Z96" s="211"/>
      <c r="AA96" s="384"/>
      <c r="AB96" s="387">
        <v>34.369999999999997</v>
      </c>
      <c r="AC96" s="233"/>
      <c r="AD96" s="233">
        <f t="shared" si="27"/>
        <v>2092.3127943199997</v>
      </c>
      <c r="AE96" s="211"/>
      <c r="AF96" s="384"/>
      <c r="AG96" s="394">
        <v>84.18</v>
      </c>
      <c r="AH96" s="233"/>
      <c r="AI96" s="233">
        <f t="shared" si="28"/>
        <v>5124.5531284800009</v>
      </c>
      <c r="AJ96" s="211"/>
      <c r="AK96" s="384"/>
      <c r="AL96" s="388">
        <v>114.34</v>
      </c>
      <c r="AM96" s="233"/>
      <c r="AN96" s="233">
        <f t="shared" si="29"/>
        <v>6960.5773902399997</v>
      </c>
      <c r="AO96" s="211"/>
      <c r="AP96" s="390"/>
      <c r="AQ96" s="427">
        <v>3.03</v>
      </c>
      <c r="AR96" s="233"/>
      <c r="AS96" s="233">
        <f t="shared" si="30"/>
        <v>184.45469207999997</v>
      </c>
      <c r="AT96" s="211"/>
      <c r="AU96" s="384"/>
      <c r="AV96" s="269">
        <v>138.55000000000001</v>
      </c>
      <c r="AW96" s="233"/>
      <c r="AX96" s="233">
        <f t="shared" si="31"/>
        <v>8434.3886428000005</v>
      </c>
      <c r="AY96" s="211"/>
      <c r="AZ96" s="384"/>
      <c r="BA96" s="269">
        <v>4.01</v>
      </c>
      <c r="BB96" s="233"/>
      <c r="BC96" s="233">
        <f t="shared" si="32"/>
        <v>244.11330536</v>
      </c>
      <c r="BD96" s="211"/>
      <c r="BE96" s="384"/>
      <c r="BF96" s="211"/>
      <c r="BG96" s="392">
        <v>60876136</v>
      </c>
    </row>
    <row r="97" spans="1:59" ht="12.75">
      <c r="A97" s="428" t="s">
        <v>252</v>
      </c>
      <c r="B97" s="382"/>
      <c r="C97" s="383">
        <v>258.7</v>
      </c>
      <c r="D97" s="233"/>
      <c r="E97" s="233">
        <f t="shared" si="22"/>
        <v>21322.648751299999</v>
      </c>
      <c r="F97" s="211"/>
      <c r="G97" s="384"/>
      <c r="H97" s="383">
        <v>11.22</v>
      </c>
      <c r="I97" s="233"/>
      <c r="J97" s="233">
        <f t="shared" si="23"/>
        <v>924.77819478000004</v>
      </c>
      <c r="K97" s="211"/>
      <c r="L97" s="384"/>
      <c r="M97" s="269">
        <v>60.6</v>
      </c>
      <c r="N97" s="233"/>
      <c r="O97" s="233">
        <f t="shared" si="24"/>
        <v>4994.7913194000002</v>
      </c>
      <c r="P97" s="211"/>
      <c r="Q97" s="384"/>
      <c r="R97" s="269">
        <v>18.149999999999999</v>
      </c>
      <c r="S97" s="233"/>
      <c r="T97" s="233">
        <f t="shared" si="25"/>
        <v>1495.9647268499998</v>
      </c>
      <c r="U97" s="211"/>
      <c r="V97" s="384"/>
      <c r="W97" s="269">
        <v>58.73</v>
      </c>
      <c r="X97" s="233"/>
      <c r="Y97" s="233">
        <f t="shared" si="26"/>
        <v>4840.6616202699997</v>
      </c>
      <c r="Z97" s="211"/>
      <c r="AA97" s="384"/>
      <c r="AB97" s="387">
        <v>12.75</v>
      </c>
      <c r="AC97" s="233"/>
      <c r="AD97" s="233">
        <f t="shared" si="27"/>
        <v>1050.88431225</v>
      </c>
      <c r="AE97" s="211"/>
      <c r="AF97" s="384"/>
      <c r="AG97" s="394">
        <v>95.36</v>
      </c>
      <c r="AH97" s="233"/>
      <c r="AI97" s="233">
        <f t="shared" si="28"/>
        <v>7859.7904326400003</v>
      </c>
      <c r="AJ97" s="211"/>
      <c r="AK97" s="384"/>
      <c r="AL97" s="394">
        <v>88.46</v>
      </c>
      <c r="AM97" s="233"/>
      <c r="AN97" s="233">
        <f t="shared" si="29"/>
        <v>7291.0765695399987</v>
      </c>
      <c r="AO97" s="211"/>
      <c r="AP97" s="390"/>
      <c r="AQ97" s="427">
        <v>8.6</v>
      </c>
      <c r="AR97" s="233"/>
      <c r="AS97" s="233">
        <f t="shared" si="30"/>
        <v>708.83177139999998</v>
      </c>
      <c r="AT97" s="211"/>
      <c r="AU97" s="384"/>
      <c r="AV97" s="269">
        <v>114.9</v>
      </c>
      <c r="AW97" s="233"/>
      <c r="AX97" s="233">
        <f t="shared" si="31"/>
        <v>9470.3221551000006</v>
      </c>
      <c r="AY97" s="211"/>
      <c r="AZ97" s="384"/>
      <c r="BA97" s="269">
        <v>3.64</v>
      </c>
      <c r="BB97" s="233"/>
      <c r="BC97" s="233">
        <f t="shared" si="32"/>
        <v>300.01716836000003</v>
      </c>
      <c r="BD97" s="211"/>
      <c r="BE97" s="384"/>
      <c r="BF97" s="211"/>
      <c r="BG97" s="392">
        <v>82422299</v>
      </c>
    </row>
    <row r="98" spans="1:59" ht="12.75">
      <c r="A98" s="428" t="s">
        <v>253</v>
      </c>
      <c r="B98" s="382"/>
      <c r="C98" s="383">
        <v>255.26</v>
      </c>
      <c r="D98" s="233"/>
      <c r="E98" s="233">
        <f t="shared" si="22"/>
        <v>2728.2336850799998</v>
      </c>
      <c r="F98" s="211"/>
      <c r="G98" s="384"/>
      <c r="H98" s="383">
        <v>8.6</v>
      </c>
      <c r="I98" s="233"/>
      <c r="J98" s="233">
        <f t="shared" si="23"/>
        <v>91.917298799999998</v>
      </c>
      <c r="K98" s="211"/>
      <c r="L98" s="384"/>
      <c r="M98" s="269">
        <v>53.2</v>
      </c>
      <c r="N98" s="233"/>
      <c r="O98" s="233">
        <f t="shared" si="24"/>
        <v>568.60468560000004</v>
      </c>
      <c r="P98" s="211"/>
      <c r="Q98" s="384"/>
      <c r="R98" s="269">
        <v>20.010000000000002</v>
      </c>
      <c r="S98" s="233"/>
      <c r="T98" s="233">
        <f t="shared" si="25"/>
        <v>213.86804058000001</v>
      </c>
      <c r="U98" s="211"/>
      <c r="V98" s="384"/>
      <c r="W98" s="269">
        <v>55.77</v>
      </c>
      <c r="X98" s="233"/>
      <c r="Y98" s="233">
        <f t="shared" si="26"/>
        <v>596.07299466000006</v>
      </c>
      <c r="Z98" s="211"/>
      <c r="AA98" s="384"/>
      <c r="AB98" s="387">
        <v>19.440000000000001</v>
      </c>
      <c r="AC98" s="233"/>
      <c r="AD98" s="233">
        <f t="shared" si="27"/>
        <v>207.77584752000001</v>
      </c>
      <c r="AE98" s="211"/>
      <c r="AF98" s="384"/>
      <c r="AG98" s="394">
        <v>149.94</v>
      </c>
      <c r="AH98" s="233"/>
      <c r="AI98" s="233">
        <f t="shared" si="28"/>
        <v>1602.5674165200001</v>
      </c>
      <c r="AJ98" s="211"/>
      <c r="AK98" s="384"/>
      <c r="AL98" s="394">
        <v>121.52</v>
      </c>
      <c r="AM98" s="233"/>
      <c r="AN98" s="233">
        <f t="shared" si="29"/>
        <v>1298.8128081599998</v>
      </c>
      <c r="AO98" s="211"/>
      <c r="AP98" s="390"/>
      <c r="AQ98" s="427">
        <v>5.33</v>
      </c>
      <c r="AR98" s="233"/>
      <c r="AS98" s="233">
        <f t="shared" si="30"/>
        <v>56.967349140000003</v>
      </c>
      <c r="AT98" s="211"/>
      <c r="AU98" s="384"/>
      <c r="AV98" s="269">
        <v>135.86000000000001</v>
      </c>
      <c r="AW98" s="233"/>
      <c r="AX98" s="233">
        <f t="shared" si="31"/>
        <v>1452.07955988</v>
      </c>
      <c r="AY98" s="211"/>
      <c r="AZ98" s="384"/>
      <c r="BA98" s="269">
        <v>13.56</v>
      </c>
      <c r="BB98" s="233"/>
      <c r="BC98" s="233">
        <f t="shared" si="32"/>
        <v>144.93006648000002</v>
      </c>
      <c r="BD98" s="211"/>
      <c r="BE98" s="384"/>
      <c r="BF98" s="211"/>
      <c r="BG98" s="392">
        <v>10688058</v>
      </c>
    </row>
    <row r="99" spans="1:59" ht="12.75">
      <c r="A99" s="428" t="s">
        <v>254</v>
      </c>
      <c r="B99" s="382"/>
      <c r="C99" s="383">
        <v>159.05000000000001</v>
      </c>
      <c r="D99" s="233"/>
      <c r="E99" s="233">
        <f t="shared" si="22"/>
        <v>1587.5311727000001</v>
      </c>
      <c r="F99" s="211"/>
      <c r="G99" s="384"/>
      <c r="H99" s="429">
        <v>13.61</v>
      </c>
      <c r="I99" s="233"/>
      <c r="J99" s="233">
        <f t="shared" si="23"/>
        <v>135.84595573999999</v>
      </c>
      <c r="K99" s="211"/>
      <c r="L99" s="384"/>
      <c r="M99" s="269">
        <v>58.48</v>
      </c>
      <c r="N99" s="233"/>
      <c r="O99" s="233">
        <f t="shared" si="24"/>
        <v>583.70841231999998</v>
      </c>
      <c r="P99" s="211"/>
      <c r="Q99" s="384"/>
      <c r="R99" s="269">
        <v>25.46</v>
      </c>
      <c r="S99" s="233"/>
      <c r="T99" s="233">
        <f t="shared" si="25"/>
        <v>254.12476364000003</v>
      </c>
      <c r="U99" s="211"/>
      <c r="V99" s="384"/>
      <c r="W99" s="269">
        <v>39.56</v>
      </c>
      <c r="X99" s="233"/>
      <c r="Y99" s="233">
        <f t="shared" si="26"/>
        <v>394.86157304</v>
      </c>
      <c r="Z99" s="211"/>
      <c r="AA99" s="384"/>
      <c r="AB99" s="387">
        <v>6.3</v>
      </c>
      <c r="AC99" s="233"/>
      <c r="AD99" s="233">
        <f t="shared" si="27"/>
        <v>62.882404199999996</v>
      </c>
      <c r="AE99" s="211"/>
      <c r="AF99" s="384"/>
      <c r="AG99" s="388">
        <v>86.99</v>
      </c>
      <c r="AH99" s="233"/>
      <c r="AI99" s="233">
        <f t="shared" si="28"/>
        <v>868.27624465999997</v>
      </c>
      <c r="AJ99" s="211"/>
      <c r="AK99" s="384"/>
      <c r="AL99" s="391">
        <v>58.38</v>
      </c>
      <c r="AM99" s="233"/>
      <c r="AN99" s="233">
        <f t="shared" si="29"/>
        <v>582.71027892000006</v>
      </c>
      <c r="AO99" s="211"/>
      <c r="AP99" s="390"/>
      <c r="AQ99" s="427">
        <v>2.4700000000000002</v>
      </c>
      <c r="AR99" s="233"/>
      <c r="AS99" s="233">
        <f t="shared" si="30"/>
        <v>24.65389498</v>
      </c>
      <c r="AT99" s="211"/>
      <c r="AU99" s="384"/>
      <c r="AV99" s="269">
        <v>118.75</v>
      </c>
      <c r="AW99" s="233"/>
      <c r="AX99" s="233">
        <f t="shared" si="31"/>
        <v>1185.2834124999999</v>
      </c>
      <c r="AY99" s="211"/>
      <c r="AZ99" s="384"/>
      <c r="BA99" s="269">
        <v>0.27</v>
      </c>
      <c r="BB99" s="233"/>
      <c r="BC99" s="233">
        <f t="shared" si="32"/>
        <v>2.6949601800000003</v>
      </c>
      <c r="BD99" s="211"/>
      <c r="BE99" s="384"/>
      <c r="BF99" s="211"/>
      <c r="BG99" s="392">
        <v>9981334</v>
      </c>
    </row>
    <row r="100" spans="1:59" ht="12.75">
      <c r="A100" s="428" t="s">
        <v>255</v>
      </c>
      <c r="B100" s="382"/>
      <c r="C100" s="383">
        <v>225.82</v>
      </c>
      <c r="D100" s="233"/>
      <c r="E100" s="233">
        <f t="shared" si="22"/>
        <v>67.607798160000002</v>
      </c>
      <c r="F100" s="211"/>
      <c r="G100" s="384"/>
      <c r="H100" s="383">
        <v>10.93</v>
      </c>
      <c r="I100" s="233"/>
      <c r="J100" s="233">
        <f t="shared" si="23"/>
        <v>3.2723108399999998</v>
      </c>
      <c r="K100" s="211"/>
      <c r="L100" s="384"/>
      <c r="M100" s="269">
        <v>60.53</v>
      </c>
      <c r="N100" s="233"/>
      <c r="O100" s="233">
        <f t="shared" si="24"/>
        <v>18.121955639999999</v>
      </c>
      <c r="P100" s="211"/>
      <c r="Q100" s="384"/>
      <c r="R100" s="386">
        <v>30.86</v>
      </c>
      <c r="S100" s="233"/>
      <c r="T100" s="233">
        <f t="shared" si="25"/>
        <v>9.2391136799999991</v>
      </c>
      <c r="U100" s="211"/>
      <c r="V100" s="384"/>
      <c r="W100" s="269">
        <v>38.549999999999997</v>
      </c>
      <c r="X100" s="233"/>
      <c r="Y100" s="233">
        <f t="shared" si="26"/>
        <v>11.541407399999999</v>
      </c>
      <c r="Z100" s="211"/>
      <c r="AA100" s="384"/>
      <c r="AB100" s="387">
        <v>90.71</v>
      </c>
      <c r="AC100" s="233"/>
      <c r="AD100" s="233">
        <f t="shared" si="27"/>
        <v>27.157485479999998</v>
      </c>
      <c r="AE100" s="211"/>
      <c r="AF100" s="384"/>
      <c r="AG100" s="394">
        <v>72.53</v>
      </c>
      <c r="AH100" s="233"/>
      <c r="AI100" s="233">
        <f t="shared" si="28"/>
        <v>21.714611640000001</v>
      </c>
      <c r="AJ100" s="211"/>
      <c r="AK100" s="384"/>
      <c r="AL100" s="394">
        <v>133.1</v>
      </c>
      <c r="AM100" s="233"/>
      <c r="AN100" s="233">
        <f t="shared" si="29"/>
        <v>39.848542799999997</v>
      </c>
      <c r="AO100" s="211"/>
      <c r="AP100" s="390"/>
      <c r="AQ100" s="427">
        <v>1.85</v>
      </c>
      <c r="AR100" s="233"/>
      <c r="AS100" s="233">
        <f t="shared" si="30"/>
        <v>0.55386780000000002</v>
      </c>
      <c r="AT100" s="211"/>
      <c r="AU100" s="384"/>
      <c r="AV100" s="269">
        <v>84.65</v>
      </c>
      <c r="AW100" s="233"/>
      <c r="AX100" s="233">
        <f t="shared" si="31"/>
        <v>25.343194200000003</v>
      </c>
      <c r="AY100" s="211"/>
      <c r="AZ100" s="384"/>
      <c r="BA100" s="269">
        <v>1.51</v>
      </c>
      <c r="BB100" s="233"/>
      <c r="BC100" s="233">
        <f t="shared" si="32"/>
        <v>0.45207587999999999</v>
      </c>
      <c r="BD100" s="211"/>
      <c r="BE100" s="384"/>
      <c r="BF100" s="211"/>
      <c r="BG100" s="431">
        <v>299388</v>
      </c>
    </row>
    <row r="101" spans="1:59" ht="12.75">
      <c r="A101" s="428" t="s">
        <v>256</v>
      </c>
      <c r="B101" s="382"/>
      <c r="C101" s="383">
        <v>291.86</v>
      </c>
      <c r="D101" s="233"/>
      <c r="E101" s="233">
        <f t="shared" si="22"/>
        <v>1185.6039071000002</v>
      </c>
      <c r="F101" s="211"/>
      <c r="G101" s="384"/>
      <c r="H101" s="429">
        <v>9.1300000000000008</v>
      </c>
      <c r="I101" s="233"/>
      <c r="J101" s="233">
        <f t="shared" si="23"/>
        <v>37.088205550000005</v>
      </c>
      <c r="K101" s="211"/>
      <c r="L101" s="384"/>
      <c r="M101" s="269">
        <v>53.48</v>
      </c>
      <c r="N101" s="233"/>
      <c r="O101" s="233">
        <f t="shared" si="24"/>
        <v>217.24832779999997</v>
      </c>
      <c r="P101" s="211"/>
      <c r="Q101" s="384"/>
      <c r="R101" s="269">
        <v>24.48</v>
      </c>
      <c r="S101" s="233"/>
      <c r="T101" s="233">
        <f t="shared" si="25"/>
        <v>99.443512799999993</v>
      </c>
      <c r="U101" s="211"/>
      <c r="V101" s="384"/>
      <c r="W101" s="269">
        <v>68.72</v>
      </c>
      <c r="X101" s="233"/>
      <c r="Y101" s="233">
        <f t="shared" si="26"/>
        <v>279.15678919999999</v>
      </c>
      <c r="Z101" s="211"/>
      <c r="AA101" s="384"/>
      <c r="AB101" s="387">
        <v>23.43</v>
      </c>
      <c r="AC101" s="233"/>
      <c r="AD101" s="233">
        <f t="shared" si="27"/>
        <v>95.178166050000002</v>
      </c>
      <c r="AE101" s="211"/>
      <c r="AF101" s="384"/>
      <c r="AG101" s="388">
        <v>97.14</v>
      </c>
      <c r="AH101" s="233"/>
      <c r="AI101" s="233">
        <f t="shared" si="28"/>
        <v>394.60550789999996</v>
      </c>
      <c r="AJ101" s="211"/>
      <c r="AK101" s="384"/>
      <c r="AL101" s="388">
        <v>158.56</v>
      </c>
      <c r="AM101" s="233"/>
      <c r="AN101" s="233">
        <f t="shared" si="29"/>
        <v>644.10798160000002</v>
      </c>
      <c r="AO101" s="211"/>
      <c r="AP101" s="390"/>
      <c r="AQ101" s="427">
        <v>4.67</v>
      </c>
      <c r="AR101" s="233"/>
      <c r="AS101" s="233">
        <f t="shared" si="30"/>
        <v>18.970637449999998</v>
      </c>
      <c r="AT101" s="211"/>
      <c r="AU101" s="384"/>
      <c r="AV101" s="269">
        <v>125.48</v>
      </c>
      <c r="AW101" s="233"/>
      <c r="AX101" s="233">
        <f t="shared" si="31"/>
        <v>509.7292478</v>
      </c>
      <c r="AY101" s="211"/>
      <c r="AZ101" s="384"/>
      <c r="BA101" s="269">
        <v>1.46</v>
      </c>
      <c r="BB101" s="233"/>
      <c r="BC101" s="233">
        <f t="shared" si="32"/>
        <v>5.9308630999999998</v>
      </c>
      <c r="BD101" s="211"/>
      <c r="BE101" s="384"/>
      <c r="BF101" s="211"/>
      <c r="BG101" s="392">
        <v>4062235</v>
      </c>
    </row>
    <row r="102" spans="1:59" ht="12.75">
      <c r="A102" s="428" t="s">
        <v>257</v>
      </c>
      <c r="B102" s="382"/>
      <c r="C102" s="383">
        <v>246.88</v>
      </c>
      <c r="D102" s="233"/>
      <c r="E102" s="233">
        <f t="shared" si="22"/>
        <v>14352.00070192</v>
      </c>
      <c r="F102" s="211"/>
      <c r="G102" s="384"/>
      <c r="H102" s="429">
        <v>11.77</v>
      </c>
      <c r="I102" s="233"/>
      <c r="J102" s="233">
        <f t="shared" si="23"/>
        <v>684.23140092999995</v>
      </c>
      <c r="K102" s="211"/>
      <c r="L102" s="384"/>
      <c r="M102" s="269">
        <v>62.8</v>
      </c>
      <c r="N102" s="233"/>
      <c r="O102" s="233">
        <f t="shared" si="24"/>
        <v>3650.7843651999997</v>
      </c>
      <c r="P102" s="211"/>
      <c r="Q102" s="384"/>
      <c r="R102" s="269">
        <v>18.89</v>
      </c>
      <c r="S102" s="233"/>
      <c r="T102" s="233">
        <f t="shared" si="25"/>
        <v>1098.1419850100001</v>
      </c>
      <c r="U102" s="211"/>
      <c r="V102" s="384"/>
      <c r="W102" s="269">
        <v>35.479999999999997</v>
      </c>
      <c r="X102" s="233"/>
      <c r="Y102" s="233">
        <f t="shared" si="26"/>
        <v>2062.5768993199999</v>
      </c>
      <c r="Z102" s="211"/>
      <c r="AA102" s="384"/>
      <c r="AB102" s="387">
        <v>29.8</v>
      </c>
      <c r="AC102" s="233"/>
      <c r="AD102" s="233">
        <f t="shared" si="27"/>
        <v>1732.3785682</v>
      </c>
      <c r="AE102" s="211"/>
      <c r="AF102" s="384"/>
      <c r="AG102" s="388">
        <v>130.88</v>
      </c>
      <c r="AH102" s="233"/>
      <c r="AI102" s="233">
        <f t="shared" si="28"/>
        <v>7608.5136579199998</v>
      </c>
      <c r="AJ102" s="211"/>
      <c r="AK102" s="384"/>
      <c r="AL102" s="388">
        <v>139.79</v>
      </c>
      <c r="AM102" s="233"/>
      <c r="AN102" s="233">
        <f t="shared" si="29"/>
        <v>8126.4832231099999</v>
      </c>
      <c r="AO102" s="211"/>
      <c r="AP102" s="390"/>
      <c r="AQ102" s="427">
        <v>5.74</v>
      </c>
      <c r="AR102" s="233"/>
      <c r="AS102" s="233">
        <f t="shared" si="30"/>
        <v>333.68634166000004</v>
      </c>
      <c r="AT102" s="211"/>
      <c r="AU102" s="384"/>
      <c r="AV102" s="269">
        <v>160.96</v>
      </c>
      <c r="AW102" s="233"/>
      <c r="AX102" s="233">
        <f t="shared" si="31"/>
        <v>9357.1696086400007</v>
      </c>
      <c r="AY102" s="211"/>
      <c r="AZ102" s="384"/>
      <c r="BA102" s="269">
        <v>8.0500000000000007</v>
      </c>
      <c r="BB102" s="233"/>
      <c r="BC102" s="233">
        <f t="shared" si="32"/>
        <v>467.97474745000005</v>
      </c>
      <c r="BD102" s="211"/>
      <c r="BE102" s="384"/>
      <c r="BF102" s="211"/>
      <c r="BG102" s="392">
        <v>58133509</v>
      </c>
    </row>
    <row r="103" spans="1:59" ht="12.75">
      <c r="A103" s="428" t="s">
        <v>258</v>
      </c>
      <c r="B103" s="382"/>
      <c r="C103" s="383">
        <v>174.11</v>
      </c>
      <c r="D103" s="233"/>
      <c r="E103" s="233">
        <f t="shared" si="22"/>
        <v>396.05411085000003</v>
      </c>
      <c r="F103" s="211"/>
      <c r="G103" s="384"/>
      <c r="H103" s="383">
        <v>12.49</v>
      </c>
      <c r="I103" s="233"/>
      <c r="J103" s="233">
        <f t="shared" si="23"/>
        <v>28.411440150000001</v>
      </c>
      <c r="K103" s="211"/>
      <c r="L103" s="384"/>
      <c r="M103" s="269">
        <v>50.24</v>
      </c>
      <c r="N103" s="233"/>
      <c r="O103" s="233">
        <f t="shared" si="24"/>
        <v>114.2826864</v>
      </c>
      <c r="P103" s="211"/>
      <c r="Q103" s="384"/>
      <c r="R103" s="269">
        <v>21.03</v>
      </c>
      <c r="S103" s="233"/>
      <c r="T103" s="233">
        <f t="shared" si="25"/>
        <v>47.837677050000003</v>
      </c>
      <c r="U103" s="211"/>
      <c r="V103" s="384"/>
      <c r="W103" s="269">
        <v>112.73</v>
      </c>
      <c r="X103" s="233"/>
      <c r="Y103" s="233">
        <f t="shared" si="26"/>
        <v>256.43087654999999</v>
      </c>
      <c r="Z103" s="211"/>
      <c r="AA103" s="384"/>
      <c r="AB103" s="387">
        <v>24.86</v>
      </c>
      <c r="AC103" s="233"/>
      <c r="AD103" s="233">
        <f t="shared" si="27"/>
        <v>56.5499121</v>
      </c>
      <c r="AE103" s="211"/>
      <c r="AF103" s="384"/>
      <c r="AG103" s="394">
        <v>116.44</v>
      </c>
      <c r="AH103" s="233"/>
      <c r="AI103" s="233">
        <f t="shared" si="28"/>
        <v>264.87014340000002</v>
      </c>
      <c r="AJ103" s="211"/>
      <c r="AK103" s="384"/>
      <c r="AL103" s="394">
        <v>47.99</v>
      </c>
      <c r="AM103" s="233"/>
      <c r="AN103" s="233">
        <f t="shared" si="29"/>
        <v>109.16453265000001</v>
      </c>
      <c r="AO103" s="211"/>
      <c r="AP103" s="390"/>
      <c r="AQ103" s="427">
        <v>0.82</v>
      </c>
      <c r="AR103" s="233"/>
      <c r="AS103" s="233">
        <f t="shared" si="30"/>
        <v>1.8652826999999998</v>
      </c>
      <c r="AT103" s="211"/>
      <c r="AU103" s="384"/>
      <c r="AV103" s="269">
        <v>117.3</v>
      </c>
      <c r="AW103" s="233"/>
      <c r="AX103" s="233">
        <f t="shared" si="31"/>
        <v>266.8264155</v>
      </c>
      <c r="AY103" s="211"/>
      <c r="AZ103" s="384"/>
      <c r="BA103" s="269">
        <v>1.53</v>
      </c>
      <c r="BB103" s="233"/>
      <c r="BC103" s="233">
        <f t="shared" si="32"/>
        <v>3.4803445500000003</v>
      </c>
      <c r="BD103" s="211"/>
      <c r="BE103" s="384"/>
      <c r="BF103" s="211"/>
      <c r="BG103" s="392">
        <v>2274735</v>
      </c>
    </row>
    <row r="104" spans="1:59" ht="12.75">
      <c r="A104" s="428" t="s">
        <v>259</v>
      </c>
      <c r="B104" s="382"/>
      <c r="C104" s="383">
        <v>295.45999999999998</v>
      </c>
      <c r="D104" s="233"/>
      <c r="E104" s="233">
        <f t="shared" si="22"/>
        <v>1059.49178676</v>
      </c>
      <c r="F104" s="211"/>
      <c r="G104" s="384"/>
      <c r="H104" s="429">
        <v>15.01</v>
      </c>
      <c r="I104" s="233"/>
      <c r="J104" s="233">
        <f t="shared" si="23"/>
        <v>53.824449059999999</v>
      </c>
      <c r="K104" s="211"/>
      <c r="L104" s="384"/>
      <c r="M104" s="269">
        <v>54.66</v>
      </c>
      <c r="N104" s="233"/>
      <c r="O104" s="233">
        <f t="shared" si="24"/>
        <v>196.00562195999998</v>
      </c>
      <c r="P104" s="211"/>
      <c r="Q104" s="384"/>
      <c r="R104" s="269">
        <v>29.04</v>
      </c>
      <c r="S104" s="233"/>
      <c r="T104" s="233">
        <f t="shared" si="25"/>
        <v>104.13471023999999</v>
      </c>
      <c r="U104" s="211"/>
      <c r="V104" s="384"/>
      <c r="W104" s="269">
        <v>60.62</v>
      </c>
      <c r="X104" s="233"/>
      <c r="Y104" s="233">
        <f t="shared" si="26"/>
        <v>217.37762172000001</v>
      </c>
      <c r="Z104" s="211"/>
      <c r="AA104" s="384"/>
      <c r="AB104" s="387">
        <v>33.090000000000003</v>
      </c>
      <c r="AC104" s="233"/>
      <c r="AD104" s="233">
        <f t="shared" si="27"/>
        <v>118.65762954</v>
      </c>
      <c r="AE104" s="211"/>
      <c r="AF104" s="384"/>
      <c r="AG104" s="388">
        <v>94.45</v>
      </c>
      <c r="AH104" s="233"/>
      <c r="AI104" s="233">
        <f t="shared" si="28"/>
        <v>338.68882170000001</v>
      </c>
      <c r="AJ104" s="211"/>
      <c r="AK104" s="384"/>
      <c r="AL104" s="391">
        <v>49.08</v>
      </c>
      <c r="AM104" s="233"/>
      <c r="AN104" s="233">
        <f t="shared" si="29"/>
        <v>175.99626648</v>
      </c>
      <c r="AO104" s="211"/>
      <c r="AP104" s="390"/>
      <c r="AQ104" s="427">
        <v>5.87</v>
      </c>
      <c r="AR104" s="233"/>
      <c r="AS104" s="233">
        <f t="shared" si="30"/>
        <v>21.049268219999998</v>
      </c>
      <c r="AT104" s="211"/>
      <c r="AU104" s="384"/>
      <c r="AV104" s="269">
        <v>145.56</v>
      </c>
      <c r="AW104" s="233"/>
      <c r="AX104" s="233">
        <f t="shared" si="31"/>
        <v>521.96447736000005</v>
      </c>
      <c r="AY104" s="211"/>
      <c r="AZ104" s="384"/>
      <c r="BA104" s="269">
        <v>1.46</v>
      </c>
      <c r="BB104" s="233"/>
      <c r="BC104" s="233">
        <f t="shared" si="32"/>
        <v>5.2354227599999996</v>
      </c>
      <c r="BD104" s="211"/>
      <c r="BE104" s="384"/>
      <c r="BF104" s="211"/>
      <c r="BG104" s="392">
        <v>3585906</v>
      </c>
    </row>
    <row r="105" spans="1:59" ht="12.75">
      <c r="A105" s="428" t="s">
        <v>260</v>
      </c>
      <c r="B105" s="423"/>
      <c r="C105" s="424">
        <v>255.3</v>
      </c>
      <c r="D105" s="233"/>
      <c r="E105" s="233">
        <f t="shared" si="22"/>
        <v>121.1176389</v>
      </c>
      <c r="F105" s="211"/>
      <c r="G105" s="384"/>
      <c r="H105" s="429">
        <v>15.58</v>
      </c>
      <c r="I105" s="233"/>
      <c r="J105" s="233">
        <f t="shared" si="23"/>
        <v>7.39135454</v>
      </c>
      <c r="K105" s="211"/>
      <c r="L105" s="384"/>
      <c r="M105" s="269">
        <v>62.7</v>
      </c>
      <c r="N105" s="233"/>
      <c r="O105" s="233">
        <f t="shared" si="24"/>
        <v>29.745695100000002</v>
      </c>
      <c r="P105" s="211"/>
      <c r="Q105" s="384"/>
      <c r="R105" s="386">
        <v>18.96</v>
      </c>
      <c r="S105" s="233"/>
      <c r="T105" s="233">
        <f t="shared" si="25"/>
        <v>8.9948704800000012</v>
      </c>
      <c r="U105" s="211"/>
      <c r="V105" s="384"/>
      <c r="W105" s="269">
        <v>32.450000000000003</v>
      </c>
      <c r="X105" s="233"/>
      <c r="Y105" s="233">
        <f t="shared" si="26"/>
        <v>15.394701850000002</v>
      </c>
      <c r="Z105" s="211"/>
      <c r="AA105" s="384"/>
      <c r="AB105" s="387">
        <v>32.15</v>
      </c>
      <c r="AC105" s="233"/>
      <c r="AD105" s="233">
        <f t="shared" si="27"/>
        <v>15.25237795</v>
      </c>
      <c r="AE105" s="211"/>
      <c r="AF105" s="384"/>
      <c r="AG105" s="388">
        <v>96.03</v>
      </c>
      <c r="AH105" s="233"/>
      <c r="AI105" s="233">
        <f t="shared" si="28"/>
        <v>45.557880390000001</v>
      </c>
      <c r="AJ105" s="211"/>
      <c r="AK105" s="384"/>
      <c r="AL105" s="388">
        <v>200.83</v>
      </c>
      <c r="AM105" s="233"/>
      <c r="AN105" s="233">
        <f t="shared" si="29"/>
        <v>95.276362790000007</v>
      </c>
      <c r="AO105" s="211"/>
      <c r="AP105" s="390"/>
      <c r="AQ105" s="427">
        <v>3.23</v>
      </c>
      <c r="AR105" s="233"/>
      <c r="AS105" s="233">
        <f t="shared" si="30"/>
        <v>1.5323539900000001</v>
      </c>
      <c r="AT105" s="211"/>
      <c r="AU105" s="384"/>
      <c r="AV105" s="269">
        <v>118.05</v>
      </c>
      <c r="AW105" s="233"/>
      <c r="AX105" s="233">
        <f t="shared" si="31"/>
        <v>56.00445465</v>
      </c>
      <c r="AY105" s="211"/>
      <c r="AZ105" s="384"/>
      <c r="BA105" s="269">
        <v>0.49</v>
      </c>
      <c r="BB105" s="233"/>
      <c r="BC105" s="233">
        <f t="shared" si="32"/>
        <v>0.23246237</v>
      </c>
      <c r="BD105" s="211"/>
      <c r="BE105" s="384"/>
      <c r="BF105" s="211"/>
      <c r="BG105" s="392">
        <v>474413</v>
      </c>
    </row>
    <row r="106" spans="1:59" ht="12.75">
      <c r="A106" s="428" t="s">
        <v>261</v>
      </c>
      <c r="B106" s="423"/>
      <c r="C106" s="424">
        <v>190.06</v>
      </c>
      <c r="D106" s="233"/>
      <c r="E106" s="233">
        <f t="shared" si="22"/>
        <v>76.06467284</v>
      </c>
      <c r="F106" s="211"/>
      <c r="G106" s="384"/>
      <c r="H106" s="383">
        <v>11.95</v>
      </c>
      <c r="I106" s="233"/>
      <c r="J106" s="233">
        <f t="shared" si="23"/>
        <v>4.7825572999999997</v>
      </c>
      <c r="K106" s="211"/>
      <c r="L106" s="384"/>
      <c r="M106" s="269">
        <v>51.3</v>
      </c>
      <c r="N106" s="233"/>
      <c r="O106" s="233">
        <f t="shared" si="24"/>
        <v>20.5309782</v>
      </c>
      <c r="P106" s="211"/>
      <c r="Q106" s="384"/>
      <c r="R106" s="269">
        <v>26.57</v>
      </c>
      <c r="S106" s="233"/>
      <c r="T106" s="233">
        <f t="shared" si="25"/>
        <v>10.633685980000001</v>
      </c>
      <c r="U106" s="211"/>
      <c r="V106" s="384"/>
      <c r="W106" s="269">
        <v>29.02</v>
      </c>
      <c r="X106" s="233"/>
      <c r="Y106" s="233">
        <f t="shared" si="26"/>
        <v>11.61421028</v>
      </c>
      <c r="Z106" s="211"/>
      <c r="AA106" s="384"/>
      <c r="AB106" s="387">
        <v>31.9</v>
      </c>
      <c r="AC106" s="233"/>
      <c r="AD106" s="233">
        <f t="shared" si="27"/>
        <v>12.7668266</v>
      </c>
      <c r="AE106" s="211"/>
      <c r="AF106" s="384"/>
      <c r="AG106" s="394">
        <v>200.88</v>
      </c>
      <c r="AH106" s="233"/>
      <c r="AI106" s="233">
        <f t="shared" si="28"/>
        <v>80.394988319999996</v>
      </c>
      <c r="AJ106" s="211"/>
      <c r="AK106" s="384"/>
      <c r="AL106" s="394">
        <v>76.2</v>
      </c>
      <c r="AM106" s="233"/>
      <c r="AN106" s="233">
        <f t="shared" si="29"/>
        <v>30.496306799999999</v>
      </c>
      <c r="AO106" s="211"/>
      <c r="AP106" s="390"/>
      <c r="AQ106" s="427">
        <v>9.7899999999999991</v>
      </c>
      <c r="AR106" s="233"/>
      <c r="AS106" s="233">
        <f t="shared" si="30"/>
        <v>3.9180950599999997</v>
      </c>
      <c r="AT106" s="211"/>
      <c r="AU106" s="384"/>
      <c r="AV106" s="269">
        <v>147.69</v>
      </c>
      <c r="AW106" s="233"/>
      <c r="AX106" s="233">
        <f t="shared" si="31"/>
        <v>59.107605659999997</v>
      </c>
      <c r="AY106" s="211"/>
      <c r="AZ106" s="384"/>
      <c r="BA106" s="269">
        <v>2.0299999999999998</v>
      </c>
      <c r="BB106" s="233"/>
      <c r="BC106" s="233">
        <f t="shared" si="32"/>
        <v>0.81243441999999988</v>
      </c>
      <c r="BD106" s="211"/>
      <c r="BE106" s="384"/>
      <c r="BF106" s="211"/>
      <c r="BG106" s="392">
        <v>400214</v>
      </c>
    </row>
    <row r="107" spans="1:59" ht="12.75">
      <c r="A107" s="428" t="s">
        <v>262</v>
      </c>
      <c r="B107" s="382"/>
      <c r="C107" s="383">
        <v>349.21</v>
      </c>
      <c r="D107" s="233"/>
      <c r="E107" s="233">
        <f t="shared" si="22"/>
        <v>217.37309790999998</v>
      </c>
      <c r="F107" s="211"/>
      <c r="G107" s="384"/>
      <c r="H107" s="216">
        <v>12.04</v>
      </c>
      <c r="I107" s="233"/>
      <c r="J107" s="233">
        <f t="shared" si="23"/>
        <v>7.4945508399999996</v>
      </c>
      <c r="K107" s="211"/>
      <c r="L107" s="384"/>
      <c r="M107" s="269">
        <v>61.44</v>
      </c>
      <c r="N107" s="233"/>
      <c r="O107" s="233">
        <f t="shared" si="24"/>
        <v>38.244618240000001</v>
      </c>
      <c r="P107" s="211"/>
      <c r="Q107" s="384"/>
      <c r="R107" s="269">
        <v>16.64</v>
      </c>
      <c r="S107" s="233"/>
      <c r="T107" s="233">
        <f t="shared" si="25"/>
        <v>10.35791744</v>
      </c>
      <c r="U107" s="211"/>
      <c r="V107" s="384"/>
      <c r="W107" s="269">
        <v>26.89</v>
      </c>
      <c r="X107" s="233"/>
      <c r="Y107" s="233">
        <f t="shared" si="26"/>
        <v>16.738245190000001</v>
      </c>
      <c r="Z107" s="211"/>
      <c r="AA107" s="384"/>
      <c r="AB107" s="387">
        <v>14.06</v>
      </c>
      <c r="AC107" s="233"/>
      <c r="AD107" s="233">
        <f t="shared" si="27"/>
        <v>8.7519422599999999</v>
      </c>
      <c r="AE107" s="211"/>
      <c r="AF107" s="384"/>
      <c r="AG107" s="388">
        <v>108.62</v>
      </c>
      <c r="AH107" s="233"/>
      <c r="AI107" s="233">
        <f t="shared" si="28"/>
        <v>67.612800019999995</v>
      </c>
      <c r="AJ107" s="211"/>
      <c r="AK107" s="384"/>
      <c r="AL107" s="388">
        <v>136.93</v>
      </c>
      <c r="AM107" s="233"/>
      <c r="AN107" s="233">
        <f t="shared" si="29"/>
        <v>85.234954029999997</v>
      </c>
      <c r="AO107" s="211"/>
      <c r="AP107" s="390"/>
      <c r="AQ107" s="427">
        <v>5.36</v>
      </c>
      <c r="AR107" s="233"/>
      <c r="AS107" s="233">
        <f t="shared" si="30"/>
        <v>3.3364445599999999</v>
      </c>
      <c r="AT107" s="211"/>
      <c r="AU107" s="384"/>
      <c r="AV107" s="269">
        <v>130.29</v>
      </c>
      <c r="AW107" s="233"/>
      <c r="AX107" s="233">
        <f t="shared" si="31"/>
        <v>81.101746589999991</v>
      </c>
      <c r="AY107" s="211"/>
      <c r="AZ107" s="384"/>
      <c r="BA107" s="269">
        <v>2.37</v>
      </c>
      <c r="BB107" s="233"/>
      <c r="BC107" s="233">
        <f t="shared" si="32"/>
        <v>1.47525627</v>
      </c>
      <c r="BD107" s="211"/>
      <c r="BE107" s="384"/>
      <c r="BF107" s="211"/>
      <c r="BG107" s="432">
        <v>622471</v>
      </c>
    </row>
    <row r="108" spans="1:59" ht="12.75">
      <c r="A108" s="428" t="s">
        <v>263</v>
      </c>
      <c r="B108" s="382"/>
      <c r="C108" s="383">
        <v>341.47</v>
      </c>
      <c r="D108" s="233"/>
      <c r="E108" s="233">
        <f t="shared" si="22"/>
        <v>5631.3391876699998</v>
      </c>
      <c r="F108" s="211"/>
      <c r="G108" s="384"/>
      <c r="H108" s="383">
        <v>14.12</v>
      </c>
      <c r="I108" s="233"/>
      <c r="J108" s="233">
        <f t="shared" si="23"/>
        <v>232.85942932</v>
      </c>
      <c r="K108" s="211"/>
      <c r="L108" s="384"/>
      <c r="M108" s="269">
        <v>56.07</v>
      </c>
      <c r="N108" s="233"/>
      <c r="O108" s="233">
        <f t="shared" si="24"/>
        <v>924.67621826999994</v>
      </c>
      <c r="P108" s="211"/>
      <c r="Q108" s="384"/>
      <c r="R108" s="269">
        <v>13.11</v>
      </c>
      <c r="S108" s="233"/>
      <c r="T108" s="233">
        <f t="shared" si="25"/>
        <v>216.20305370999998</v>
      </c>
      <c r="U108" s="211"/>
      <c r="V108" s="384"/>
      <c r="W108" s="269">
        <v>70.95</v>
      </c>
      <c r="X108" s="233"/>
      <c r="Y108" s="233">
        <f t="shared" si="26"/>
        <v>1170.0691579500001</v>
      </c>
      <c r="Z108" s="211"/>
      <c r="AA108" s="384"/>
      <c r="AB108" s="387">
        <v>21.77</v>
      </c>
      <c r="AC108" s="233"/>
      <c r="AD108" s="233">
        <f t="shared" si="27"/>
        <v>359.01910596999994</v>
      </c>
      <c r="AE108" s="211"/>
      <c r="AF108" s="384"/>
      <c r="AG108" s="394">
        <v>61.6</v>
      </c>
      <c r="AH108" s="233"/>
      <c r="AI108" s="233">
        <f t="shared" si="28"/>
        <v>1015.8739976000001</v>
      </c>
      <c r="AJ108" s="211"/>
      <c r="AK108" s="384"/>
      <c r="AL108" s="394">
        <v>176.1</v>
      </c>
      <c r="AM108" s="233"/>
      <c r="AN108" s="233">
        <f t="shared" si="29"/>
        <v>2904.1462821</v>
      </c>
      <c r="AO108" s="211"/>
      <c r="AP108" s="390"/>
      <c r="AQ108" s="427">
        <v>3.8</v>
      </c>
      <c r="AR108" s="233"/>
      <c r="AS108" s="233">
        <f t="shared" si="30"/>
        <v>62.667551799999998</v>
      </c>
      <c r="AT108" s="211"/>
      <c r="AU108" s="384"/>
      <c r="AV108" s="269">
        <v>92.99</v>
      </c>
      <c r="AW108" s="233"/>
      <c r="AX108" s="233">
        <f t="shared" si="31"/>
        <v>1533.5409583899998</v>
      </c>
      <c r="AY108" s="211"/>
      <c r="AZ108" s="384"/>
      <c r="BA108" s="269">
        <v>2.58</v>
      </c>
      <c r="BB108" s="233"/>
      <c r="BC108" s="233">
        <f t="shared" si="32"/>
        <v>42.547969380000005</v>
      </c>
      <c r="BD108" s="211"/>
      <c r="BE108" s="384"/>
      <c r="BF108" s="211"/>
      <c r="BG108" s="392">
        <v>16491461</v>
      </c>
    </row>
    <row r="109" spans="1:59" ht="12.75">
      <c r="A109" s="428" t="s">
        <v>264</v>
      </c>
      <c r="B109" s="382"/>
      <c r="C109" s="383">
        <v>157.93</v>
      </c>
      <c r="D109" s="233"/>
      <c r="E109" s="233">
        <f t="shared" si="22"/>
        <v>323.84399322000002</v>
      </c>
      <c r="F109" s="211"/>
      <c r="G109" s="384"/>
      <c r="H109" s="383">
        <v>5.04</v>
      </c>
      <c r="I109" s="233"/>
      <c r="J109" s="233">
        <f t="shared" si="23"/>
        <v>10.334792160000001</v>
      </c>
      <c r="K109" s="211"/>
      <c r="L109" s="384"/>
      <c r="M109" s="269">
        <v>18.899999999999999</v>
      </c>
      <c r="N109" s="233"/>
      <c r="O109" s="233">
        <f t="shared" si="24"/>
        <v>38.755470599999995</v>
      </c>
      <c r="P109" s="211"/>
      <c r="Q109" s="384"/>
      <c r="R109" s="386">
        <v>19.73</v>
      </c>
      <c r="S109" s="233"/>
      <c r="T109" s="233">
        <f t="shared" si="25"/>
        <v>40.457430420000001</v>
      </c>
      <c r="U109" s="211"/>
      <c r="V109" s="384"/>
      <c r="W109" s="269">
        <v>60.64</v>
      </c>
      <c r="X109" s="233"/>
      <c r="Y109" s="233">
        <f t="shared" si="26"/>
        <v>124.34559456000001</v>
      </c>
      <c r="Z109" s="211"/>
      <c r="AA109" s="384"/>
      <c r="AB109" s="387">
        <v>6.21</v>
      </c>
      <c r="AC109" s="233"/>
      <c r="AD109" s="233">
        <f t="shared" si="27"/>
        <v>12.73394034</v>
      </c>
      <c r="AE109" s="211"/>
      <c r="AF109" s="384"/>
      <c r="AG109" s="394">
        <v>257.64</v>
      </c>
      <c r="AH109" s="233"/>
      <c r="AI109" s="233">
        <f t="shared" si="28"/>
        <v>528.30473255999993</v>
      </c>
      <c r="AJ109" s="211"/>
      <c r="AK109" s="384"/>
      <c r="AL109" s="394">
        <v>98.32</v>
      </c>
      <c r="AM109" s="233"/>
      <c r="AN109" s="233">
        <f t="shared" si="29"/>
        <v>201.61046927999996</v>
      </c>
      <c r="AO109" s="211"/>
      <c r="AP109" s="390"/>
      <c r="AQ109" s="427">
        <v>7.92</v>
      </c>
      <c r="AR109" s="233"/>
      <c r="AS109" s="233">
        <f t="shared" si="30"/>
        <v>16.240387680000001</v>
      </c>
      <c r="AT109" s="211"/>
      <c r="AU109" s="384"/>
      <c r="AV109" s="269">
        <v>130.02000000000001</v>
      </c>
      <c r="AW109" s="233"/>
      <c r="AX109" s="233">
        <f t="shared" si="31"/>
        <v>266.61303107999998</v>
      </c>
      <c r="AY109" s="211"/>
      <c r="AZ109" s="384"/>
      <c r="BA109" s="269">
        <v>3.73</v>
      </c>
      <c r="BB109" s="233"/>
      <c r="BC109" s="233">
        <f t="shared" si="32"/>
        <v>7.6485664199999999</v>
      </c>
      <c r="BD109" s="211"/>
      <c r="BE109" s="384"/>
      <c r="BF109" s="211"/>
      <c r="BG109" s="392">
        <v>2050554</v>
      </c>
    </row>
    <row r="110" spans="1:59" ht="12.75">
      <c r="A110" s="428" t="s">
        <v>265</v>
      </c>
      <c r="B110" s="382"/>
      <c r="C110" s="383">
        <v>261.33999999999997</v>
      </c>
      <c r="D110" s="233"/>
      <c r="E110" s="233">
        <f t="shared" si="22"/>
        <v>1204.9916988</v>
      </c>
      <c r="F110" s="211"/>
      <c r="G110" s="384"/>
      <c r="H110" s="383">
        <v>11.58</v>
      </c>
      <c r="I110" s="233"/>
      <c r="J110" s="233">
        <f t="shared" si="23"/>
        <v>53.393295600000002</v>
      </c>
      <c r="K110" s="211"/>
      <c r="L110" s="384"/>
      <c r="M110" s="269">
        <v>47.1</v>
      </c>
      <c r="N110" s="233"/>
      <c r="O110" s="233">
        <f t="shared" si="24"/>
        <v>217.169622</v>
      </c>
      <c r="P110" s="211"/>
      <c r="Q110" s="384"/>
      <c r="R110" s="269">
        <v>20.57</v>
      </c>
      <c r="S110" s="233"/>
      <c r="T110" s="233">
        <f t="shared" si="25"/>
        <v>94.844567400000003</v>
      </c>
      <c r="U110" s="211"/>
      <c r="V110" s="384"/>
      <c r="W110" s="269">
        <v>52.6</v>
      </c>
      <c r="X110" s="233"/>
      <c r="Y110" s="233">
        <f t="shared" si="26"/>
        <v>242.529132</v>
      </c>
      <c r="Z110" s="211"/>
      <c r="AA110" s="384"/>
      <c r="AB110" s="387">
        <v>51.35</v>
      </c>
      <c r="AC110" s="233"/>
      <c r="AD110" s="233">
        <f t="shared" si="27"/>
        <v>236.76560699999999</v>
      </c>
      <c r="AE110" s="211"/>
      <c r="AF110" s="384"/>
      <c r="AG110" s="387">
        <v>73.16</v>
      </c>
      <c r="AH110" s="233"/>
      <c r="AI110" s="233">
        <f t="shared" si="28"/>
        <v>337.32759119999997</v>
      </c>
      <c r="AJ110" s="211"/>
      <c r="AK110" s="384"/>
      <c r="AL110" s="391">
        <v>140.87</v>
      </c>
      <c r="AM110" s="233"/>
      <c r="AN110" s="233">
        <f t="shared" si="29"/>
        <v>649.52621339999996</v>
      </c>
      <c r="AO110" s="211"/>
      <c r="AP110" s="390"/>
      <c r="AQ110" s="427">
        <v>8.81</v>
      </c>
      <c r="AR110" s="233"/>
      <c r="AS110" s="233">
        <f t="shared" si="30"/>
        <v>40.621324200000004</v>
      </c>
      <c r="AT110" s="211"/>
      <c r="AU110" s="384"/>
      <c r="AV110" s="269">
        <v>111.58</v>
      </c>
      <c r="AW110" s="233"/>
      <c r="AX110" s="233">
        <f t="shared" si="31"/>
        <v>514.47529559999998</v>
      </c>
      <c r="AY110" s="211"/>
      <c r="AZ110" s="384"/>
      <c r="BA110" s="269">
        <v>1.98</v>
      </c>
      <c r="BB110" s="233"/>
      <c r="BC110" s="233">
        <f t="shared" si="32"/>
        <v>9.1294235999999991</v>
      </c>
      <c r="BD110" s="211"/>
      <c r="BE110" s="384"/>
      <c r="BF110" s="211"/>
      <c r="BG110" s="392">
        <v>4610820</v>
      </c>
    </row>
    <row r="111" spans="1:59" ht="12.75">
      <c r="A111" s="428" t="s">
        <v>266</v>
      </c>
      <c r="B111" s="382"/>
      <c r="C111" s="383">
        <v>205.39</v>
      </c>
      <c r="D111" s="233"/>
      <c r="E111" s="233">
        <f t="shared" si="22"/>
        <v>7915.0875239099996</v>
      </c>
      <c r="F111" s="211"/>
      <c r="G111" s="384"/>
      <c r="H111" s="383">
        <v>6.77</v>
      </c>
      <c r="I111" s="233"/>
      <c r="J111" s="233">
        <f t="shared" si="23"/>
        <v>260.89460313000001</v>
      </c>
      <c r="K111" s="211"/>
      <c r="L111" s="384"/>
      <c r="M111" s="269">
        <v>58.02</v>
      </c>
      <c r="N111" s="233"/>
      <c r="O111" s="233">
        <f t="shared" si="24"/>
        <v>2235.9091393799999</v>
      </c>
      <c r="P111" s="211"/>
      <c r="Q111" s="384"/>
      <c r="R111" s="269">
        <v>30.46</v>
      </c>
      <c r="S111" s="233"/>
      <c r="T111" s="233">
        <f t="shared" si="25"/>
        <v>1173.83302974</v>
      </c>
      <c r="U111" s="211"/>
      <c r="V111" s="384"/>
      <c r="W111" s="269">
        <v>99.53</v>
      </c>
      <c r="X111" s="233"/>
      <c r="Y111" s="233">
        <f t="shared" si="26"/>
        <v>3835.57457157</v>
      </c>
      <c r="Z111" s="211"/>
      <c r="AA111" s="384"/>
      <c r="AB111" s="387">
        <v>10.69</v>
      </c>
      <c r="AC111" s="233"/>
      <c r="AD111" s="233">
        <f t="shared" si="27"/>
        <v>411.95912960999993</v>
      </c>
      <c r="AE111" s="211"/>
      <c r="AF111" s="384"/>
      <c r="AG111" s="394">
        <v>125.56</v>
      </c>
      <c r="AH111" s="233"/>
      <c r="AI111" s="233">
        <f t="shared" si="28"/>
        <v>4838.6892716400007</v>
      </c>
      <c r="AJ111" s="211"/>
      <c r="AK111" s="384"/>
      <c r="AL111" s="394">
        <v>60.17</v>
      </c>
      <c r="AM111" s="233"/>
      <c r="AN111" s="233">
        <f t="shared" si="29"/>
        <v>2318.7634077299999</v>
      </c>
      <c r="AO111" s="211"/>
      <c r="AP111" s="390"/>
      <c r="AQ111" s="427">
        <v>2.5099999999999998</v>
      </c>
      <c r="AR111" s="233"/>
      <c r="AS111" s="233">
        <f t="shared" si="30"/>
        <v>96.727541189999997</v>
      </c>
      <c r="AT111" s="211"/>
      <c r="AU111" s="384"/>
      <c r="AV111" s="269">
        <v>144.51</v>
      </c>
      <c r="AW111" s="233"/>
      <c r="AX111" s="233">
        <f t="shared" si="31"/>
        <v>5568.9629391899998</v>
      </c>
      <c r="AY111" s="211"/>
      <c r="AZ111" s="384"/>
      <c r="BA111" s="269">
        <v>1.25</v>
      </c>
      <c r="BB111" s="233"/>
      <c r="BC111" s="233">
        <f t="shared" si="32"/>
        <v>48.171086250000002</v>
      </c>
      <c r="BD111" s="211"/>
      <c r="BE111" s="384"/>
      <c r="BF111" s="211"/>
      <c r="BG111" s="392">
        <v>38536869</v>
      </c>
    </row>
    <row r="112" spans="1:59" ht="12.75">
      <c r="A112" s="428" t="s">
        <v>267</v>
      </c>
      <c r="B112" s="423"/>
      <c r="C112" s="424">
        <v>205.04</v>
      </c>
      <c r="D112" s="233"/>
      <c r="E112" s="233">
        <f t="shared" si="22"/>
        <v>2174.6275847999996</v>
      </c>
      <c r="F112" s="211"/>
      <c r="G112" s="384"/>
      <c r="H112" s="383">
        <v>8.44</v>
      </c>
      <c r="I112" s="233"/>
      <c r="J112" s="233">
        <f t="shared" si="23"/>
        <v>89.513542799999996</v>
      </c>
      <c r="K112" s="211"/>
      <c r="L112" s="384"/>
      <c r="M112" s="269">
        <v>63.04</v>
      </c>
      <c r="N112" s="233"/>
      <c r="O112" s="233">
        <f t="shared" si="24"/>
        <v>668.59404480000001</v>
      </c>
      <c r="P112" s="211"/>
      <c r="Q112" s="384"/>
      <c r="R112" s="386">
        <v>31.64</v>
      </c>
      <c r="S112" s="233"/>
      <c r="T112" s="233">
        <f t="shared" si="25"/>
        <v>335.56972680000001</v>
      </c>
      <c r="U112" s="211"/>
      <c r="V112" s="384"/>
      <c r="W112" s="269">
        <v>62.78</v>
      </c>
      <c r="X112" s="233"/>
      <c r="Y112" s="233">
        <f t="shared" si="26"/>
        <v>665.83651859999998</v>
      </c>
      <c r="Z112" s="211"/>
      <c r="AA112" s="384"/>
      <c r="AB112" s="387">
        <v>56.84</v>
      </c>
      <c r="AC112" s="233"/>
      <c r="AD112" s="233">
        <f t="shared" si="27"/>
        <v>602.83765080000012</v>
      </c>
      <c r="AE112" s="211"/>
      <c r="AF112" s="384"/>
      <c r="AG112" s="394">
        <v>152.78</v>
      </c>
      <c r="AH112" s="233"/>
      <c r="AI112" s="233">
        <f t="shared" si="28"/>
        <v>1620.3648185999998</v>
      </c>
      <c r="AJ112" s="211"/>
      <c r="AK112" s="384"/>
      <c r="AL112" s="394">
        <v>125.25</v>
      </c>
      <c r="AM112" s="233"/>
      <c r="AN112" s="233">
        <f t="shared" si="29"/>
        <v>1328.3852175</v>
      </c>
      <c r="AO112" s="211"/>
      <c r="AP112" s="390"/>
      <c r="AQ112" s="427">
        <v>3.83</v>
      </c>
      <c r="AR112" s="233"/>
      <c r="AS112" s="233">
        <f t="shared" si="30"/>
        <v>40.620482100000004</v>
      </c>
      <c r="AT112" s="211"/>
      <c r="AU112" s="384"/>
      <c r="AV112" s="269">
        <v>137.77000000000001</v>
      </c>
      <c r="AW112" s="233"/>
      <c r="AX112" s="233">
        <f t="shared" si="31"/>
        <v>1461.1707099</v>
      </c>
      <c r="AY112" s="211"/>
      <c r="AZ112" s="384"/>
      <c r="BA112" s="269">
        <v>4.37</v>
      </c>
      <c r="BB112" s="233"/>
      <c r="BC112" s="233">
        <f t="shared" si="32"/>
        <v>46.347651899999995</v>
      </c>
      <c r="BD112" s="211"/>
      <c r="BE112" s="384"/>
      <c r="BF112" s="211"/>
      <c r="BG112" s="392">
        <v>10605870</v>
      </c>
    </row>
    <row r="113" spans="1:59" ht="12.75">
      <c r="A113" s="428" t="s">
        <v>268</v>
      </c>
      <c r="B113" s="423"/>
      <c r="C113" s="424"/>
      <c r="D113" s="233"/>
      <c r="E113" s="233">
        <f t="shared" si="22"/>
        <v>0</v>
      </c>
      <c r="F113" s="211"/>
      <c r="G113" s="384"/>
      <c r="H113" s="216"/>
      <c r="I113" s="233"/>
      <c r="J113" s="233">
        <f t="shared" si="23"/>
        <v>0</v>
      </c>
      <c r="K113" s="211"/>
      <c r="L113" s="384"/>
      <c r="M113" s="400"/>
      <c r="N113" s="233"/>
      <c r="O113" s="233">
        <f t="shared" si="24"/>
        <v>0</v>
      </c>
      <c r="P113" s="211"/>
      <c r="Q113" s="384"/>
      <c r="R113" s="211"/>
      <c r="S113" s="233"/>
      <c r="T113" s="233">
        <f t="shared" si="25"/>
        <v>0</v>
      </c>
      <c r="U113" s="211"/>
      <c r="V113" s="384"/>
      <c r="W113" s="269">
        <v>40.06</v>
      </c>
      <c r="X113" s="233"/>
      <c r="Y113" s="233">
        <f t="shared" si="26"/>
        <v>178.93624236000002</v>
      </c>
      <c r="Z113" s="211"/>
      <c r="AA113" s="384"/>
      <c r="AB113" s="387">
        <v>11.58</v>
      </c>
      <c r="AC113" s="233"/>
      <c r="AD113" s="233">
        <f t="shared" si="27"/>
        <v>51.724455479999996</v>
      </c>
      <c r="AE113" s="211"/>
      <c r="AF113" s="384"/>
      <c r="AG113" s="388">
        <v>75.12</v>
      </c>
      <c r="AH113" s="233"/>
      <c r="AI113" s="233">
        <f t="shared" si="28"/>
        <v>335.53895472000005</v>
      </c>
      <c r="AJ113" s="211"/>
      <c r="AK113" s="384"/>
      <c r="AL113" s="391">
        <v>55.73</v>
      </c>
      <c r="AM113" s="233"/>
      <c r="AN113" s="233">
        <f t="shared" si="29"/>
        <v>248.92952538</v>
      </c>
      <c r="AO113" s="211"/>
      <c r="AP113" s="390"/>
      <c r="AQ113" s="427">
        <v>0.85</v>
      </c>
      <c r="AR113" s="233"/>
      <c r="AS113" s="233">
        <f t="shared" si="30"/>
        <v>3.7967001000000002</v>
      </c>
      <c r="AT113" s="211"/>
      <c r="AU113" s="384"/>
      <c r="AV113" s="269">
        <v>126.72</v>
      </c>
      <c r="AW113" s="233"/>
      <c r="AX113" s="233">
        <f t="shared" si="31"/>
        <v>566.02098432000003</v>
      </c>
      <c r="AY113" s="211"/>
      <c r="AZ113" s="384"/>
      <c r="BA113" s="269">
        <v>1.66</v>
      </c>
      <c r="BB113" s="233"/>
      <c r="BC113" s="233">
        <f t="shared" si="32"/>
        <v>7.4147319600000001</v>
      </c>
      <c r="BD113" s="211"/>
      <c r="BE113" s="384"/>
      <c r="BF113" s="211"/>
      <c r="BG113" s="392">
        <v>4466706</v>
      </c>
    </row>
    <row r="114" spans="1:59" ht="12.75">
      <c r="A114" s="428" t="s">
        <v>269</v>
      </c>
      <c r="B114" s="382"/>
      <c r="C114" s="383">
        <v>238.33</v>
      </c>
      <c r="D114" s="233"/>
      <c r="E114" s="233">
        <f t="shared" si="22"/>
        <v>5315.6055481599997</v>
      </c>
      <c r="F114" s="211"/>
      <c r="G114" s="384"/>
      <c r="H114" s="429">
        <v>14.35</v>
      </c>
      <c r="I114" s="233"/>
      <c r="J114" s="233">
        <f t="shared" si="23"/>
        <v>320.05597119999999</v>
      </c>
      <c r="K114" s="211"/>
      <c r="L114" s="384"/>
      <c r="M114" s="269">
        <v>45.52</v>
      </c>
      <c r="N114" s="233"/>
      <c r="O114" s="233">
        <f t="shared" si="24"/>
        <v>1015.2576870400001</v>
      </c>
      <c r="P114" s="211"/>
      <c r="Q114" s="384"/>
      <c r="R114" s="386">
        <v>19.309999999999999</v>
      </c>
      <c r="S114" s="233"/>
      <c r="T114" s="233">
        <f t="shared" si="25"/>
        <v>430.68158911999996</v>
      </c>
      <c r="U114" s="211"/>
      <c r="V114" s="384"/>
      <c r="W114" s="269">
        <v>97.72</v>
      </c>
      <c r="X114" s="233"/>
      <c r="Y114" s="233">
        <f t="shared" si="26"/>
        <v>2179.5031014400001</v>
      </c>
      <c r="Z114" s="211"/>
      <c r="AA114" s="384"/>
      <c r="AB114" s="387">
        <v>5.96</v>
      </c>
      <c r="AC114" s="233"/>
      <c r="AD114" s="233">
        <f t="shared" si="27"/>
        <v>132.92916991999999</v>
      </c>
      <c r="AE114" s="211"/>
      <c r="AF114" s="384"/>
      <c r="AG114" s="388">
        <v>196.22</v>
      </c>
      <c r="AH114" s="233"/>
      <c r="AI114" s="233">
        <f t="shared" si="28"/>
        <v>4376.4029734399992</v>
      </c>
      <c r="AJ114" s="211"/>
      <c r="AK114" s="384"/>
      <c r="AL114" s="391">
        <v>76.17</v>
      </c>
      <c r="AM114" s="233"/>
      <c r="AN114" s="233">
        <f t="shared" si="29"/>
        <v>1698.8615558400002</v>
      </c>
      <c r="AO114" s="211"/>
      <c r="AP114" s="390"/>
      <c r="AQ114" s="427">
        <v>2.91</v>
      </c>
      <c r="AR114" s="233"/>
      <c r="AS114" s="233">
        <f t="shared" si="30"/>
        <v>64.903336319999994</v>
      </c>
      <c r="AT114" s="211"/>
      <c r="AU114" s="384"/>
      <c r="AV114" s="269">
        <v>170.8</v>
      </c>
      <c r="AW114" s="233"/>
      <c r="AX114" s="233">
        <f t="shared" si="31"/>
        <v>3809.4466816000004</v>
      </c>
      <c r="AY114" s="211"/>
      <c r="AZ114" s="384"/>
      <c r="BA114" s="269">
        <v>2.5</v>
      </c>
      <c r="BB114" s="233"/>
      <c r="BC114" s="233">
        <f t="shared" si="32"/>
        <v>55.758879999999998</v>
      </c>
      <c r="BD114" s="211"/>
      <c r="BE114" s="384"/>
      <c r="BF114" s="211"/>
      <c r="BG114" s="392">
        <v>22303552</v>
      </c>
    </row>
    <row r="115" spans="1:59" ht="12.75">
      <c r="A115" s="428" t="s">
        <v>270</v>
      </c>
      <c r="B115" s="382"/>
      <c r="C115" s="383">
        <v>163.57</v>
      </c>
      <c r="D115" s="233"/>
      <c r="E115" s="233">
        <f t="shared" si="22"/>
        <v>23373.096337799998</v>
      </c>
      <c r="F115" s="211"/>
      <c r="G115" s="384"/>
      <c r="H115" s="383">
        <v>16.02</v>
      </c>
      <c r="I115" s="233"/>
      <c r="J115" s="233">
        <f t="shared" si="23"/>
        <v>2289.1545107999996</v>
      </c>
      <c r="K115" s="211"/>
      <c r="L115" s="384"/>
      <c r="M115" s="269">
        <v>44.37</v>
      </c>
      <c r="N115" s="233"/>
      <c r="O115" s="233">
        <f t="shared" si="24"/>
        <v>6340.1863697999988</v>
      </c>
      <c r="P115" s="211"/>
      <c r="Q115" s="384"/>
      <c r="R115" s="269">
        <v>31.31</v>
      </c>
      <c r="S115" s="233"/>
      <c r="T115" s="233">
        <f t="shared" si="25"/>
        <v>4473.9967373999998</v>
      </c>
      <c r="U115" s="211"/>
      <c r="V115" s="384"/>
      <c r="W115" s="269">
        <v>101.11</v>
      </c>
      <c r="X115" s="233"/>
      <c r="Y115" s="233">
        <f t="shared" si="26"/>
        <v>14447.9658294</v>
      </c>
      <c r="Z115" s="211"/>
      <c r="AA115" s="384"/>
      <c r="AB115" s="387">
        <v>20.07</v>
      </c>
      <c r="AC115" s="233"/>
      <c r="AD115" s="233">
        <f t="shared" si="27"/>
        <v>2867.8733478000004</v>
      </c>
      <c r="AE115" s="211"/>
      <c r="AF115" s="384"/>
      <c r="AG115" s="394">
        <v>113.04</v>
      </c>
      <c r="AH115" s="233"/>
      <c r="AI115" s="233">
        <f t="shared" si="28"/>
        <v>16152.6857616</v>
      </c>
      <c r="AJ115" s="211"/>
      <c r="AK115" s="384"/>
      <c r="AL115" s="394">
        <v>71.650000000000006</v>
      </c>
      <c r="AM115" s="233"/>
      <c r="AN115" s="233">
        <f t="shared" si="29"/>
        <v>10238.322141000001</v>
      </c>
      <c r="AO115" s="211"/>
      <c r="AP115" s="390"/>
      <c r="AQ115" s="427">
        <v>3.95</v>
      </c>
      <c r="AR115" s="233"/>
      <c r="AS115" s="233">
        <f t="shared" si="30"/>
        <v>564.429483</v>
      </c>
      <c r="AT115" s="211"/>
      <c r="AU115" s="384"/>
      <c r="AV115" s="269">
        <v>147.72</v>
      </c>
      <c r="AW115" s="233"/>
      <c r="AX115" s="233">
        <f t="shared" si="31"/>
        <v>21108.233728799998</v>
      </c>
      <c r="AY115" s="211"/>
      <c r="AZ115" s="384"/>
      <c r="BA115" s="269">
        <v>0.28999999999999998</v>
      </c>
      <c r="BB115" s="233"/>
      <c r="BC115" s="233">
        <f t="shared" si="32"/>
        <v>41.439126599999994</v>
      </c>
      <c r="BD115" s="211"/>
      <c r="BE115" s="384"/>
      <c r="BF115" s="211"/>
      <c r="BG115" s="392">
        <v>142893540</v>
      </c>
    </row>
    <row r="116" spans="1:59" ht="12.75">
      <c r="A116" s="428" t="s">
        <v>271</v>
      </c>
      <c r="B116" s="382"/>
      <c r="C116" s="383">
        <v>148.53</v>
      </c>
      <c r="D116" s="233"/>
      <c r="E116" s="233">
        <f t="shared" si="22"/>
        <v>21223.977496200001</v>
      </c>
      <c r="F116" s="211"/>
      <c r="G116" s="384"/>
      <c r="H116" s="429">
        <v>9.42</v>
      </c>
      <c r="I116" s="233"/>
      <c r="J116" s="233">
        <f t="shared" si="23"/>
        <v>1346.0571468000001</v>
      </c>
      <c r="K116" s="211"/>
      <c r="L116" s="384"/>
      <c r="M116" s="269">
        <v>44.5</v>
      </c>
      <c r="N116" s="233"/>
      <c r="O116" s="233">
        <f t="shared" si="24"/>
        <v>6358.76253</v>
      </c>
      <c r="P116" s="211"/>
      <c r="Q116" s="384"/>
      <c r="R116" s="269">
        <v>11.68</v>
      </c>
      <c r="S116" s="233"/>
      <c r="T116" s="233">
        <f t="shared" si="25"/>
        <v>1668.9965472000001</v>
      </c>
      <c r="U116" s="211"/>
      <c r="V116" s="384"/>
      <c r="W116" s="269">
        <v>35.18</v>
      </c>
      <c r="X116" s="233"/>
      <c r="Y116" s="233">
        <f t="shared" si="26"/>
        <v>5026.9947371999997</v>
      </c>
      <c r="Z116" s="211"/>
      <c r="AA116" s="384"/>
      <c r="AB116" s="387">
        <v>6.18</v>
      </c>
      <c r="AC116" s="233"/>
      <c r="AD116" s="233">
        <f t="shared" si="27"/>
        <v>883.08207719999996</v>
      </c>
      <c r="AE116" s="211"/>
      <c r="AF116" s="384"/>
      <c r="AG116" s="388">
        <v>110.17</v>
      </c>
      <c r="AH116" s="233"/>
      <c r="AI116" s="233">
        <f t="shared" si="28"/>
        <v>15742.581301800001</v>
      </c>
      <c r="AJ116" s="211"/>
      <c r="AK116" s="384"/>
      <c r="AL116" s="388">
        <v>109.85</v>
      </c>
      <c r="AM116" s="233"/>
      <c r="AN116" s="233">
        <f t="shared" si="29"/>
        <v>15696.855369000001</v>
      </c>
      <c r="AO116" s="211"/>
      <c r="AP116" s="390"/>
      <c r="AQ116" s="427">
        <v>4.21</v>
      </c>
      <c r="AR116" s="233"/>
      <c r="AS116" s="233">
        <f t="shared" si="30"/>
        <v>601.58180340000001</v>
      </c>
      <c r="AT116" s="211"/>
      <c r="AU116" s="384"/>
      <c r="AV116" s="269">
        <v>145.68</v>
      </c>
      <c r="AW116" s="233"/>
      <c r="AX116" s="233">
        <f t="shared" si="31"/>
        <v>20816.730907200003</v>
      </c>
      <c r="AY116" s="211"/>
      <c r="AZ116" s="384"/>
      <c r="BA116" s="269">
        <v>1.62</v>
      </c>
      <c r="BB116" s="233"/>
      <c r="BC116" s="233">
        <f t="shared" si="32"/>
        <v>231.48753480000002</v>
      </c>
      <c r="BD116" s="211"/>
      <c r="BE116" s="384"/>
      <c r="BF116" s="211"/>
      <c r="BG116" s="392">
        <v>142893540</v>
      </c>
    </row>
    <row r="117" spans="1:59" ht="12.75">
      <c r="A117" s="428" t="s">
        <v>272</v>
      </c>
      <c r="B117" s="382"/>
      <c r="C117" s="383">
        <v>143.13999999999999</v>
      </c>
      <c r="D117" s="233"/>
      <c r="E117" s="233">
        <f t="shared" si="22"/>
        <v>778.60258671999986</v>
      </c>
      <c r="F117" s="211"/>
      <c r="G117" s="384"/>
      <c r="H117" s="383">
        <v>12.93</v>
      </c>
      <c r="I117" s="233"/>
      <c r="J117" s="233">
        <f t="shared" si="23"/>
        <v>70.332062640000004</v>
      </c>
      <c r="K117" s="211"/>
      <c r="L117" s="384"/>
      <c r="M117" s="269">
        <v>43.21</v>
      </c>
      <c r="N117" s="233"/>
      <c r="O117" s="233">
        <f t="shared" si="24"/>
        <v>235.03854808000003</v>
      </c>
      <c r="P117" s="211"/>
      <c r="Q117" s="384"/>
      <c r="R117" s="269">
        <v>14.15</v>
      </c>
      <c r="S117" s="233"/>
      <c r="T117" s="233">
        <f t="shared" si="25"/>
        <v>76.968189199999998</v>
      </c>
      <c r="U117" s="211"/>
      <c r="V117" s="384"/>
      <c r="W117" s="269">
        <v>50.79</v>
      </c>
      <c r="X117" s="233"/>
      <c r="Y117" s="233">
        <f t="shared" si="26"/>
        <v>276.26956392</v>
      </c>
      <c r="Z117" s="211"/>
      <c r="AA117" s="384"/>
      <c r="AB117" s="387">
        <v>9.6999999999999993</v>
      </c>
      <c r="AC117" s="233"/>
      <c r="AD117" s="233">
        <f t="shared" si="27"/>
        <v>52.762645599999992</v>
      </c>
      <c r="AE117" s="211"/>
      <c r="AF117" s="384"/>
      <c r="AG117" s="394">
        <v>62.79</v>
      </c>
      <c r="AH117" s="233"/>
      <c r="AI117" s="233">
        <f t="shared" si="28"/>
        <v>341.54293992000004</v>
      </c>
      <c r="AJ117" s="211"/>
      <c r="AK117" s="384"/>
      <c r="AL117" s="394">
        <v>58.05</v>
      </c>
      <c r="AM117" s="233"/>
      <c r="AN117" s="233">
        <f t="shared" si="29"/>
        <v>315.75995639999996</v>
      </c>
      <c r="AO117" s="211"/>
      <c r="AP117" s="390"/>
      <c r="AQ117" s="427">
        <v>2.33</v>
      </c>
      <c r="AR117" s="233"/>
      <c r="AS117" s="233">
        <f t="shared" si="30"/>
        <v>12.673913839999999</v>
      </c>
      <c r="AT117" s="211"/>
      <c r="AU117" s="384"/>
      <c r="AV117" s="269">
        <v>101.99</v>
      </c>
      <c r="AW117" s="233"/>
      <c r="AX117" s="233">
        <f t="shared" si="31"/>
        <v>554.76930152</v>
      </c>
      <c r="AY117" s="211"/>
      <c r="AZ117" s="384"/>
      <c r="BA117" s="269">
        <v>1.5</v>
      </c>
      <c r="BB117" s="233"/>
      <c r="BC117" s="233">
        <f t="shared" si="32"/>
        <v>8.1591719999999999</v>
      </c>
      <c r="BD117" s="211"/>
      <c r="BE117" s="384"/>
      <c r="BF117" s="211"/>
      <c r="BG117" s="392">
        <v>5439448</v>
      </c>
    </row>
    <row r="118" spans="1:59" ht="12.75">
      <c r="A118" s="428" t="s">
        <v>273</v>
      </c>
      <c r="B118" s="382"/>
      <c r="C118" s="383">
        <v>235.01</v>
      </c>
      <c r="D118" s="233"/>
      <c r="E118" s="233">
        <f t="shared" si="22"/>
        <v>472.45164846999995</v>
      </c>
      <c r="F118" s="211"/>
      <c r="G118" s="384"/>
      <c r="H118" s="429">
        <v>9.8699999999999992</v>
      </c>
      <c r="I118" s="233"/>
      <c r="J118" s="233">
        <f t="shared" si="23"/>
        <v>19.842124889999997</v>
      </c>
      <c r="K118" s="211"/>
      <c r="L118" s="384"/>
      <c r="M118" s="269">
        <v>45.5</v>
      </c>
      <c r="N118" s="233"/>
      <c r="O118" s="233">
        <f t="shared" si="24"/>
        <v>91.470788499999998</v>
      </c>
      <c r="P118" s="211"/>
      <c r="Q118" s="384"/>
      <c r="R118" s="269">
        <v>24.06</v>
      </c>
      <c r="S118" s="233"/>
      <c r="T118" s="233">
        <f t="shared" si="25"/>
        <v>48.36894882</v>
      </c>
      <c r="U118" s="211"/>
      <c r="V118" s="384"/>
      <c r="W118" s="269">
        <v>42.12</v>
      </c>
      <c r="X118" s="233"/>
      <c r="Y118" s="233">
        <f t="shared" si="26"/>
        <v>84.675815639999996</v>
      </c>
      <c r="Z118" s="211"/>
      <c r="AA118" s="384"/>
      <c r="AB118" s="387">
        <v>11.96</v>
      </c>
      <c r="AC118" s="233"/>
      <c r="AD118" s="233">
        <f t="shared" si="27"/>
        <v>24.043750120000002</v>
      </c>
      <c r="AE118" s="211"/>
      <c r="AF118" s="384"/>
      <c r="AG118" s="388">
        <v>91.83</v>
      </c>
      <c r="AH118" s="233"/>
      <c r="AI118" s="233">
        <f t="shared" si="28"/>
        <v>184.61016501</v>
      </c>
      <c r="AJ118" s="211"/>
      <c r="AK118" s="384"/>
      <c r="AL118" s="388">
        <v>117.35</v>
      </c>
      <c r="AM118" s="233"/>
      <c r="AN118" s="233">
        <f t="shared" si="29"/>
        <v>235.91422044999999</v>
      </c>
      <c r="AO118" s="211"/>
      <c r="AP118" s="390"/>
      <c r="AQ118" s="427">
        <v>3.31</v>
      </c>
      <c r="AR118" s="233"/>
      <c r="AS118" s="233">
        <f t="shared" si="30"/>
        <v>6.65424857</v>
      </c>
      <c r="AT118" s="211"/>
      <c r="AU118" s="384"/>
      <c r="AV118" s="269">
        <v>145.57</v>
      </c>
      <c r="AW118" s="233"/>
      <c r="AX118" s="233">
        <f t="shared" si="31"/>
        <v>292.64621278999994</v>
      </c>
      <c r="AY118" s="211"/>
      <c r="AZ118" s="384"/>
      <c r="BA118" s="269">
        <v>2.3199999999999998</v>
      </c>
      <c r="BB118" s="233"/>
      <c r="BC118" s="233">
        <f t="shared" si="32"/>
        <v>4.6640050400000002</v>
      </c>
      <c r="BD118" s="211"/>
      <c r="BE118" s="384"/>
      <c r="BF118" s="211"/>
      <c r="BG118" s="392">
        <v>2010347</v>
      </c>
    </row>
    <row r="119" spans="1:59" ht="12.75">
      <c r="A119" s="428" t="s">
        <v>274</v>
      </c>
      <c r="B119" s="382"/>
      <c r="C119" s="383">
        <v>164.29</v>
      </c>
      <c r="D119" s="233"/>
      <c r="E119" s="233">
        <f t="shared" si="22"/>
        <v>6636.9614621799992</v>
      </c>
      <c r="F119" s="211"/>
      <c r="G119" s="384"/>
      <c r="H119" s="429">
        <v>13.73</v>
      </c>
      <c r="I119" s="233"/>
      <c r="J119" s="233">
        <f t="shared" si="23"/>
        <v>554.66237065999997</v>
      </c>
      <c r="K119" s="211"/>
      <c r="L119" s="384"/>
      <c r="M119" s="269">
        <v>68.319999999999993</v>
      </c>
      <c r="N119" s="233"/>
      <c r="O119" s="233">
        <f t="shared" si="24"/>
        <v>2759.9805654399997</v>
      </c>
      <c r="P119" s="211"/>
      <c r="Q119" s="384"/>
      <c r="R119" s="269">
        <v>30.48</v>
      </c>
      <c r="S119" s="233"/>
      <c r="T119" s="233">
        <f t="shared" si="25"/>
        <v>1231.32622416</v>
      </c>
      <c r="U119" s="211"/>
      <c r="V119" s="384"/>
      <c r="W119" s="269">
        <v>56.13</v>
      </c>
      <c r="X119" s="233"/>
      <c r="Y119" s="233">
        <f t="shared" si="26"/>
        <v>2267.5308714600001</v>
      </c>
      <c r="Z119" s="211"/>
      <c r="AA119" s="384"/>
      <c r="AB119" s="387">
        <v>42.47</v>
      </c>
      <c r="AC119" s="233"/>
      <c r="AD119" s="233">
        <f t="shared" si="27"/>
        <v>1715.69634974</v>
      </c>
      <c r="AE119" s="211"/>
      <c r="AF119" s="384"/>
      <c r="AG119" s="388">
        <v>146.54</v>
      </c>
      <c r="AH119" s="233"/>
      <c r="AI119" s="233">
        <f t="shared" si="28"/>
        <v>5919.8997666799996</v>
      </c>
      <c r="AJ119" s="211"/>
      <c r="AK119" s="384"/>
      <c r="AL119" s="388">
        <v>72.23</v>
      </c>
      <c r="AM119" s="233"/>
      <c r="AN119" s="233">
        <f t="shared" si="29"/>
        <v>2917.9361276600002</v>
      </c>
      <c r="AO119" s="211"/>
      <c r="AP119" s="390"/>
      <c r="AQ119" s="427">
        <v>6.97</v>
      </c>
      <c r="AR119" s="233"/>
      <c r="AS119" s="233">
        <f t="shared" si="30"/>
        <v>281.57295873999999</v>
      </c>
      <c r="AT119" s="211"/>
      <c r="AU119" s="384"/>
      <c r="AV119" s="269">
        <v>115.99</v>
      </c>
      <c r="AW119" s="233"/>
      <c r="AX119" s="233">
        <f t="shared" si="31"/>
        <v>4685.7456935800001</v>
      </c>
      <c r="AY119" s="211"/>
      <c r="AZ119" s="384"/>
      <c r="BA119" s="269">
        <v>8.59</v>
      </c>
      <c r="BB119" s="233"/>
      <c r="BC119" s="233">
        <f t="shared" si="32"/>
        <v>347.01746277999996</v>
      </c>
      <c r="BD119" s="211"/>
      <c r="BE119" s="384"/>
      <c r="BF119" s="211"/>
      <c r="BG119" s="392">
        <v>40397842</v>
      </c>
    </row>
    <row r="120" spans="1:59" ht="12.75">
      <c r="A120" s="428" t="s">
        <v>275</v>
      </c>
      <c r="B120" s="382"/>
      <c r="C120" s="383">
        <v>341.23</v>
      </c>
      <c r="D120" s="233"/>
      <c r="E120" s="233">
        <f t="shared" si="22"/>
        <v>3076.7330530800004</v>
      </c>
      <c r="F120" s="211"/>
      <c r="G120" s="384"/>
      <c r="H120" s="383">
        <v>13.5</v>
      </c>
      <c r="I120" s="233"/>
      <c r="J120" s="233">
        <f t="shared" si="23"/>
        <v>121.724046</v>
      </c>
      <c r="K120" s="211"/>
      <c r="L120" s="384"/>
      <c r="M120" s="269">
        <v>56.28</v>
      </c>
      <c r="N120" s="233"/>
      <c r="O120" s="233">
        <f t="shared" si="24"/>
        <v>507.45402287999997</v>
      </c>
      <c r="P120" s="211"/>
      <c r="Q120" s="384"/>
      <c r="R120" s="269">
        <v>16.88</v>
      </c>
      <c r="S120" s="233"/>
      <c r="T120" s="233">
        <f t="shared" si="25"/>
        <v>152.20014047999999</v>
      </c>
      <c r="U120" s="211"/>
      <c r="V120" s="384"/>
      <c r="W120" s="269">
        <v>52.63</v>
      </c>
      <c r="X120" s="233"/>
      <c r="Y120" s="233">
        <f t="shared" si="26"/>
        <v>474.54344748</v>
      </c>
      <c r="Z120" s="211"/>
      <c r="AA120" s="384"/>
      <c r="AB120" s="387">
        <v>32.81</v>
      </c>
      <c r="AC120" s="233"/>
      <c r="AD120" s="233">
        <f t="shared" si="27"/>
        <v>295.83451476000005</v>
      </c>
      <c r="AE120" s="211"/>
      <c r="AF120" s="384"/>
      <c r="AG120" s="394">
        <v>85.67</v>
      </c>
      <c r="AH120" s="233"/>
      <c r="AI120" s="233">
        <f t="shared" si="28"/>
        <v>772.45177932000001</v>
      </c>
      <c r="AJ120" s="211"/>
      <c r="AK120" s="384"/>
      <c r="AL120" s="394">
        <v>125</v>
      </c>
      <c r="AM120" s="233"/>
      <c r="AN120" s="233">
        <f t="shared" si="29"/>
        <v>1127.0744999999999</v>
      </c>
      <c r="AO120" s="211"/>
      <c r="AP120" s="390"/>
      <c r="AQ120" s="427">
        <v>3.1</v>
      </c>
      <c r="AR120" s="233"/>
      <c r="AS120" s="233">
        <f t="shared" si="30"/>
        <v>27.951447600000002</v>
      </c>
      <c r="AT120" s="211"/>
      <c r="AU120" s="384"/>
      <c r="AV120" s="269">
        <v>109.44</v>
      </c>
      <c r="AW120" s="233"/>
      <c r="AX120" s="233">
        <f t="shared" si="31"/>
        <v>986.77626624000004</v>
      </c>
      <c r="AY120" s="211"/>
      <c r="AZ120" s="384"/>
      <c r="BA120" s="269">
        <v>2.0099999999999998</v>
      </c>
      <c r="BB120" s="233"/>
      <c r="BC120" s="233">
        <f t="shared" si="32"/>
        <v>18.123357959999996</v>
      </c>
      <c r="BD120" s="211"/>
      <c r="BE120" s="384"/>
      <c r="BF120" s="211"/>
      <c r="BG120" s="392">
        <v>9016596</v>
      </c>
    </row>
    <row r="121" spans="1:59" ht="12.75">
      <c r="A121" s="428" t="s">
        <v>276</v>
      </c>
      <c r="B121" s="382"/>
      <c r="C121" s="383">
        <v>318.69</v>
      </c>
      <c r="D121" s="233"/>
      <c r="E121" s="233">
        <f t="shared" si="22"/>
        <v>2397.8025264600001</v>
      </c>
      <c r="F121" s="211"/>
      <c r="G121" s="384"/>
      <c r="H121" s="429">
        <v>10</v>
      </c>
      <c r="I121" s="233"/>
      <c r="J121" s="233">
        <f t="shared" si="23"/>
        <v>75.239339999999999</v>
      </c>
      <c r="K121" s="211"/>
      <c r="L121" s="384"/>
      <c r="M121" s="269">
        <v>49.58</v>
      </c>
      <c r="N121" s="233"/>
      <c r="O121" s="233">
        <f t="shared" si="24"/>
        <v>373.03664771999996</v>
      </c>
      <c r="P121" s="211"/>
      <c r="Q121" s="384"/>
      <c r="R121" s="269">
        <v>15.47</v>
      </c>
      <c r="S121" s="233"/>
      <c r="T121" s="233">
        <f t="shared" si="25"/>
        <v>116.39525898000001</v>
      </c>
      <c r="U121" s="211"/>
      <c r="V121" s="384"/>
      <c r="W121" s="269">
        <v>39.25</v>
      </c>
      <c r="X121" s="233"/>
      <c r="Y121" s="233">
        <f t="shared" si="26"/>
        <v>295.31440950000001</v>
      </c>
      <c r="Z121" s="211"/>
      <c r="AA121" s="384"/>
      <c r="AB121" s="387">
        <v>16.940000000000001</v>
      </c>
      <c r="AC121" s="233"/>
      <c r="AD121" s="233">
        <f t="shared" si="27"/>
        <v>127.45544196</v>
      </c>
      <c r="AE121" s="211"/>
      <c r="AF121" s="384"/>
      <c r="AG121" s="388">
        <v>92.01</v>
      </c>
      <c r="AH121" s="233"/>
      <c r="AI121" s="233">
        <f t="shared" si="28"/>
        <v>692.27716734000001</v>
      </c>
      <c r="AJ121" s="211"/>
      <c r="AK121" s="384"/>
      <c r="AL121" s="388">
        <v>103.61</v>
      </c>
      <c r="AM121" s="233"/>
      <c r="AN121" s="233">
        <f t="shared" si="29"/>
        <v>779.55480174000002</v>
      </c>
      <c r="AO121" s="211"/>
      <c r="AP121" s="390"/>
      <c r="AQ121" s="427">
        <v>2.4</v>
      </c>
      <c r="AR121" s="233"/>
      <c r="AS121" s="233">
        <f t="shared" si="30"/>
        <v>18.057441599999997</v>
      </c>
      <c r="AT121" s="211"/>
      <c r="AU121" s="384"/>
      <c r="AV121" s="269">
        <v>104.33</v>
      </c>
      <c r="AW121" s="233"/>
      <c r="AX121" s="233">
        <f t="shared" si="31"/>
        <v>784.97203422000007</v>
      </c>
      <c r="AY121" s="211"/>
      <c r="AZ121" s="384"/>
      <c r="BA121" s="269">
        <v>4.5</v>
      </c>
      <c r="BB121" s="233"/>
      <c r="BC121" s="233">
        <f t="shared" si="32"/>
        <v>33.857703000000001</v>
      </c>
      <c r="BD121" s="211"/>
      <c r="BE121" s="384"/>
      <c r="BF121" s="211"/>
      <c r="BG121" s="392">
        <v>7523934</v>
      </c>
    </row>
    <row r="122" spans="1:59" ht="12.75">
      <c r="A122" s="428" t="s">
        <v>277</v>
      </c>
      <c r="B122" s="382"/>
      <c r="C122" s="383">
        <v>145.03</v>
      </c>
      <c r="D122" s="233"/>
      <c r="E122" s="233">
        <f t="shared" si="22"/>
        <v>6774.4696444800002</v>
      </c>
      <c r="F122" s="211"/>
      <c r="G122" s="384"/>
      <c r="H122" s="383">
        <v>14.43</v>
      </c>
      <c r="I122" s="233"/>
      <c r="J122" s="233">
        <f t="shared" si="23"/>
        <v>674.03707487999998</v>
      </c>
      <c r="K122" s="211"/>
      <c r="L122" s="384"/>
      <c r="M122" s="269">
        <v>24.76</v>
      </c>
      <c r="N122" s="233"/>
      <c r="O122" s="233">
        <f t="shared" si="24"/>
        <v>1156.5598041600001</v>
      </c>
      <c r="P122" s="211"/>
      <c r="Q122" s="384"/>
      <c r="R122" s="269">
        <v>24.56</v>
      </c>
      <c r="S122" s="233"/>
      <c r="T122" s="233">
        <f t="shared" si="25"/>
        <v>1147.2176409599999</v>
      </c>
      <c r="U122" s="211"/>
      <c r="V122" s="384"/>
      <c r="W122" s="269">
        <v>138.86000000000001</v>
      </c>
      <c r="X122" s="233"/>
      <c r="Y122" s="233">
        <f t="shared" si="26"/>
        <v>6486.2639097600004</v>
      </c>
      <c r="Z122" s="211"/>
      <c r="AA122" s="384"/>
      <c r="AB122" s="387">
        <v>11.67</v>
      </c>
      <c r="AC122" s="233"/>
      <c r="AD122" s="233">
        <f t="shared" si="27"/>
        <v>545.11522272000002</v>
      </c>
      <c r="AE122" s="211"/>
      <c r="AF122" s="384"/>
      <c r="AG122" s="387">
        <v>161.44</v>
      </c>
      <c r="AH122" s="233"/>
      <c r="AI122" s="233">
        <f t="shared" si="28"/>
        <v>7540.9941350400004</v>
      </c>
      <c r="AJ122" s="211"/>
      <c r="AK122" s="384"/>
      <c r="AL122" s="394">
        <v>61.51</v>
      </c>
      <c r="AM122" s="233"/>
      <c r="AN122" s="233">
        <f t="shared" si="29"/>
        <v>2873.1822921599996</v>
      </c>
      <c r="AO122" s="211"/>
      <c r="AP122" s="390"/>
      <c r="AQ122" s="427">
        <v>2.33</v>
      </c>
      <c r="AR122" s="233"/>
      <c r="AS122" s="233">
        <f t="shared" si="30"/>
        <v>108.83620128</v>
      </c>
      <c r="AT122" s="211"/>
      <c r="AU122" s="384"/>
      <c r="AV122" s="269">
        <v>154.27000000000001</v>
      </c>
      <c r="AW122" s="233"/>
      <c r="AX122" s="233">
        <f t="shared" si="31"/>
        <v>7206.0775843200008</v>
      </c>
      <c r="AY122" s="211"/>
      <c r="AZ122" s="384"/>
      <c r="BA122" s="269">
        <v>1.69</v>
      </c>
      <c r="BB122" s="233"/>
      <c r="BC122" s="233">
        <f t="shared" si="32"/>
        <v>78.941279039999998</v>
      </c>
      <c r="BD122" s="211"/>
      <c r="BE122" s="384"/>
      <c r="BF122" s="211"/>
      <c r="BG122" s="392">
        <v>46710816</v>
      </c>
    </row>
    <row r="123" spans="1:59" ht="12.75">
      <c r="A123" s="428" t="s">
        <v>278</v>
      </c>
      <c r="B123" s="382"/>
      <c r="C123" s="383">
        <v>232.2</v>
      </c>
      <c r="D123" s="233"/>
      <c r="E123" s="233">
        <f t="shared" si="22"/>
        <v>14073.445326599998</v>
      </c>
      <c r="F123" s="211"/>
      <c r="G123" s="384"/>
      <c r="H123" s="383">
        <v>11.23</v>
      </c>
      <c r="I123" s="233"/>
      <c r="J123" s="233">
        <f t="shared" si="23"/>
        <v>680.64078819000008</v>
      </c>
      <c r="K123" s="211"/>
      <c r="L123" s="384"/>
      <c r="M123" s="269">
        <v>47.04</v>
      </c>
      <c r="N123" s="233"/>
      <c r="O123" s="233">
        <f t="shared" si="24"/>
        <v>2851.05455712</v>
      </c>
      <c r="P123" s="211"/>
      <c r="Q123" s="384"/>
      <c r="R123" s="269">
        <v>30.21</v>
      </c>
      <c r="S123" s="233"/>
      <c r="T123" s="233">
        <f t="shared" si="25"/>
        <v>1831.00251213</v>
      </c>
      <c r="U123" s="211"/>
      <c r="V123" s="384"/>
      <c r="W123" s="269">
        <v>76.849999999999994</v>
      </c>
      <c r="X123" s="233"/>
      <c r="Y123" s="233">
        <f t="shared" si="26"/>
        <v>4657.8134080499995</v>
      </c>
      <c r="Z123" s="211"/>
      <c r="AA123" s="384"/>
      <c r="AB123" s="387">
        <v>19.73</v>
      </c>
      <c r="AC123" s="233"/>
      <c r="AD123" s="233">
        <f t="shared" si="27"/>
        <v>1195.8185886900001</v>
      </c>
      <c r="AE123" s="211"/>
      <c r="AF123" s="384"/>
      <c r="AG123" s="387">
        <v>82.91</v>
      </c>
      <c r="AH123" s="233"/>
      <c r="AI123" s="233">
        <f t="shared" si="28"/>
        <v>5025.1048752299994</v>
      </c>
      <c r="AJ123" s="211"/>
      <c r="AK123" s="384"/>
      <c r="AL123" s="394">
        <v>127.41</v>
      </c>
      <c r="AM123" s="233"/>
      <c r="AN123" s="233">
        <f t="shared" si="29"/>
        <v>7722.2121837299992</v>
      </c>
      <c r="AO123" s="211"/>
      <c r="AP123" s="390"/>
      <c r="AQ123" s="427">
        <v>5.68</v>
      </c>
      <c r="AR123" s="233"/>
      <c r="AS123" s="233">
        <f t="shared" si="30"/>
        <v>344.25998903999994</v>
      </c>
      <c r="AT123" s="211"/>
      <c r="AU123" s="384"/>
      <c r="AV123" s="269">
        <v>126.77</v>
      </c>
      <c r="AW123" s="233"/>
      <c r="AX123" s="233">
        <f t="shared" si="31"/>
        <v>7683.4223258099992</v>
      </c>
      <c r="AY123" s="211"/>
      <c r="AZ123" s="384"/>
      <c r="BA123" s="269">
        <v>1.35</v>
      </c>
      <c r="BB123" s="233"/>
      <c r="BC123" s="233">
        <f t="shared" si="32"/>
        <v>81.822356550000009</v>
      </c>
      <c r="BD123" s="211"/>
      <c r="BE123" s="384"/>
      <c r="BF123" s="211"/>
      <c r="BG123" s="392">
        <v>60609153</v>
      </c>
    </row>
    <row r="124" spans="1:59" ht="12.75">
      <c r="A124" s="216"/>
      <c r="B124" s="423"/>
      <c r="C124" s="424"/>
      <c r="D124" s="233"/>
      <c r="E124" s="233">
        <f t="shared" si="22"/>
        <v>0</v>
      </c>
      <c r="F124" s="211"/>
      <c r="G124" s="384"/>
      <c r="H124" s="216"/>
      <c r="I124" s="233"/>
      <c r="J124" s="233">
        <f t="shared" si="23"/>
        <v>0</v>
      </c>
      <c r="K124" s="211"/>
      <c r="L124" s="384"/>
      <c r="M124" s="400"/>
      <c r="N124" s="233"/>
      <c r="O124" s="233">
        <f t="shared" si="24"/>
        <v>0</v>
      </c>
      <c r="P124" s="211"/>
      <c r="Q124" s="384"/>
      <c r="R124" s="211"/>
      <c r="S124" s="233"/>
      <c r="T124" s="233">
        <f t="shared" si="25"/>
        <v>0</v>
      </c>
      <c r="U124" s="211"/>
      <c r="V124" s="384"/>
      <c r="W124" s="211"/>
      <c r="X124" s="233"/>
      <c r="Y124" s="233">
        <f t="shared" si="26"/>
        <v>0</v>
      </c>
      <c r="Z124" s="211"/>
      <c r="AA124" s="384"/>
      <c r="AB124" s="391"/>
      <c r="AC124" s="233"/>
      <c r="AD124" s="233">
        <f t="shared" si="27"/>
        <v>0</v>
      </c>
      <c r="AE124" s="211"/>
      <c r="AF124" s="384"/>
      <c r="AG124" s="391"/>
      <c r="AH124" s="233"/>
      <c r="AI124" s="233">
        <f t="shared" si="28"/>
        <v>0</v>
      </c>
      <c r="AJ124" s="211"/>
      <c r="AK124" s="384"/>
      <c r="AL124" s="391"/>
      <c r="AM124" s="233"/>
      <c r="AN124" s="233">
        <f t="shared" si="29"/>
        <v>0</v>
      </c>
      <c r="AO124" s="211"/>
      <c r="AP124" s="390"/>
      <c r="AQ124" s="391"/>
      <c r="AR124" s="233"/>
      <c r="AS124" s="233">
        <f t="shared" si="30"/>
        <v>0</v>
      </c>
      <c r="AT124" s="211"/>
      <c r="AU124" s="384"/>
      <c r="AV124" s="211"/>
      <c r="AW124" s="233"/>
      <c r="AX124" s="233">
        <f t="shared" si="31"/>
        <v>0</v>
      </c>
      <c r="AY124" s="211"/>
      <c r="AZ124" s="384"/>
      <c r="BA124" s="211"/>
      <c r="BB124" s="233"/>
      <c r="BC124" s="233">
        <f t="shared" si="32"/>
        <v>0</v>
      </c>
      <c r="BD124" s="211"/>
      <c r="BE124" s="384"/>
      <c r="BF124" s="211"/>
      <c r="BG124" s="433"/>
    </row>
    <row r="125" spans="1:59" ht="12.75">
      <c r="A125" s="216" t="s">
        <v>279</v>
      </c>
      <c r="B125" s="423"/>
      <c r="C125" s="424">
        <v>59.3</v>
      </c>
      <c r="D125" s="233"/>
      <c r="E125" s="233">
        <f t="shared" si="22"/>
        <v>1841.6799220999999</v>
      </c>
      <c r="F125" s="211"/>
      <c r="G125" s="384"/>
      <c r="H125" s="216">
        <v>1.5</v>
      </c>
      <c r="I125" s="233"/>
      <c r="J125" s="233">
        <f t="shared" si="23"/>
        <v>46.5854955</v>
      </c>
      <c r="K125" s="211"/>
      <c r="L125" s="384"/>
      <c r="M125" s="269">
        <v>8.26</v>
      </c>
      <c r="N125" s="233"/>
      <c r="O125" s="233">
        <f t="shared" si="24"/>
        <v>256.53079522000002</v>
      </c>
      <c r="P125" s="211"/>
      <c r="Q125" s="384"/>
      <c r="R125" s="386">
        <v>1.43</v>
      </c>
      <c r="S125" s="233"/>
      <c r="T125" s="233">
        <f t="shared" si="25"/>
        <v>44.41150571</v>
      </c>
      <c r="U125" s="211"/>
      <c r="V125" s="384"/>
      <c r="W125" s="269">
        <v>7.46</v>
      </c>
      <c r="X125" s="233"/>
      <c r="Y125" s="233">
        <f t="shared" si="26"/>
        <v>231.68519762</v>
      </c>
      <c r="Z125" s="211"/>
      <c r="AA125" s="384"/>
      <c r="AB125" s="391">
        <v>0.25</v>
      </c>
      <c r="AC125" s="233"/>
      <c r="AD125" s="233">
        <f t="shared" si="27"/>
        <v>7.7642492499999998</v>
      </c>
      <c r="AE125" s="211"/>
      <c r="AF125" s="384"/>
      <c r="AG125" s="391">
        <v>48.34</v>
      </c>
      <c r="AH125" s="233"/>
      <c r="AI125" s="233">
        <f t="shared" si="28"/>
        <v>1501.29523498</v>
      </c>
      <c r="AJ125" s="211"/>
      <c r="AK125" s="384"/>
      <c r="AL125" s="391">
        <v>34.049999999999997</v>
      </c>
      <c r="AM125" s="233"/>
      <c r="AN125" s="233">
        <f t="shared" si="29"/>
        <v>1057.4907478499999</v>
      </c>
      <c r="AO125" s="211"/>
      <c r="AP125" s="390"/>
      <c r="AQ125" s="427">
        <v>3.9</v>
      </c>
      <c r="AR125" s="233"/>
      <c r="AS125" s="233">
        <f t="shared" si="30"/>
        <v>121.12228829999999</v>
      </c>
      <c r="AT125" s="211"/>
      <c r="AU125" s="384"/>
      <c r="AV125" s="269">
        <v>177.59</v>
      </c>
      <c r="AW125" s="233"/>
      <c r="AX125" s="233">
        <f t="shared" si="31"/>
        <v>5515.4120972300007</v>
      </c>
      <c r="AY125" s="211"/>
      <c r="AZ125" s="384"/>
      <c r="BA125" s="269">
        <v>1.18</v>
      </c>
      <c r="BB125" s="233"/>
      <c r="BC125" s="233">
        <f t="shared" si="32"/>
        <v>36.647256460000001</v>
      </c>
      <c r="BD125" s="211"/>
      <c r="BE125" s="384"/>
      <c r="BF125" s="211"/>
      <c r="BG125" s="392">
        <v>31056997</v>
      </c>
    </row>
    <row r="126" spans="1:59" ht="12.75">
      <c r="A126" s="216" t="s">
        <v>280</v>
      </c>
      <c r="B126" s="423"/>
      <c r="C126" s="424">
        <v>209</v>
      </c>
      <c r="D126" s="233"/>
      <c r="E126" s="233">
        <f t="shared" si="22"/>
        <v>622.06174799999997</v>
      </c>
      <c r="F126" s="211"/>
      <c r="G126" s="384"/>
      <c r="H126" s="216">
        <v>11.64</v>
      </c>
      <c r="I126" s="233"/>
      <c r="J126" s="233">
        <f t="shared" si="23"/>
        <v>34.64497008</v>
      </c>
      <c r="K126" s="211"/>
      <c r="L126" s="384"/>
      <c r="M126" s="269">
        <v>27.53</v>
      </c>
      <c r="N126" s="233"/>
      <c r="O126" s="233">
        <f t="shared" si="24"/>
        <v>81.939521159999998</v>
      </c>
      <c r="P126" s="211"/>
      <c r="Q126" s="384"/>
      <c r="R126" s="386">
        <v>15.17</v>
      </c>
      <c r="S126" s="233"/>
      <c r="T126" s="233">
        <f t="shared" si="25"/>
        <v>45.151563240000002</v>
      </c>
      <c r="U126" s="211"/>
      <c r="V126" s="384"/>
      <c r="W126" s="269">
        <v>47.37</v>
      </c>
      <c r="X126" s="233"/>
      <c r="Y126" s="233">
        <f t="shared" si="26"/>
        <v>140.99074163999998</v>
      </c>
      <c r="Z126" s="211"/>
      <c r="AA126" s="384"/>
      <c r="AB126" s="391">
        <v>5.83</v>
      </c>
      <c r="AC126" s="233"/>
      <c r="AD126" s="233">
        <f t="shared" si="27"/>
        <v>17.352248760000002</v>
      </c>
      <c r="AE126" s="211"/>
      <c r="AF126" s="384"/>
      <c r="AG126" s="391">
        <v>336.18</v>
      </c>
      <c r="AH126" s="233"/>
      <c r="AI126" s="233">
        <f t="shared" si="28"/>
        <v>1000.59673896</v>
      </c>
      <c r="AJ126" s="211"/>
      <c r="AK126" s="384"/>
      <c r="AL126" s="391">
        <v>110.87</v>
      </c>
      <c r="AM126" s="233"/>
      <c r="AN126" s="233">
        <f t="shared" si="29"/>
        <v>329.99036364</v>
      </c>
      <c r="AO126" s="211"/>
      <c r="AP126" s="390"/>
      <c r="AQ126" s="427">
        <v>2.65</v>
      </c>
      <c r="AR126" s="233"/>
      <c r="AS126" s="233">
        <f t="shared" si="30"/>
        <v>7.8873857999999997</v>
      </c>
      <c r="AT126" s="211"/>
      <c r="AU126" s="384"/>
      <c r="AV126" s="269">
        <v>152.31</v>
      </c>
      <c r="AW126" s="233"/>
      <c r="AX126" s="233">
        <f t="shared" si="31"/>
        <v>453.33121932</v>
      </c>
      <c r="AY126" s="211"/>
      <c r="AZ126" s="384"/>
      <c r="BA126" s="269">
        <v>1.69</v>
      </c>
      <c r="BB126" s="233"/>
      <c r="BC126" s="233">
        <f t="shared" si="32"/>
        <v>5.0300686799999994</v>
      </c>
      <c r="BD126" s="211"/>
      <c r="BE126" s="384"/>
      <c r="BF126" s="211"/>
      <c r="BG126" s="392">
        <v>2976372</v>
      </c>
    </row>
    <row r="127" spans="1:59" ht="12.75">
      <c r="A127" s="216" t="s">
        <v>281</v>
      </c>
      <c r="B127" s="423"/>
      <c r="C127" s="424">
        <v>152</v>
      </c>
      <c r="D127" s="233"/>
      <c r="E127" s="233">
        <f t="shared" si="22"/>
        <v>1210.1660879999999</v>
      </c>
      <c r="F127" s="211"/>
      <c r="G127" s="384"/>
      <c r="H127" s="216">
        <v>8.86</v>
      </c>
      <c r="I127" s="233"/>
      <c r="J127" s="233">
        <f t="shared" si="23"/>
        <v>70.539944339999991</v>
      </c>
      <c r="K127" s="211"/>
      <c r="L127" s="384"/>
      <c r="M127" s="269">
        <v>20.91</v>
      </c>
      <c r="N127" s="233"/>
      <c r="O127" s="233">
        <f t="shared" si="24"/>
        <v>166.47745329</v>
      </c>
      <c r="P127" s="211"/>
      <c r="Q127" s="384"/>
      <c r="R127" s="269">
        <v>13.87</v>
      </c>
      <c r="S127" s="233"/>
      <c r="T127" s="233">
        <f t="shared" si="25"/>
        <v>110.42765553</v>
      </c>
      <c r="U127" s="211"/>
      <c r="V127" s="384"/>
      <c r="W127" s="269">
        <v>72.67</v>
      </c>
      <c r="X127" s="233"/>
      <c r="Y127" s="233">
        <f t="shared" si="26"/>
        <v>578.57085273000007</v>
      </c>
      <c r="Z127" s="211"/>
      <c r="AA127" s="384"/>
      <c r="AB127" s="391">
        <v>3.2</v>
      </c>
      <c r="AC127" s="233"/>
      <c r="AD127" s="233">
        <f t="shared" si="27"/>
        <v>25.477180799999999</v>
      </c>
      <c r="AE127" s="211"/>
      <c r="AF127" s="384"/>
      <c r="AG127" s="391">
        <v>159.61000000000001</v>
      </c>
      <c r="AH127" s="233"/>
      <c r="AI127" s="233">
        <f t="shared" si="28"/>
        <v>1270.7540085900002</v>
      </c>
      <c r="AJ127" s="211"/>
      <c r="AK127" s="384"/>
      <c r="AL127" s="391">
        <v>74.930000000000007</v>
      </c>
      <c r="AM127" s="233"/>
      <c r="AN127" s="233">
        <f t="shared" si="29"/>
        <v>596.5641116700001</v>
      </c>
      <c r="AO127" s="211"/>
      <c r="AP127" s="390"/>
      <c r="AQ127" s="427">
        <v>0.83</v>
      </c>
      <c r="AR127" s="233"/>
      <c r="AS127" s="233">
        <f t="shared" si="30"/>
        <v>6.6081437699999999</v>
      </c>
      <c r="AT127" s="211"/>
      <c r="AU127" s="384"/>
      <c r="AV127" s="269">
        <v>200.63</v>
      </c>
      <c r="AW127" s="233"/>
      <c r="AX127" s="233">
        <f t="shared" si="31"/>
        <v>1597.3396199700001</v>
      </c>
      <c r="AY127" s="211"/>
      <c r="AZ127" s="384"/>
      <c r="BA127" s="269">
        <v>3.76</v>
      </c>
      <c r="BB127" s="233"/>
      <c r="BC127" s="233">
        <f t="shared" si="32"/>
        <v>29.935687439999999</v>
      </c>
      <c r="BD127" s="211"/>
      <c r="BE127" s="384"/>
      <c r="BF127" s="211"/>
      <c r="BG127" s="392">
        <v>7961619</v>
      </c>
    </row>
    <row r="128" spans="1:59" ht="12.75">
      <c r="A128" s="216" t="s">
        <v>282</v>
      </c>
      <c r="B128" s="423"/>
      <c r="C128" s="424">
        <v>149.26</v>
      </c>
      <c r="D128" s="233"/>
      <c r="E128" s="233">
        <f t="shared" si="22"/>
        <v>695.77145997999992</v>
      </c>
      <c r="F128" s="211"/>
      <c r="G128" s="384"/>
      <c r="H128" s="216">
        <v>6.11</v>
      </c>
      <c r="I128" s="233"/>
      <c r="J128" s="233">
        <f t="shared" si="23"/>
        <v>28.481600030000003</v>
      </c>
      <c r="K128" s="211"/>
      <c r="L128" s="384"/>
      <c r="M128" s="269">
        <v>17.48</v>
      </c>
      <c r="N128" s="233"/>
      <c r="O128" s="233">
        <f t="shared" si="24"/>
        <v>81.482548040000012</v>
      </c>
      <c r="P128" s="211"/>
      <c r="Q128" s="384"/>
      <c r="R128" s="269">
        <v>16.52</v>
      </c>
      <c r="S128" s="233"/>
      <c r="T128" s="233">
        <f t="shared" si="25"/>
        <v>77.007533959999989</v>
      </c>
      <c r="U128" s="211"/>
      <c r="V128" s="384"/>
      <c r="W128" s="269">
        <v>47.12</v>
      </c>
      <c r="X128" s="233"/>
      <c r="Y128" s="233">
        <f t="shared" si="26"/>
        <v>219.64860776</v>
      </c>
      <c r="Z128" s="211"/>
      <c r="AA128" s="384"/>
      <c r="AB128" s="391">
        <v>8.0399999999999991</v>
      </c>
      <c r="AC128" s="233"/>
      <c r="AD128" s="233">
        <f t="shared" si="27"/>
        <v>37.478242919999992</v>
      </c>
      <c r="AE128" s="211"/>
      <c r="AF128" s="384"/>
      <c r="AG128" s="391">
        <v>49.77</v>
      </c>
      <c r="AH128" s="233"/>
      <c r="AI128" s="233">
        <f t="shared" si="28"/>
        <v>232.00151121000002</v>
      </c>
      <c r="AJ128" s="211"/>
      <c r="AK128" s="384"/>
      <c r="AL128" s="391">
        <v>49.93</v>
      </c>
      <c r="AM128" s="233"/>
      <c r="AN128" s="233">
        <f t="shared" si="29"/>
        <v>232.74734688999999</v>
      </c>
      <c r="AO128" s="211"/>
      <c r="AP128" s="390"/>
      <c r="AQ128" s="427">
        <v>1.1499999999999999</v>
      </c>
      <c r="AR128" s="233"/>
      <c r="AS128" s="233">
        <f t="shared" si="30"/>
        <v>5.360693949999999</v>
      </c>
      <c r="AT128" s="211"/>
      <c r="AU128" s="384"/>
      <c r="AV128" s="269">
        <v>176.54</v>
      </c>
      <c r="AW128" s="233"/>
      <c r="AX128" s="233">
        <f t="shared" si="31"/>
        <v>822.93644341999993</v>
      </c>
      <c r="AY128" s="211"/>
      <c r="AZ128" s="384"/>
      <c r="BA128" s="269">
        <v>2.38</v>
      </c>
      <c r="BB128" s="233"/>
      <c r="BC128" s="233">
        <f t="shared" si="32"/>
        <v>11.094305739999999</v>
      </c>
      <c r="BD128" s="211"/>
      <c r="BE128" s="384"/>
      <c r="BF128" s="211"/>
      <c r="BG128" s="392">
        <v>4661473</v>
      </c>
    </row>
    <row r="129" spans="1:59" ht="12.75">
      <c r="A129" s="216" t="s">
        <v>283</v>
      </c>
      <c r="B129" s="423"/>
      <c r="C129" s="424">
        <v>288</v>
      </c>
      <c r="D129" s="233"/>
      <c r="E129" s="233">
        <f t="shared" si="22"/>
        <v>4387.1742720000002</v>
      </c>
      <c r="F129" s="211"/>
      <c r="G129" s="384"/>
      <c r="H129" s="216">
        <v>8.6199999999999992</v>
      </c>
      <c r="I129" s="233"/>
      <c r="J129" s="233">
        <f t="shared" si="23"/>
        <v>131.31056328</v>
      </c>
      <c r="K129" s="211"/>
      <c r="L129" s="384"/>
      <c r="M129" s="269">
        <v>46.59</v>
      </c>
      <c r="N129" s="233"/>
      <c r="O129" s="233">
        <f t="shared" si="24"/>
        <v>709.71683796000002</v>
      </c>
      <c r="P129" s="211"/>
      <c r="Q129" s="384"/>
      <c r="R129" s="269">
        <v>18.62</v>
      </c>
      <c r="S129" s="233"/>
      <c r="T129" s="233">
        <f t="shared" si="25"/>
        <v>283.64300328000002</v>
      </c>
      <c r="U129" s="211"/>
      <c r="V129" s="384"/>
      <c r="W129" s="269">
        <v>109.02</v>
      </c>
      <c r="X129" s="233"/>
      <c r="Y129" s="233">
        <f t="shared" si="26"/>
        <v>1660.7282608799999</v>
      </c>
      <c r="Z129" s="211"/>
      <c r="AA129" s="384"/>
      <c r="AB129" s="391">
        <v>4.5</v>
      </c>
      <c r="AC129" s="233"/>
      <c r="AD129" s="233">
        <f t="shared" si="27"/>
        <v>68.549598000000003</v>
      </c>
      <c r="AE129" s="211"/>
      <c r="AF129" s="384"/>
      <c r="AG129" s="391">
        <v>191.92</v>
      </c>
      <c r="AH129" s="233"/>
      <c r="AI129" s="233">
        <f t="shared" si="28"/>
        <v>2923.5641884800002</v>
      </c>
      <c r="AJ129" s="211"/>
      <c r="AK129" s="384"/>
      <c r="AL129" s="391">
        <v>90.68</v>
      </c>
      <c r="AM129" s="233"/>
      <c r="AN129" s="233">
        <f t="shared" si="29"/>
        <v>1381.35056592</v>
      </c>
      <c r="AO129" s="211"/>
      <c r="AP129" s="390"/>
      <c r="AQ129" s="427">
        <v>1.46</v>
      </c>
      <c r="AR129" s="233"/>
      <c r="AS129" s="233">
        <f t="shared" si="30"/>
        <v>22.240536239999997</v>
      </c>
      <c r="AT129" s="211"/>
      <c r="AU129" s="384"/>
      <c r="AV129" s="269">
        <v>105.98</v>
      </c>
      <c r="AW129" s="233"/>
      <c r="AX129" s="233">
        <f t="shared" si="31"/>
        <v>1614.41919912</v>
      </c>
      <c r="AY129" s="211"/>
      <c r="AZ129" s="384"/>
      <c r="BA129" s="269">
        <v>1.68</v>
      </c>
      <c r="BB129" s="233"/>
      <c r="BC129" s="233">
        <f t="shared" si="32"/>
        <v>25.591849919999998</v>
      </c>
      <c r="BD129" s="211"/>
      <c r="BE129" s="384"/>
      <c r="BF129" s="211"/>
      <c r="BG129" s="392">
        <v>15233244</v>
      </c>
    </row>
    <row r="130" spans="1:59" ht="12.75">
      <c r="A130" s="216" t="s">
        <v>284</v>
      </c>
      <c r="B130" s="423"/>
      <c r="C130" s="424">
        <v>210.92</v>
      </c>
      <c r="D130" s="233"/>
      <c r="E130" s="233">
        <f t="shared" si="22"/>
        <v>1099.7153661599998</v>
      </c>
      <c r="F130" s="211"/>
      <c r="G130" s="384"/>
      <c r="H130" s="216">
        <v>4.32</v>
      </c>
      <c r="I130" s="233"/>
      <c r="J130" s="233">
        <f t="shared" si="23"/>
        <v>22.524039360000003</v>
      </c>
      <c r="K130" s="211"/>
      <c r="L130" s="384"/>
      <c r="M130" s="269">
        <v>26.93</v>
      </c>
      <c r="N130" s="233"/>
      <c r="O130" s="233">
        <f t="shared" si="24"/>
        <v>140.41027313999999</v>
      </c>
      <c r="P130" s="211"/>
      <c r="Q130" s="384"/>
      <c r="R130" s="269">
        <v>3.39</v>
      </c>
      <c r="S130" s="233"/>
      <c r="T130" s="233">
        <f t="shared" si="25"/>
        <v>17.675114219999998</v>
      </c>
      <c r="U130" s="211"/>
      <c r="V130" s="384"/>
      <c r="W130" s="269">
        <v>94.23</v>
      </c>
      <c r="X130" s="233"/>
      <c r="Y130" s="233">
        <f t="shared" si="26"/>
        <v>491.30560854000004</v>
      </c>
      <c r="Z130" s="211"/>
      <c r="AA130" s="384"/>
      <c r="AB130" s="391">
        <v>1.1399999999999999</v>
      </c>
      <c r="AC130" s="233"/>
      <c r="AD130" s="233">
        <f t="shared" si="27"/>
        <v>5.9438437199999994</v>
      </c>
      <c r="AE130" s="211"/>
      <c r="AF130" s="384"/>
      <c r="AG130" s="391">
        <v>184.35</v>
      </c>
      <c r="AH130" s="233"/>
      <c r="AI130" s="233">
        <f t="shared" si="28"/>
        <v>961.1820962999999</v>
      </c>
      <c r="AJ130" s="211"/>
      <c r="AK130" s="384"/>
      <c r="AL130" s="391">
        <v>29.11</v>
      </c>
      <c r="AM130" s="233"/>
      <c r="AN130" s="233">
        <f t="shared" si="29"/>
        <v>151.77657078000001</v>
      </c>
      <c r="AO130" s="211"/>
      <c r="AP130" s="390"/>
      <c r="AQ130" s="427">
        <v>3.65</v>
      </c>
      <c r="AR130" s="233"/>
      <c r="AS130" s="233">
        <f t="shared" si="30"/>
        <v>19.0307277</v>
      </c>
      <c r="AT130" s="211"/>
      <c r="AU130" s="384"/>
      <c r="AV130" s="269">
        <v>165.83</v>
      </c>
      <c r="AW130" s="233"/>
      <c r="AX130" s="233">
        <f t="shared" si="31"/>
        <v>864.62070534000009</v>
      </c>
      <c r="AY130" s="211"/>
      <c r="AZ130" s="384"/>
      <c r="BA130" s="269">
        <v>4.0999999999999996</v>
      </c>
      <c r="BB130" s="233"/>
      <c r="BC130" s="233">
        <f t="shared" si="32"/>
        <v>21.376981799999996</v>
      </c>
      <c r="BD130" s="211"/>
      <c r="BE130" s="384"/>
      <c r="BF130" s="211"/>
      <c r="BG130" s="392">
        <v>5213898</v>
      </c>
    </row>
    <row r="131" spans="1:59" ht="12.75">
      <c r="A131" s="216" t="s">
        <v>285</v>
      </c>
      <c r="B131" s="423"/>
      <c r="C131" s="424">
        <v>173.1</v>
      </c>
      <c r="D131" s="233"/>
      <c r="E131" s="233">
        <f t="shared" si="22"/>
        <v>490.25797439999997</v>
      </c>
      <c r="F131" s="211"/>
      <c r="G131" s="384"/>
      <c r="H131" s="216">
        <v>4.07</v>
      </c>
      <c r="I131" s="233"/>
      <c r="J131" s="233">
        <f t="shared" si="23"/>
        <v>11.527151680000001</v>
      </c>
      <c r="K131" s="211"/>
      <c r="L131" s="384"/>
      <c r="M131" s="269">
        <v>82.04</v>
      </c>
      <c r="N131" s="233"/>
      <c r="O131" s="233">
        <f t="shared" si="24"/>
        <v>232.35565696</v>
      </c>
      <c r="P131" s="211"/>
      <c r="Q131" s="384"/>
      <c r="R131" s="269">
        <v>2.95</v>
      </c>
      <c r="S131" s="233"/>
      <c r="T131" s="233">
        <f t="shared" si="25"/>
        <v>8.3550608000000004</v>
      </c>
      <c r="U131" s="211"/>
      <c r="V131" s="384"/>
      <c r="W131" s="269">
        <v>44.55</v>
      </c>
      <c r="X131" s="233"/>
      <c r="Y131" s="233">
        <f t="shared" si="26"/>
        <v>126.17557919999999</v>
      </c>
      <c r="Z131" s="211"/>
      <c r="AA131" s="384"/>
      <c r="AB131" s="391">
        <v>0.48</v>
      </c>
      <c r="AC131" s="233"/>
      <c r="AD131" s="233">
        <f t="shared" si="27"/>
        <v>1.3594675199999999</v>
      </c>
      <c r="AE131" s="211"/>
      <c r="AF131" s="384"/>
      <c r="AG131" s="391">
        <v>47.31</v>
      </c>
      <c r="AH131" s="233"/>
      <c r="AI131" s="233">
        <f t="shared" si="28"/>
        <v>133.99251744</v>
      </c>
      <c r="AJ131" s="211"/>
      <c r="AK131" s="384"/>
      <c r="AL131" s="391">
        <v>30.11</v>
      </c>
      <c r="AM131" s="233"/>
      <c r="AN131" s="233">
        <f t="shared" si="29"/>
        <v>85.278264640000003</v>
      </c>
      <c r="AO131" s="211"/>
      <c r="AP131" s="390"/>
      <c r="AQ131" s="427">
        <v>0.64</v>
      </c>
      <c r="AR131" s="233"/>
      <c r="AS131" s="233">
        <f t="shared" si="30"/>
        <v>1.8126233600000001</v>
      </c>
      <c r="AT131" s="211"/>
      <c r="AU131" s="384"/>
      <c r="AV131" s="269">
        <v>125.51</v>
      </c>
      <c r="AW131" s="233"/>
      <c r="AX131" s="233">
        <f t="shared" si="31"/>
        <v>355.47243423999998</v>
      </c>
      <c r="AY131" s="211"/>
      <c r="AZ131" s="384"/>
      <c r="BA131" s="269">
        <v>0.67</v>
      </c>
      <c r="BB131" s="233"/>
      <c r="BC131" s="233">
        <f t="shared" si="32"/>
        <v>1.8975900800000001</v>
      </c>
      <c r="BD131" s="211"/>
      <c r="BE131" s="384"/>
      <c r="BF131" s="211"/>
      <c r="BG131" s="392">
        <v>2832224</v>
      </c>
    </row>
    <row r="132" spans="1:59" ht="12.75">
      <c r="A132" s="216" t="s">
        <v>286</v>
      </c>
      <c r="B132" s="423"/>
      <c r="C132" s="424">
        <v>56.7</v>
      </c>
      <c r="D132" s="233"/>
      <c r="E132" s="233">
        <f t="shared" si="22"/>
        <v>415.09021050000001</v>
      </c>
      <c r="F132" s="211"/>
      <c r="G132" s="384"/>
      <c r="H132" s="216">
        <v>2.44</v>
      </c>
      <c r="I132" s="233"/>
      <c r="J132" s="233">
        <f t="shared" si="23"/>
        <v>17.862788599999998</v>
      </c>
      <c r="K132" s="211"/>
      <c r="L132" s="384"/>
      <c r="M132" s="269">
        <v>10.6</v>
      </c>
      <c r="N132" s="233"/>
      <c r="O132" s="233">
        <f t="shared" si="24"/>
        <v>77.600639000000001</v>
      </c>
      <c r="P132" s="211"/>
      <c r="Q132" s="384"/>
      <c r="R132" s="269">
        <v>3.25</v>
      </c>
      <c r="S132" s="233"/>
      <c r="T132" s="233">
        <f t="shared" si="25"/>
        <v>23.792648750000001</v>
      </c>
      <c r="U132" s="211"/>
      <c r="V132" s="384"/>
      <c r="W132" s="269">
        <v>34.25</v>
      </c>
      <c r="X132" s="233"/>
      <c r="Y132" s="233">
        <f t="shared" si="26"/>
        <v>250.73791374999999</v>
      </c>
      <c r="Z132" s="211"/>
      <c r="AA132" s="384"/>
      <c r="AB132" s="391">
        <v>0.37</v>
      </c>
      <c r="AC132" s="233"/>
      <c r="AD132" s="233">
        <f t="shared" si="27"/>
        <v>2.7087015499999998</v>
      </c>
      <c r="AE132" s="211"/>
      <c r="AF132" s="384"/>
      <c r="AG132" s="391">
        <v>208.83</v>
      </c>
      <c r="AH132" s="233"/>
      <c r="AI132" s="233">
        <f t="shared" si="28"/>
        <v>1528.8057964500001</v>
      </c>
      <c r="AJ132" s="211"/>
      <c r="AK132" s="384"/>
      <c r="AL132" s="391">
        <v>33.21</v>
      </c>
      <c r="AM132" s="233"/>
      <c r="AN132" s="233">
        <f t="shared" si="29"/>
        <v>243.12426615000001</v>
      </c>
      <c r="AO132" s="211"/>
      <c r="AP132" s="390"/>
      <c r="AQ132" s="427">
        <v>3.64</v>
      </c>
      <c r="AR132" s="233"/>
      <c r="AS132" s="233">
        <f t="shared" si="30"/>
        <v>26.647766600000001</v>
      </c>
      <c r="AT132" s="211"/>
      <c r="AU132" s="384"/>
      <c r="AV132" s="269">
        <v>141.24</v>
      </c>
      <c r="AW132" s="233"/>
      <c r="AX132" s="233">
        <f t="shared" si="31"/>
        <v>1033.9919106</v>
      </c>
      <c r="AY132" s="211"/>
      <c r="AZ132" s="384"/>
      <c r="BA132" s="269">
        <v>0.61</v>
      </c>
      <c r="BB132" s="233"/>
      <c r="BC132" s="233">
        <f t="shared" si="32"/>
        <v>4.4656971499999996</v>
      </c>
      <c r="BD132" s="211"/>
      <c r="BE132" s="384"/>
      <c r="BF132" s="211"/>
      <c r="BG132" s="392">
        <v>7320815</v>
      </c>
    </row>
    <row r="133" spans="1:59" ht="12.75">
      <c r="A133" s="216" t="s">
        <v>287</v>
      </c>
      <c r="B133" s="423"/>
      <c r="C133" s="424">
        <v>130.80000000000001</v>
      </c>
      <c r="D133" s="233"/>
      <c r="E133" s="233">
        <f t="shared" si="22"/>
        <v>3571.7731272000001</v>
      </c>
      <c r="F133" s="211"/>
      <c r="G133" s="384"/>
      <c r="H133" s="216">
        <v>6.59</v>
      </c>
      <c r="I133" s="233"/>
      <c r="J133" s="233">
        <f t="shared" si="23"/>
        <v>179.95401305999999</v>
      </c>
      <c r="K133" s="211"/>
      <c r="L133" s="384"/>
      <c r="M133" s="269">
        <v>34.1</v>
      </c>
      <c r="N133" s="233"/>
      <c r="O133" s="233">
        <f t="shared" si="24"/>
        <v>931.17326940000009</v>
      </c>
      <c r="P133" s="211"/>
      <c r="Q133" s="384"/>
      <c r="R133" s="386">
        <v>2.06</v>
      </c>
      <c r="S133" s="233"/>
      <c r="T133" s="233">
        <f t="shared" si="25"/>
        <v>56.252696039999996</v>
      </c>
      <c r="U133" s="211"/>
      <c r="V133" s="384"/>
      <c r="W133" s="269">
        <v>71.34</v>
      </c>
      <c r="X133" s="233"/>
      <c r="Y133" s="233">
        <f t="shared" si="26"/>
        <v>1948.0909395600002</v>
      </c>
      <c r="Z133" s="211"/>
      <c r="AA133" s="384"/>
      <c r="AB133" s="391">
        <v>2.25</v>
      </c>
      <c r="AC133" s="233"/>
      <c r="AD133" s="233">
        <f t="shared" si="27"/>
        <v>61.4410515</v>
      </c>
      <c r="AE133" s="211"/>
      <c r="AF133" s="384"/>
      <c r="AG133" s="391">
        <v>274.14999999999998</v>
      </c>
      <c r="AH133" s="233"/>
      <c r="AI133" s="233">
        <f t="shared" si="28"/>
        <v>7486.2507860999995</v>
      </c>
      <c r="AJ133" s="211"/>
      <c r="AK133" s="384"/>
      <c r="AL133" s="391">
        <v>91.17</v>
      </c>
      <c r="AM133" s="233"/>
      <c r="AN133" s="233">
        <f t="shared" si="29"/>
        <v>2489.5914067800004</v>
      </c>
      <c r="AO133" s="211"/>
      <c r="AP133" s="390"/>
      <c r="AQ133" s="427">
        <v>0.04</v>
      </c>
      <c r="AR133" s="233"/>
      <c r="AS133" s="233">
        <f t="shared" si="30"/>
        <v>1.0922853600000002</v>
      </c>
      <c r="AT133" s="211"/>
      <c r="AU133" s="384"/>
      <c r="AV133" s="269">
        <v>196.31</v>
      </c>
      <c r="AW133" s="233"/>
      <c r="AX133" s="233">
        <f t="shared" si="31"/>
        <v>5360.66347554</v>
      </c>
      <c r="AY133" s="211"/>
      <c r="AZ133" s="384"/>
      <c r="BA133" s="269">
        <v>1.56</v>
      </c>
      <c r="BB133" s="233"/>
      <c r="BC133" s="233">
        <f t="shared" si="32"/>
        <v>42.599129040000001</v>
      </c>
      <c r="BD133" s="211"/>
      <c r="BE133" s="384"/>
      <c r="BF133" s="211"/>
      <c r="BG133" s="392">
        <v>27307134</v>
      </c>
    </row>
    <row r="134" spans="1:59" ht="12.75">
      <c r="A134" s="216" t="s">
        <v>288</v>
      </c>
      <c r="B134" s="423"/>
      <c r="C134" s="424">
        <v>175.9</v>
      </c>
      <c r="D134" s="233"/>
      <c r="E134" s="233">
        <f t="shared" si="22"/>
        <v>12385.815212200001</v>
      </c>
      <c r="F134" s="211"/>
      <c r="G134" s="384"/>
      <c r="H134" s="216">
        <v>7.43</v>
      </c>
      <c r="I134" s="233"/>
      <c r="J134" s="233">
        <f t="shared" si="23"/>
        <v>523.17570794000005</v>
      </c>
      <c r="K134" s="211"/>
      <c r="L134" s="384"/>
      <c r="M134" s="269">
        <v>18.62</v>
      </c>
      <c r="N134" s="233"/>
      <c r="O134" s="233">
        <f t="shared" si="24"/>
        <v>1311.1078979599999</v>
      </c>
      <c r="P134" s="211"/>
      <c r="Q134" s="384"/>
      <c r="R134" s="386">
        <v>20.84</v>
      </c>
      <c r="S134" s="233"/>
      <c r="T134" s="233">
        <f t="shared" si="25"/>
        <v>1467.4268847200001</v>
      </c>
      <c r="U134" s="211"/>
      <c r="V134" s="384"/>
      <c r="W134" s="269">
        <v>46.82</v>
      </c>
      <c r="X134" s="233"/>
      <c r="Y134" s="233">
        <f t="shared" si="26"/>
        <v>3296.7815135599999</v>
      </c>
      <c r="Z134" s="211"/>
      <c r="AA134" s="384"/>
      <c r="AB134" s="391">
        <v>4.8499999999999996</v>
      </c>
      <c r="AC134" s="233"/>
      <c r="AD134" s="233">
        <f t="shared" si="27"/>
        <v>341.50769629999996</v>
      </c>
      <c r="AE134" s="211"/>
      <c r="AF134" s="384"/>
      <c r="AG134" s="391">
        <v>254.11</v>
      </c>
      <c r="AH134" s="233"/>
      <c r="AI134" s="233">
        <f t="shared" si="28"/>
        <v>17892.89086738</v>
      </c>
      <c r="AJ134" s="211"/>
      <c r="AK134" s="384"/>
      <c r="AL134" s="391">
        <v>127.17</v>
      </c>
      <c r="AM134" s="233"/>
      <c r="AN134" s="233">
        <f t="shared" si="29"/>
        <v>8954.5430388599998</v>
      </c>
      <c r="AO134" s="211"/>
      <c r="AP134" s="390"/>
      <c r="AQ134" s="427">
        <v>15.09</v>
      </c>
      <c r="AR134" s="233"/>
      <c r="AS134" s="233">
        <f t="shared" si="30"/>
        <v>1062.54662622</v>
      </c>
      <c r="AT134" s="211"/>
      <c r="AU134" s="384"/>
      <c r="AV134" s="269">
        <v>207.89</v>
      </c>
      <c r="AW134" s="233"/>
      <c r="AX134" s="233">
        <f t="shared" si="31"/>
        <v>14638.35772862</v>
      </c>
      <c r="AY134" s="211"/>
      <c r="AZ134" s="384"/>
      <c r="BA134" s="269">
        <v>6.84</v>
      </c>
      <c r="BB134" s="233"/>
      <c r="BC134" s="233">
        <f t="shared" si="32"/>
        <v>481.63147271999998</v>
      </c>
      <c r="BD134" s="211"/>
      <c r="BE134" s="384"/>
      <c r="BF134" s="211"/>
      <c r="BG134" s="392">
        <v>70413958</v>
      </c>
    </row>
    <row r="135" spans="1:59" ht="12.75">
      <c r="A135" s="216" t="s">
        <v>289</v>
      </c>
      <c r="B135" s="423"/>
      <c r="C135" s="424">
        <v>137</v>
      </c>
      <c r="D135" s="233"/>
      <c r="E135" s="233">
        <f t="shared" si="22"/>
        <v>690.88004000000001</v>
      </c>
      <c r="F135" s="211"/>
      <c r="G135" s="384"/>
      <c r="H135" s="216">
        <v>7.07</v>
      </c>
      <c r="I135" s="233"/>
      <c r="J135" s="233">
        <f t="shared" si="23"/>
        <v>35.653444399999998</v>
      </c>
      <c r="K135" s="211"/>
      <c r="L135" s="384"/>
      <c r="M135" s="269">
        <v>49.51</v>
      </c>
      <c r="N135" s="233"/>
      <c r="O135" s="233">
        <f t="shared" si="24"/>
        <v>249.67496919999999</v>
      </c>
      <c r="P135" s="211"/>
      <c r="Q135" s="384"/>
      <c r="R135" s="269">
        <v>4.66</v>
      </c>
      <c r="S135" s="233"/>
      <c r="T135" s="233">
        <f t="shared" si="25"/>
        <v>23.500007199999999</v>
      </c>
      <c r="U135" s="211"/>
      <c r="V135" s="384"/>
      <c r="W135" s="269">
        <v>94.44</v>
      </c>
      <c r="X135" s="233"/>
      <c r="Y135" s="233">
        <f t="shared" si="26"/>
        <v>476.25336479999999</v>
      </c>
      <c r="Z135" s="211"/>
      <c r="AA135" s="384"/>
      <c r="AB135" s="391">
        <v>2.94</v>
      </c>
      <c r="AC135" s="233"/>
      <c r="AD135" s="233">
        <f t="shared" si="27"/>
        <v>14.826184799999998</v>
      </c>
      <c r="AE135" s="211"/>
      <c r="AF135" s="384"/>
      <c r="AG135" s="391">
        <v>143.09</v>
      </c>
      <c r="AH135" s="233"/>
      <c r="AI135" s="233">
        <f t="shared" si="28"/>
        <v>721.59142280000003</v>
      </c>
      <c r="AJ135" s="211"/>
      <c r="AK135" s="384"/>
      <c r="AL135" s="391">
        <v>56.1</v>
      </c>
      <c r="AM135" s="233"/>
      <c r="AN135" s="233">
        <f t="shared" si="29"/>
        <v>282.90781199999998</v>
      </c>
      <c r="AO135" s="211"/>
      <c r="AP135" s="390"/>
      <c r="AQ135" s="138">
        <v>0</v>
      </c>
      <c r="AR135" s="233"/>
      <c r="AS135" s="233">
        <f t="shared" si="30"/>
        <v>0</v>
      </c>
      <c r="AT135" s="211"/>
      <c r="AU135" s="384"/>
      <c r="AV135" s="269">
        <v>207.85</v>
      </c>
      <c r="AW135" s="233"/>
      <c r="AX135" s="233">
        <f t="shared" si="31"/>
        <v>1048.170922</v>
      </c>
      <c r="AY135" s="211"/>
      <c r="AZ135" s="384"/>
      <c r="BA135" s="269">
        <v>0.37</v>
      </c>
      <c r="BB135" s="233"/>
      <c r="BC135" s="233">
        <f t="shared" si="32"/>
        <v>1.8658804</v>
      </c>
      <c r="BD135" s="211"/>
      <c r="BE135" s="384"/>
      <c r="BF135" s="211"/>
      <c r="BG135" s="392">
        <v>5042920</v>
      </c>
    </row>
    <row r="136" spans="1:59" ht="12.75">
      <c r="A136" s="224"/>
      <c r="B136" s="402"/>
      <c r="C136" s="403"/>
      <c r="D136" s="211"/>
      <c r="E136" s="211"/>
      <c r="F136" s="211"/>
      <c r="G136" s="384"/>
      <c r="H136" s="211"/>
      <c r="I136" s="211"/>
      <c r="J136" s="211"/>
      <c r="K136" s="211"/>
      <c r="L136" s="384"/>
      <c r="M136" s="400"/>
      <c r="N136" s="211"/>
      <c r="O136" s="211"/>
      <c r="P136" s="211"/>
      <c r="Q136" s="384"/>
      <c r="R136" s="211"/>
      <c r="S136" s="211"/>
      <c r="T136" s="211"/>
      <c r="U136" s="211"/>
      <c r="V136" s="384"/>
      <c r="W136" s="211"/>
      <c r="X136" s="211"/>
      <c r="Y136" s="211"/>
      <c r="Z136" s="211"/>
      <c r="AA136" s="384"/>
      <c r="AB136" s="146"/>
      <c r="AC136" s="211"/>
      <c r="AD136" s="211"/>
      <c r="AE136" s="211"/>
      <c r="AF136" s="384"/>
      <c r="AG136" s="146"/>
      <c r="AH136" s="211"/>
      <c r="AI136" s="211"/>
      <c r="AJ136" s="211"/>
      <c r="AK136" s="384"/>
      <c r="AL136" s="146"/>
      <c r="AM136" s="211"/>
      <c r="AN136" s="211"/>
      <c r="AO136" s="211"/>
      <c r="AP136" s="390"/>
      <c r="AQ136" s="146"/>
      <c r="AR136" s="211"/>
      <c r="AS136" s="211"/>
      <c r="AT136" s="211"/>
      <c r="AU136" s="384"/>
      <c r="AV136" s="211"/>
      <c r="AW136" s="211"/>
      <c r="AX136" s="211"/>
      <c r="AY136" s="211"/>
      <c r="AZ136" s="384"/>
      <c r="BA136" s="211"/>
      <c r="BB136" s="211"/>
      <c r="BC136" s="211"/>
      <c r="BD136" s="211"/>
      <c r="BE136" s="384"/>
      <c r="BF136" s="211"/>
      <c r="BG136" s="433"/>
    </row>
    <row r="137" spans="1:59" ht="12.75">
      <c r="A137" s="366" t="s">
        <v>100</v>
      </c>
      <c r="B137" s="367">
        <f>(C137+H137+M137+R137+W137+AB137+AG137+AL137+AQ137+AV137+BA137)</f>
        <v>1504.3300000000002</v>
      </c>
      <c r="C137" s="416">
        <f>SUM(C140:C141)</f>
        <v>441.77</v>
      </c>
      <c r="D137" s="368">
        <f>SUM(C137/C$4)</f>
        <v>2.6352538348887632E-2</v>
      </c>
      <c r="E137" s="417">
        <f>SUM(E140:E141)</f>
        <v>82019.817071640005</v>
      </c>
      <c r="F137" s="368">
        <f>SUM(E137/E$4)</f>
        <v>0.16627350118493034</v>
      </c>
      <c r="G137" s="283"/>
      <c r="H137" s="416">
        <f>SUM(H140:H141)</f>
        <v>28.59</v>
      </c>
      <c r="I137" s="368">
        <f>SUM(H137/H$4)</f>
        <v>2.7664618510813293E-2</v>
      </c>
      <c r="J137" s="417">
        <f>SUM(J140:J141)</f>
        <v>4772.5774467399997</v>
      </c>
      <c r="K137" s="368">
        <f>SUM(J137/J$4)</f>
        <v>7.1798553798069931E-2</v>
      </c>
      <c r="L137" s="283"/>
      <c r="M137" s="416">
        <f>SUM(M140:M141)</f>
        <v>117.8</v>
      </c>
      <c r="N137" s="368">
        <f>SUM(M137/M$4)</f>
        <v>2.8695243361484556E-2</v>
      </c>
      <c r="O137" s="417">
        <f>SUM(O140:O141)</f>
        <v>21544.515509099998</v>
      </c>
      <c r="P137" s="368">
        <f>SUM(O137/O$4)</f>
        <v>0.11523357996288809</v>
      </c>
      <c r="Q137" s="283"/>
      <c r="R137" s="416">
        <f>SUM(R140:R141)</f>
        <v>97.12</v>
      </c>
      <c r="S137" s="368">
        <f>SUM(R137/R$4)</f>
        <v>3.8773399978441481E-2</v>
      </c>
      <c r="T137" s="417">
        <f>SUM(T140:T141)</f>
        <v>18243.725104959998</v>
      </c>
      <c r="U137" s="368">
        <f>SUM(T137/T$4)</f>
        <v>0.17696152820196115</v>
      </c>
      <c r="V137" s="283"/>
      <c r="W137" s="416">
        <f>SUM(W140:W141)</f>
        <v>134.25</v>
      </c>
      <c r="X137" s="368">
        <f>SUM(W137/W$4)</f>
        <v>1.2955918031742723E-2</v>
      </c>
      <c r="Y137" s="417">
        <f>SUM(Y140:Y141)</f>
        <v>19281.639846360002</v>
      </c>
      <c r="Z137" s="368">
        <f>SUM(Y137/Y$4)</f>
        <v>5.06462458401035E-2</v>
      </c>
      <c r="AA137" s="283"/>
      <c r="AB137" s="416">
        <f>SUM(AB140:AB141)</f>
        <v>44.81</v>
      </c>
      <c r="AC137" s="368">
        <f>SUM(AB137/AB$4)</f>
        <v>1.8676591949184328E-2</v>
      </c>
      <c r="AD137" s="417">
        <f>SUM(AD140:AD141)</f>
        <v>7416.2836707999995</v>
      </c>
      <c r="AE137" s="368">
        <f>SUM(AD137/AD$4)</f>
        <v>5.6442598267971919E-2</v>
      </c>
      <c r="AF137" s="283"/>
      <c r="AG137" s="418">
        <f>SUM(AG140:AG141)</f>
        <v>214.99</v>
      </c>
      <c r="AH137" s="368">
        <f>SUM(AG137/AG$4)</f>
        <v>1.5688463699584786E-2</v>
      </c>
      <c r="AI137" s="417">
        <f>SUM(AI140:AI141)</f>
        <v>37211.401388539998</v>
      </c>
      <c r="AJ137" s="368">
        <f>SUM(AI137/AI$4)</f>
        <v>3.9599534412529801E-2</v>
      </c>
      <c r="AK137" s="283"/>
      <c r="AL137" s="418">
        <f>SUM(AL140:AL141)</f>
        <v>172.28</v>
      </c>
      <c r="AM137" s="368">
        <f>SUM(AL137/AL$4)</f>
        <v>1.4460808589861316E-2</v>
      </c>
      <c r="AN137" s="417">
        <f>SUM(AN140:AN141)</f>
        <v>26070.187928040003</v>
      </c>
      <c r="AO137" s="368">
        <f>SUM(AN137/AN$4)</f>
        <v>5.2289867901283024E-2</v>
      </c>
      <c r="AP137" s="370"/>
      <c r="AQ137" s="416">
        <f>SUM(AQ140:AQ141)</f>
        <v>24.720000000000002</v>
      </c>
      <c r="AR137" s="368">
        <f>SUM(AQ137/AQ$4)</f>
        <v>1.9482208298853297E-2</v>
      </c>
      <c r="AS137" s="417">
        <f>SUM(AS140:AS141)</f>
        <v>3086.90776869</v>
      </c>
      <c r="AT137" s="368">
        <f>SUM(AS137/AS$4)</f>
        <v>4.5627760775301861E-2</v>
      </c>
      <c r="AU137" s="283"/>
      <c r="AV137" s="416">
        <f>SUM(AV140:AV141)</f>
        <v>221.11</v>
      </c>
      <c r="AW137" s="368">
        <f>SUM(AV137/AV$4)</f>
        <v>1.0354796123706822E-2</v>
      </c>
      <c r="AX137" s="417">
        <f>SUM(AX140:AX141)</f>
        <v>36726.722569409998</v>
      </c>
      <c r="AY137" s="368">
        <f>SUM(AX137/AX$4)</f>
        <v>3.4206793564014334E-2</v>
      </c>
      <c r="AZ137" s="283"/>
      <c r="BA137" s="416">
        <f>SUM(BA140:BA141)</f>
        <v>6.8900000000000006</v>
      </c>
      <c r="BB137" s="368">
        <f>SUM(BA137/BA$4)</f>
        <v>2.5017247013543444E-2</v>
      </c>
      <c r="BC137" s="417">
        <f>SUM(BC140:BC141)</f>
        <v>1278.8189621600002</v>
      </c>
      <c r="BD137" s="368">
        <f>SUM(BC137/BC$4)</f>
        <v>8.79865999098767E-2</v>
      </c>
      <c r="BE137" s="283"/>
      <c r="BF137" s="282"/>
      <c r="BG137" s="419">
        <f>SUM(BG140:BG141)</f>
        <v>331543147</v>
      </c>
    </row>
    <row r="138" spans="1:59" ht="12.75">
      <c r="A138" s="372" t="s">
        <v>217</v>
      </c>
      <c r="B138" s="373"/>
      <c r="C138" s="374">
        <f>AVERAGE(C140:C141)</f>
        <v>220.88499999999999</v>
      </c>
      <c r="D138" s="375"/>
      <c r="E138" s="375"/>
      <c r="F138" s="257"/>
      <c r="G138" s="376"/>
      <c r="H138" s="377"/>
      <c r="I138" s="375"/>
      <c r="J138" s="375"/>
      <c r="K138" s="257"/>
      <c r="L138" s="376"/>
      <c r="M138" s="377"/>
      <c r="N138" s="375"/>
      <c r="O138" s="375"/>
      <c r="P138" s="257"/>
      <c r="Q138" s="376"/>
      <c r="R138" s="377"/>
      <c r="S138" s="375"/>
      <c r="T138" s="375"/>
      <c r="U138" s="257"/>
      <c r="V138" s="376"/>
      <c r="W138" s="377"/>
      <c r="X138" s="375"/>
      <c r="Y138" s="375"/>
      <c r="Z138" s="257"/>
      <c r="AA138" s="376"/>
      <c r="AB138" s="377"/>
      <c r="AC138" s="375"/>
      <c r="AD138" s="375"/>
      <c r="AE138" s="257"/>
      <c r="AF138" s="376"/>
      <c r="AG138" s="378"/>
      <c r="AH138" s="375"/>
      <c r="AI138" s="375"/>
      <c r="AJ138" s="257"/>
      <c r="AK138" s="376"/>
      <c r="AL138" s="378"/>
      <c r="AM138" s="375"/>
      <c r="AN138" s="375"/>
      <c r="AO138" s="257"/>
      <c r="AP138" s="379"/>
      <c r="AQ138" s="377"/>
      <c r="AR138" s="375"/>
      <c r="AS138" s="375"/>
      <c r="AT138" s="257"/>
      <c r="AU138" s="376"/>
      <c r="AV138" s="377"/>
      <c r="AW138" s="375"/>
      <c r="AX138" s="375"/>
      <c r="AY138" s="257"/>
      <c r="AZ138" s="376"/>
      <c r="BA138" s="377"/>
      <c r="BB138" s="375"/>
      <c r="BC138" s="375"/>
      <c r="BD138" s="257"/>
      <c r="BE138" s="376"/>
      <c r="BF138" s="257"/>
      <c r="BG138" s="380"/>
    </row>
    <row r="139" spans="1:59" ht="12.75">
      <c r="A139" s="372" t="s">
        <v>218</v>
      </c>
      <c r="B139" s="373"/>
      <c r="C139" s="420">
        <f>C137/$B137</f>
        <v>0.29366561858102941</v>
      </c>
      <c r="D139" s="233"/>
      <c r="E139" s="233"/>
      <c r="F139" s="211"/>
      <c r="G139" s="384"/>
      <c r="H139" s="420">
        <f>H137/$B137</f>
        <v>1.9005138500196098E-2</v>
      </c>
      <c r="I139" s="233"/>
      <c r="J139" s="233"/>
      <c r="K139" s="211"/>
      <c r="L139" s="384"/>
      <c r="M139" s="420">
        <f>M137/$B137</f>
        <v>7.8307286300213372E-2</v>
      </c>
      <c r="N139" s="233"/>
      <c r="O139" s="233"/>
      <c r="P139" s="211"/>
      <c r="Q139" s="384"/>
      <c r="R139" s="420">
        <f>R137/$B137</f>
        <v>6.4560302593181018E-2</v>
      </c>
      <c r="S139" s="233"/>
      <c r="T139" s="233"/>
      <c r="U139" s="211"/>
      <c r="V139" s="384"/>
      <c r="W139" s="420">
        <f>W137/$B137</f>
        <v>8.9242386976261842E-2</v>
      </c>
      <c r="X139" s="233"/>
      <c r="Y139" s="233"/>
      <c r="Z139" s="211"/>
      <c r="AA139" s="384"/>
      <c r="AB139" s="420">
        <f>AB137/$B137</f>
        <v>2.9787347191108333E-2</v>
      </c>
      <c r="AC139" s="233"/>
      <c r="AD139" s="233"/>
      <c r="AE139" s="211"/>
      <c r="AF139" s="384"/>
      <c r="AG139" s="421">
        <f>AG137/$B137</f>
        <v>0.14291412123669672</v>
      </c>
      <c r="AH139" s="233"/>
      <c r="AI139" s="233"/>
      <c r="AJ139" s="211"/>
      <c r="AK139" s="384"/>
      <c r="AL139" s="421">
        <f>AL137/$B137</f>
        <v>0.11452274434465841</v>
      </c>
      <c r="AM139" s="233"/>
      <c r="AN139" s="233"/>
      <c r="AO139" s="211"/>
      <c r="AP139" s="390"/>
      <c r="AQ139" s="420">
        <f>AQ137/$B137</f>
        <v>1.6432564663338495E-2</v>
      </c>
      <c r="AR139" s="233"/>
      <c r="AS139" s="233"/>
      <c r="AT139" s="211"/>
      <c r="AU139" s="384"/>
      <c r="AV139" s="420">
        <f>AV137/$B137</f>
        <v>0.14698237753684365</v>
      </c>
      <c r="AW139" s="233"/>
      <c r="AX139" s="233"/>
      <c r="AY139" s="211"/>
      <c r="AZ139" s="384"/>
      <c r="BA139" s="420">
        <f>BA137/$B137</f>
        <v>4.5801120764725825E-3</v>
      </c>
      <c r="BB139" s="233"/>
      <c r="BC139" s="233"/>
      <c r="BD139" s="211"/>
      <c r="BE139" s="384"/>
      <c r="BF139" s="211"/>
      <c r="BG139" s="392"/>
    </row>
    <row r="140" spans="1:59" ht="12.75">
      <c r="A140" s="216" t="s">
        <v>290</v>
      </c>
      <c r="B140" s="382"/>
      <c r="C140" s="383">
        <v>187.77</v>
      </c>
      <c r="D140" s="233"/>
      <c r="E140" s="233">
        <f>SUM(C140*$BG140)/1000000</f>
        <v>6214.98646164</v>
      </c>
      <c r="F140" s="211"/>
      <c r="G140" s="384"/>
      <c r="H140" s="414">
        <v>14.17</v>
      </c>
      <c r="I140" s="233"/>
      <c r="J140" s="233">
        <f>SUM(H140*$BG140)/1000000</f>
        <v>469.01186644000001</v>
      </c>
      <c r="K140" s="211"/>
      <c r="L140" s="384"/>
      <c r="M140" s="269">
        <v>51.3</v>
      </c>
      <c r="N140" s="233"/>
      <c r="O140" s="233">
        <f>SUM(M140*$BG140)/1000000</f>
        <v>1697.9752116</v>
      </c>
      <c r="P140" s="211"/>
      <c r="Q140" s="384"/>
      <c r="R140" s="269">
        <v>40.479999999999997</v>
      </c>
      <c r="S140" s="233"/>
      <c r="T140" s="233">
        <f>SUM(R140*$BG140)/1000000</f>
        <v>1339.8447673599999</v>
      </c>
      <c r="U140" s="211"/>
      <c r="V140" s="384"/>
      <c r="W140" s="269">
        <v>78.33</v>
      </c>
      <c r="X140" s="233"/>
      <c r="Y140" s="233">
        <f>SUM(W140*$BG140)/1000000</f>
        <v>2592.6393435599998</v>
      </c>
      <c r="Z140" s="211"/>
      <c r="AA140" s="384"/>
      <c r="AB140" s="396">
        <v>22.45</v>
      </c>
      <c r="AC140" s="233"/>
      <c r="AD140" s="233">
        <f>SUM(AB140*$BG140)/1000000</f>
        <v>743.07102339999994</v>
      </c>
      <c r="AE140" s="211"/>
      <c r="AF140" s="384"/>
      <c r="AG140" s="396">
        <v>101.57</v>
      </c>
      <c r="AH140" s="233"/>
      <c r="AI140" s="233">
        <f>SUM(AG140*$BG140)/1000000</f>
        <v>3361.8585232399996</v>
      </c>
      <c r="AJ140" s="211"/>
      <c r="AK140" s="384"/>
      <c r="AL140" s="396">
        <v>95.52</v>
      </c>
      <c r="AM140" s="233"/>
      <c r="AN140" s="233">
        <f>SUM(AL140*$BG140)/1000000</f>
        <v>3161.6099846399998</v>
      </c>
      <c r="AO140" s="211"/>
      <c r="AP140" s="390"/>
      <c r="AQ140" s="396">
        <v>16.170000000000002</v>
      </c>
      <c r="AR140" s="233"/>
      <c r="AS140" s="233">
        <f>SUM(AQ140*$BG140)/1000000</f>
        <v>535.20973044000004</v>
      </c>
      <c r="AT140" s="211"/>
      <c r="AU140" s="384"/>
      <c r="AV140" s="269">
        <v>110.28</v>
      </c>
      <c r="AW140" s="233"/>
      <c r="AX140" s="233">
        <f>SUM(AV140*$BG140)/1000000</f>
        <v>3650.1502209599998</v>
      </c>
      <c r="AY140" s="211"/>
      <c r="AZ140" s="384"/>
      <c r="BA140" s="269">
        <v>2.93</v>
      </c>
      <c r="BB140" s="233"/>
      <c r="BC140" s="233">
        <f>SUM(BA140*$BG140)/1000000</f>
        <v>96.979870760000011</v>
      </c>
      <c r="BD140" s="211"/>
      <c r="BE140" s="384"/>
      <c r="BF140" s="211"/>
      <c r="BG140" s="392">
        <v>33098932</v>
      </c>
    </row>
    <row r="141" spans="1:59" ht="12.75">
      <c r="A141" s="216" t="s">
        <v>291</v>
      </c>
      <c r="B141" s="382"/>
      <c r="C141" s="430">
        <v>254</v>
      </c>
      <c r="D141" s="233"/>
      <c r="E141" s="233">
        <f>SUM(C141*$BG141)/1000000</f>
        <v>75804.830610000005</v>
      </c>
      <c r="F141" s="211"/>
      <c r="G141" s="384"/>
      <c r="H141" s="383">
        <v>14.42</v>
      </c>
      <c r="I141" s="233"/>
      <c r="J141" s="233">
        <f>SUM(H141*$BG141)/1000000</f>
        <v>4303.5655803</v>
      </c>
      <c r="K141" s="211"/>
      <c r="L141" s="384"/>
      <c r="M141" s="269">
        <v>66.5</v>
      </c>
      <c r="N141" s="233"/>
      <c r="O141" s="233">
        <f>SUM(M141*$BG141)/1000000</f>
        <v>19846.5402975</v>
      </c>
      <c r="P141" s="211"/>
      <c r="Q141" s="384"/>
      <c r="R141" s="269">
        <v>56.64</v>
      </c>
      <c r="S141" s="233"/>
      <c r="T141" s="233">
        <f>SUM(R141*$BG141)/1000000</f>
        <v>16903.8803376</v>
      </c>
      <c r="U141" s="211"/>
      <c r="V141" s="384"/>
      <c r="W141" s="269">
        <v>55.92</v>
      </c>
      <c r="X141" s="233"/>
      <c r="Y141" s="233">
        <f>SUM(W141*$BG141)/1000000</f>
        <v>16689.000502800001</v>
      </c>
      <c r="Z141" s="211"/>
      <c r="AA141" s="384"/>
      <c r="AB141" s="396">
        <v>22.36</v>
      </c>
      <c r="AC141" s="233"/>
      <c r="AD141" s="233">
        <f>SUM(AB141*$BG141)/1000000</f>
        <v>6673.2126473999997</v>
      </c>
      <c r="AE141" s="211"/>
      <c r="AF141" s="384"/>
      <c r="AG141" s="396">
        <v>113.42</v>
      </c>
      <c r="AH141" s="233"/>
      <c r="AI141" s="233">
        <f>SUM(AG141*$BG141)/1000000</f>
        <v>33849.542865299998</v>
      </c>
      <c r="AJ141" s="211"/>
      <c r="AK141" s="384"/>
      <c r="AL141" s="396">
        <v>76.760000000000005</v>
      </c>
      <c r="AM141" s="233"/>
      <c r="AN141" s="233">
        <f>SUM(AL141*$BG141)/1000000</f>
        <v>22908.577943400003</v>
      </c>
      <c r="AO141" s="211"/>
      <c r="AP141" s="390"/>
      <c r="AQ141" s="396">
        <v>8.5500000000000007</v>
      </c>
      <c r="AR141" s="233"/>
      <c r="AS141" s="233">
        <f>SUM(AQ141*$BG141)/1000000</f>
        <v>2551.6980382500001</v>
      </c>
      <c r="AT141" s="211"/>
      <c r="AU141" s="384"/>
      <c r="AV141" s="269">
        <v>110.83</v>
      </c>
      <c r="AW141" s="233"/>
      <c r="AX141" s="233">
        <f>SUM(AV141*$BG141)/1000000</f>
        <v>33076.572348449998</v>
      </c>
      <c r="AY141" s="211"/>
      <c r="AZ141" s="384"/>
      <c r="BA141" s="269">
        <v>3.96</v>
      </c>
      <c r="BB141" s="233"/>
      <c r="BC141" s="233">
        <f>SUM(BA141*$BG141)/1000000</f>
        <v>1181.8390914000001</v>
      </c>
      <c r="BD141" s="211"/>
      <c r="BE141" s="384"/>
      <c r="BF141" s="211"/>
      <c r="BG141" s="392">
        <v>298444215</v>
      </c>
    </row>
    <row r="142" spans="1:59" ht="12.75">
      <c r="A142" s="224"/>
      <c r="B142" s="397"/>
      <c r="C142" s="398"/>
      <c r="D142" s="257"/>
      <c r="E142" s="257"/>
      <c r="F142" s="413"/>
      <c r="G142" s="384"/>
      <c r="H142" s="414"/>
      <c r="I142" s="257"/>
      <c r="J142" s="257"/>
      <c r="K142" s="413"/>
      <c r="L142" s="384"/>
      <c r="M142" s="400"/>
      <c r="N142" s="257"/>
      <c r="O142" s="257"/>
      <c r="P142" s="413"/>
      <c r="Q142" s="384"/>
      <c r="R142" s="211"/>
      <c r="S142" s="257"/>
      <c r="T142" s="257"/>
      <c r="U142" s="413"/>
      <c r="V142" s="384"/>
      <c r="W142" s="211"/>
      <c r="X142" s="257"/>
      <c r="Y142" s="257"/>
      <c r="Z142" s="413"/>
      <c r="AA142" s="384"/>
      <c r="AB142" s="396"/>
      <c r="AC142" s="257"/>
      <c r="AD142" s="257"/>
      <c r="AE142" s="413"/>
      <c r="AF142" s="384"/>
      <c r="AG142" s="396"/>
      <c r="AH142" s="257"/>
      <c r="AI142" s="257"/>
      <c r="AJ142" s="413"/>
      <c r="AK142" s="384"/>
      <c r="AL142" s="396"/>
      <c r="AM142" s="257"/>
      <c r="AN142" s="257"/>
      <c r="AO142" s="413"/>
      <c r="AP142" s="390"/>
      <c r="AQ142" s="396"/>
      <c r="AR142" s="257"/>
      <c r="AS142" s="257"/>
      <c r="AT142" s="413"/>
      <c r="AU142" s="384"/>
      <c r="AV142" s="257"/>
      <c r="AW142" s="257"/>
      <c r="AX142" s="257"/>
      <c r="AY142" s="413"/>
      <c r="AZ142" s="384"/>
      <c r="BA142" s="211"/>
      <c r="BB142" s="257"/>
      <c r="BC142" s="257"/>
      <c r="BD142" s="413"/>
      <c r="BE142" s="384"/>
      <c r="BF142" s="211"/>
      <c r="BG142" s="410"/>
    </row>
    <row r="143" spans="1:59" ht="12.75">
      <c r="A143" s="366" t="s">
        <v>101</v>
      </c>
      <c r="B143" s="367">
        <f>(C143+H143+M143+R143+W143+AB143+AG143+AL143+AQ143+AV143+BA143)</f>
        <v>7839.3099999999995</v>
      </c>
      <c r="C143" s="416">
        <f>SUM(C146:C160)</f>
        <v>482.89999999999992</v>
      </c>
      <c r="D143" s="368">
        <f>SUM(C143/C$4)</f>
        <v>2.8806032027249101E-2</v>
      </c>
      <c r="E143" s="417">
        <f>SUM(E146:E160)</f>
        <v>15300.854728859998</v>
      </c>
      <c r="F143" s="368">
        <f>SUM(E143/E$4)</f>
        <v>3.1018438930037952E-2</v>
      </c>
      <c r="G143" s="283"/>
      <c r="H143" s="416">
        <f>SUM(H146:H160)</f>
        <v>142.78999999999996</v>
      </c>
      <c r="I143" s="368">
        <f>SUM(H143/H$4)</f>
        <v>0.13816827132420528</v>
      </c>
      <c r="J143" s="417">
        <f>SUM(J146:J160)</f>
        <v>36784.297950749999</v>
      </c>
      <c r="K143" s="368">
        <f>SUM(J143/J$4)</f>
        <v>0.55338219752624096</v>
      </c>
      <c r="L143" s="283"/>
      <c r="M143" s="416">
        <f>SUM(M146:M160)</f>
        <v>471.12</v>
      </c>
      <c r="N143" s="368">
        <f>SUM(M143/M$4)</f>
        <v>0.1147614860141138</v>
      </c>
      <c r="O143" s="417">
        <f>SUM(O146:O160)</f>
        <v>81793.033296369991</v>
      </c>
      <c r="P143" s="368">
        <f>SUM(O143/O$4)</f>
        <v>0.43748043620583388</v>
      </c>
      <c r="Q143" s="283"/>
      <c r="R143" s="416">
        <f>SUM(R146:R160)</f>
        <v>249.11</v>
      </c>
      <c r="S143" s="368">
        <f>SUM(R143/R$4)</f>
        <v>9.9452653095444377E-2</v>
      </c>
      <c r="T143" s="417">
        <f>SUM(T146:T160)</f>
        <v>30050.223790229997</v>
      </c>
      <c r="U143" s="368">
        <f>SUM(T143/T$4)</f>
        <v>0.29148287940845347</v>
      </c>
      <c r="V143" s="283"/>
      <c r="W143" s="416">
        <f>SUM(W146:W160)</f>
        <v>738.06</v>
      </c>
      <c r="X143" s="368">
        <f>SUM(W143/W$4)</f>
        <v>7.122714981384011E-2</v>
      </c>
      <c r="Y143" s="417">
        <f>SUM(Y146:Y160)</f>
        <v>121306.61989431999</v>
      </c>
      <c r="Z143" s="368">
        <f>SUM(Y143/Y$4)</f>
        <v>0.31863082923206532</v>
      </c>
      <c r="AA143" s="283"/>
      <c r="AB143" s="416">
        <f>SUM(AB146:AB160)</f>
        <v>534.6</v>
      </c>
      <c r="AC143" s="368">
        <f>SUM(AB143/AB$4)</f>
        <v>0.22281870243325019</v>
      </c>
      <c r="AD143" s="417">
        <f>SUM(AD146:AD160)</f>
        <v>82329.848542619977</v>
      </c>
      <c r="AE143" s="368">
        <f>SUM(AD143/AD$4)</f>
        <v>0.62658209596947734</v>
      </c>
      <c r="AF143" s="283"/>
      <c r="AG143" s="418">
        <f>SUM(AG146:AG160)</f>
        <v>1583.9</v>
      </c>
      <c r="AH143" s="368">
        <f>SUM(AG143/AG$4)</f>
        <v>0.11558192313024951</v>
      </c>
      <c r="AI143" s="417">
        <f>SUM(AI146:AI160)</f>
        <v>561623.52718036994</v>
      </c>
      <c r="AJ143" s="368">
        <f>SUM(AI143/AI$4)</f>
        <v>0.59766709560996778</v>
      </c>
      <c r="AK143" s="283"/>
      <c r="AL143" s="418">
        <f>SUM(AL146:AL160)</f>
        <v>934.71</v>
      </c>
      <c r="AM143" s="368">
        <f>SUM(AL143/AL$4)</f>
        <v>7.8457524942124865E-2</v>
      </c>
      <c r="AN143" s="417">
        <f>SUM(AN146:AN160)</f>
        <v>176126.96721352998</v>
      </c>
      <c r="AO143" s="368">
        <f>SUM(AN143/AN$4)</f>
        <v>0.35326388420635696</v>
      </c>
      <c r="AP143" s="370"/>
      <c r="AQ143" s="416">
        <f>SUM(AQ146:AQ160)</f>
        <v>121.60999999999999</v>
      </c>
      <c r="AR143" s="368">
        <f>SUM(AQ143/AQ$4)</f>
        <v>9.5842692201599869E-2</v>
      </c>
      <c r="AS143" s="417">
        <f>SUM(AS146:AS160)</f>
        <v>21599.663523200012</v>
      </c>
      <c r="AT143" s="368">
        <f>SUM(AS143/AS$4)</f>
        <v>0.31926586536202933</v>
      </c>
      <c r="AU143" s="283"/>
      <c r="AV143" s="416">
        <f>SUM(AV146:AV160)</f>
        <v>2537.5600000000004</v>
      </c>
      <c r="AW143" s="368">
        <f>SUM(AV143/AV$4)</f>
        <v>0.11883640021560982</v>
      </c>
      <c r="AX143" s="417">
        <f>SUM(AX146:AX160)</f>
        <v>424047.39023744012</v>
      </c>
      <c r="AY143" s="368">
        <f>SUM(AX143/AX$4)</f>
        <v>0.39495224524316069</v>
      </c>
      <c r="AZ143" s="283"/>
      <c r="BA143" s="416">
        <f>SUM(BA146:BA160)</f>
        <v>42.949999999999996</v>
      </c>
      <c r="BB143" s="368">
        <f>SUM(BA143/BA$4)</f>
        <v>0.15594931193493333</v>
      </c>
      <c r="BC143" s="417">
        <f>SUM(BC146:BC160)</f>
        <v>6041.4289810899991</v>
      </c>
      <c r="BD143" s="368">
        <f>SUM(BC143/BC$4)</f>
        <v>0.4156685272677344</v>
      </c>
      <c r="BE143" s="283"/>
      <c r="BF143" s="282"/>
      <c r="BG143" s="419">
        <f>SUM(BG146:BG160)</f>
        <v>2113393271</v>
      </c>
    </row>
    <row r="144" spans="1:59" ht="12.75">
      <c r="A144" s="372" t="s">
        <v>217</v>
      </c>
      <c r="B144" s="373"/>
      <c r="C144" s="374">
        <f>AVERAGE(C146:C160)</f>
        <v>34.49285714285714</v>
      </c>
      <c r="D144" s="375"/>
      <c r="E144" s="375"/>
      <c r="F144" s="257"/>
      <c r="G144" s="376"/>
      <c r="H144" s="377"/>
      <c r="I144" s="375"/>
      <c r="J144" s="375"/>
      <c r="K144" s="257"/>
      <c r="L144" s="376"/>
      <c r="M144" s="377"/>
      <c r="N144" s="375"/>
      <c r="O144" s="375"/>
      <c r="P144" s="257"/>
      <c r="Q144" s="376"/>
      <c r="R144" s="377"/>
      <c r="S144" s="375"/>
      <c r="T144" s="375"/>
      <c r="U144" s="257"/>
      <c r="V144" s="376"/>
      <c r="W144" s="377"/>
      <c r="X144" s="375"/>
      <c r="Y144" s="375"/>
      <c r="Z144" s="257"/>
      <c r="AA144" s="376"/>
      <c r="AB144" s="377"/>
      <c r="AC144" s="375"/>
      <c r="AD144" s="375"/>
      <c r="AE144" s="257"/>
      <c r="AF144" s="376"/>
      <c r="AG144" s="378"/>
      <c r="AH144" s="375"/>
      <c r="AI144" s="375"/>
      <c r="AJ144" s="257"/>
      <c r="AK144" s="376"/>
      <c r="AL144" s="378"/>
      <c r="AM144" s="375"/>
      <c r="AN144" s="375"/>
      <c r="AO144" s="257"/>
      <c r="AP144" s="379"/>
      <c r="AQ144" s="377"/>
      <c r="AR144" s="375"/>
      <c r="AS144" s="375"/>
      <c r="AT144" s="257"/>
      <c r="AU144" s="376"/>
      <c r="AV144" s="377"/>
      <c r="AW144" s="375"/>
      <c r="AX144" s="375"/>
      <c r="AY144" s="257"/>
      <c r="AZ144" s="376"/>
      <c r="BA144" s="377"/>
      <c r="BB144" s="375"/>
      <c r="BC144" s="375"/>
      <c r="BD144" s="257"/>
      <c r="BE144" s="376"/>
      <c r="BF144" s="257"/>
      <c r="BG144" s="380"/>
    </row>
    <row r="145" spans="1:59" ht="12.75">
      <c r="A145" s="372" t="s">
        <v>218</v>
      </c>
      <c r="B145" s="373"/>
      <c r="C145" s="420">
        <f>C143/$B143</f>
        <v>6.1599809166878204E-2</v>
      </c>
      <c r="D145" s="233"/>
      <c r="E145" s="233"/>
      <c r="F145" s="211"/>
      <c r="G145" s="384"/>
      <c r="H145" s="420">
        <f>H143/$B143</f>
        <v>1.8214613275913311E-2</v>
      </c>
      <c r="I145" s="233"/>
      <c r="J145" s="233"/>
      <c r="K145" s="211"/>
      <c r="L145" s="384"/>
      <c r="M145" s="420">
        <f>M143/$B143</f>
        <v>6.0097125895008624E-2</v>
      </c>
      <c r="N145" s="233"/>
      <c r="O145" s="233"/>
      <c r="P145" s="211"/>
      <c r="Q145" s="384"/>
      <c r="R145" s="420">
        <f>R143/$B143</f>
        <v>3.1777031396895902E-2</v>
      </c>
      <c r="S145" s="233"/>
      <c r="T145" s="233"/>
      <c r="U145" s="211"/>
      <c r="V145" s="384"/>
      <c r="W145" s="420">
        <f>W143/$B143</f>
        <v>9.4148592159258915E-2</v>
      </c>
      <c r="X145" s="233"/>
      <c r="Y145" s="233"/>
      <c r="Z145" s="211"/>
      <c r="AA145" s="384"/>
      <c r="AB145" s="420">
        <f>AB143/$B143</f>
        <v>6.8194777346475652E-2</v>
      </c>
      <c r="AC145" s="233"/>
      <c r="AD145" s="233"/>
      <c r="AE145" s="211"/>
      <c r="AF145" s="384"/>
      <c r="AG145" s="421">
        <f>AG143/$B143</f>
        <v>0.2020458433203943</v>
      </c>
      <c r="AH145" s="233"/>
      <c r="AI145" s="233"/>
      <c r="AJ145" s="211"/>
      <c r="AK145" s="384"/>
      <c r="AL145" s="421">
        <f>AL143/$B143</f>
        <v>0.11923370806869484</v>
      </c>
      <c r="AM145" s="233"/>
      <c r="AN145" s="233"/>
      <c r="AO145" s="211"/>
      <c r="AP145" s="390"/>
      <c r="AQ145" s="420">
        <f>AQ143/$B143</f>
        <v>1.5512844880480551E-2</v>
      </c>
      <c r="AR145" s="233"/>
      <c r="AS145" s="233"/>
      <c r="AT145" s="211"/>
      <c r="AU145" s="384"/>
      <c r="AV145" s="420">
        <f>AV143/$B143</f>
        <v>0.32369685597329362</v>
      </c>
      <c r="AW145" s="233"/>
      <c r="AX145" s="233"/>
      <c r="AY145" s="211"/>
      <c r="AZ145" s="384"/>
      <c r="BA145" s="420">
        <f>BA143/$B143</f>
        <v>5.4787985167061891E-3</v>
      </c>
      <c r="BB145" s="233"/>
      <c r="BC145" s="233"/>
      <c r="BD145" s="211"/>
      <c r="BE145" s="384"/>
      <c r="BF145" s="211"/>
      <c r="BG145" s="392"/>
    </row>
    <row r="146" spans="1:59" ht="12.75">
      <c r="A146" s="213" t="s">
        <v>292</v>
      </c>
      <c r="B146" s="382"/>
      <c r="C146" s="383">
        <v>234.49</v>
      </c>
      <c r="D146" s="233"/>
      <c r="E146" s="233">
        <f t="shared" ref="E146:E160" si="33">SUM(C146*$BG146)/1000000</f>
        <v>4751.72458818</v>
      </c>
      <c r="F146" s="211"/>
      <c r="G146" s="384"/>
      <c r="H146" s="429">
        <v>8.0299999999999994</v>
      </c>
      <c r="I146" s="233"/>
      <c r="J146" s="233">
        <f t="shared" ref="J146:J160" si="34">SUM(H146*$BG146)/1000000</f>
        <v>162.72057845999998</v>
      </c>
      <c r="K146" s="211"/>
      <c r="L146" s="384"/>
      <c r="M146" s="269">
        <v>64.36</v>
      </c>
      <c r="N146" s="233"/>
      <c r="O146" s="233">
        <f t="shared" ref="O146:O160" si="35">SUM(M146*$BG146)/1000000</f>
        <v>1304.1963175200001</v>
      </c>
      <c r="P146" s="211"/>
      <c r="Q146" s="384"/>
      <c r="R146" s="269">
        <v>48.66</v>
      </c>
      <c r="S146" s="233"/>
      <c r="T146" s="233">
        <f t="shared" ref="T146:T160" si="36">SUM(R146*$BG146)/1000000</f>
        <v>986.05023011999992</v>
      </c>
      <c r="U146" s="211"/>
      <c r="V146" s="384"/>
      <c r="W146" s="269">
        <v>48.81</v>
      </c>
      <c r="X146" s="233"/>
      <c r="Y146" s="233">
        <f t="shared" ref="Y146:Y160" si="37">SUM(W146*$BG146)/1000000</f>
        <v>989.08984242000008</v>
      </c>
      <c r="Z146" s="211"/>
      <c r="AA146" s="384"/>
      <c r="AB146" s="387">
        <v>25.87</v>
      </c>
      <c r="AC146" s="233"/>
      <c r="AD146" s="233">
        <f t="shared" ref="AD146:AD160" si="38">SUM(AB146*$BG146)/1000000</f>
        <v>524.23180134000006</v>
      </c>
      <c r="AE146" s="211"/>
      <c r="AF146" s="384"/>
      <c r="AG146" s="387">
        <v>107.15</v>
      </c>
      <c r="AH146" s="233"/>
      <c r="AI146" s="233">
        <f t="shared" ref="AI146:AI160" si="39">SUM(AG146*$BG146)/1000000</f>
        <v>2171.2963863</v>
      </c>
      <c r="AJ146" s="211"/>
      <c r="AK146" s="384"/>
      <c r="AL146" s="391">
        <v>77.7</v>
      </c>
      <c r="AM146" s="233"/>
      <c r="AN146" s="233">
        <f t="shared" ref="AN146:AN160" si="40">SUM(AL146*$BG146)/1000000</f>
        <v>1574.5191714</v>
      </c>
      <c r="AO146" s="211"/>
      <c r="AP146" s="390"/>
      <c r="AQ146" s="391">
        <v>4.6500000000000004</v>
      </c>
      <c r="AR146" s="233"/>
      <c r="AS146" s="233">
        <f t="shared" ref="AS146:AS160" si="41">SUM(AQ146*$BG146)/1000000</f>
        <v>94.22798130000001</v>
      </c>
      <c r="AT146" s="211"/>
      <c r="AU146" s="384"/>
      <c r="AV146" s="269">
        <v>95.69</v>
      </c>
      <c r="AW146" s="233"/>
      <c r="AX146" s="233">
        <f t="shared" ref="AX146:AX160" si="42">SUM(AV146*$BG146)/1000000</f>
        <v>1939.0700065799999</v>
      </c>
      <c r="AY146" s="211"/>
      <c r="AZ146" s="384"/>
      <c r="BA146" s="269">
        <v>4.8099999999999996</v>
      </c>
      <c r="BB146" s="233"/>
      <c r="BC146" s="233">
        <f t="shared" ref="BC146:BC160" si="43">SUM(BA146*$BG146)/1000000</f>
        <v>97.470234419999983</v>
      </c>
      <c r="BD146" s="211"/>
      <c r="BE146" s="384"/>
      <c r="BF146" s="211"/>
      <c r="BG146" s="392">
        <v>20264082</v>
      </c>
    </row>
    <row r="147" spans="1:59" ht="12.75">
      <c r="A147" s="213" t="s">
        <v>293</v>
      </c>
      <c r="B147" s="434"/>
      <c r="C147" s="435">
        <v>18.3</v>
      </c>
      <c r="D147" s="233"/>
      <c r="E147" s="233">
        <f t="shared" si="33"/>
        <v>6.9438252</v>
      </c>
      <c r="F147" s="211"/>
      <c r="G147" s="384"/>
      <c r="H147" s="269">
        <v>16.16</v>
      </c>
      <c r="I147" s="233"/>
      <c r="J147" s="233">
        <f t="shared" si="34"/>
        <v>6.1318150400000002</v>
      </c>
      <c r="K147" s="211"/>
      <c r="L147" s="384"/>
      <c r="M147" s="400"/>
      <c r="N147" s="233"/>
      <c r="O147" s="233">
        <f t="shared" si="35"/>
        <v>0</v>
      </c>
      <c r="P147" s="211"/>
      <c r="Q147" s="384"/>
      <c r="R147" s="269">
        <v>0</v>
      </c>
      <c r="S147" s="233"/>
      <c r="T147" s="233">
        <f t="shared" si="36"/>
        <v>0</v>
      </c>
      <c r="U147" s="211"/>
      <c r="V147" s="384"/>
      <c r="W147" s="269">
        <v>29.28</v>
      </c>
      <c r="X147" s="233"/>
      <c r="Y147" s="233">
        <f t="shared" si="37"/>
        <v>11.11012032</v>
      </c>
      <c r="Z147" s="211"/>
      <c r="AA147" s="384"/>
      <c r="AB147" s="425">
        <v>46.7</v>
      </c>
      <c r="AC147" s="233"/>
      <c r="AD147" s="233">
        <f t="shared" si="38"/>
        <v>17.720034800000001</v>
      </c>
      <c r="AE147" s="211"/>
      <c r="AF147" s="384"/>
      <c r="AG147" s="425">
        <v>90.25</v>
      </c>
      <c r="AH147" s="233"/>
      <c r="AI147" s="233">
        <f t="shared" si="39"/>
        <v>34.244821000000002</v>
      </c>
      <c r="AJ147" s="211"/>
      <c r="AK147" s="384"/>
      <c r="AL147" s="138">
        <v>76.510000000000005</v>
      </c>
      <c r="AM147" s="233"/>
      <c r="AN147" s="233">
        <f t="shared" si="40"/>
        <v>29.031260440000001</v>
      </c>
      <c r="AO147" s="211"/>
      <c r="AP147" s="390"/>
      <c r="AQ147" s="391">
        <v>0</v>
      </c>
      <c r="AR147" s="233"/>
      <c r="AS147" s="233">
        <f t="shared" si="41"/>
        <v>0</v>
      </c>
      <c r="AT147" s="211"/>
      <c r="AU147" s="384"/>
      <c r="AV147" s="269">
        <v>0</v>
      </c>
      <c r="AW147" s="233"/>
      <c r="AX147" s="233">
        <f t="shared" si="42"/>
        <v>0</v>
      </c>
      <c r="AY147" s="211"/>
      <c r="AZ147" s="384"/>
      <c r="BA147" s="269">
        <v>0</v>
      </c>
      <c r="BB147" s="233"/>
      <c r="BC147" s="233">
        <f t="shared" si="43"/>
        <v>0</v>
      </c>
      <c r="BD147" s="211"/>
      <c r="BE147" s="384"/>
      <c r="BF147" s="211"/>
      <c r="BG147" s="392">
        <v>379444</v>
      </c>
    </row>
    <row r="148" spans="1:59" ht="12.75">
      <c r="A148" s="213" t="s">
        <v>294</v>
      </c>
      <c r="B148" s="434"/>
      <c r="C148" s="435">
        <v>3.7</v>
      </c>
      <c r="D148" s="233"/>
      <c r="E148" s="233">
        <f t="shared" si="33"/>
        <v>51.361279900000007</v>
      </c>
      <c r="F148" s="211"/>
      <c r="G148" s="384"/>
      <c r="H148" s="269">
        <v>1.32</v>
      </c>
      <c r="I148" s="233"/>
      <c r="J148" s="233">
        <f t="shared" si="34"/>
        <v>18.323483639999999</v>
      </c>
      <c r="K148" s="211"/>
      <c r="L148" s="384"/>
      <c r="M148" s="269">
        <v>9.69</v>
      </c>
      <c r="N148" s="233"/>
      <c r="O148" s="233">
        <f t="shared" si="35"/>
        <v>134.51102763</v>
      </c>
      <c r="P148" s="211"/>
      <c r="Q148" s="384"/>
      <c r="R148" s="269">
        <v>2.46</v>
      </c>
      <c r="S148" s="233"/>
      <c r="T148" s="233">
        <f t="shared" si="36"/>
        <v>34.148310420000001</v>
      </c>
      <c r="U148" s="211"/>
      <c r="V148" s="384"/>
      <c r="W148" s="269">
        <v>29.28</v>
      </c>
      <c r="X148" s="233"/>
      <c r="Y148" s="233">
        <f t="shared" si="37"/>
        <v>406.44818256000002</v>
      </c>
      <c r="Z148" s="211"/>
      <c r="AA148" s="384"/>
      <c r="AB148" s="391">
        <v>42.69</v>
      </c>
      <c r="AC148" s="233"/>
      <c r="AD148" s="233">
        <f t="shared" si="38"/>
        <v>592.59811863000004</v>
      </c>
      <c r="AE148" s="211"/>
      <c r="AF148" s="384"/>
      <c r="AG148" s="391">
        <v>30.3</v>
      </c>
      <c r="AH148" s="233"/>
      <c r="AI148" s="233">
        <f t="shared" si="39"/>
        <v>420.60723810000002</v>
      </c>
      <c r="AJ148" s="211"/>
      <c r="AK148" s="384"/>
      <c r="AL148" s="391">
        <v>26.25</v>
      </c>
      <c r="AM148" s="233"/>
      <c r="AN148" s="233">
        <f t="shared" si="40"/>
        <v>364.38745875000001</v>
      </c>
      <c r="AO148" s="211"/>
      <c r="AP148" s="390"/>
      <c r="AQ148" s="391">
        <v>11.2</v>
      </c>
      <c r="AR148" s="233"/>
      <c r="AS148" s="233">
        <f t="shared" si="41"/>
        <v>155.47198239999997</v>
      </c>
      <c r="AT148" s="211"/>
      <c r="AU148" s="384"/>
      <c r="AV148" s="269">
        <v>254.22</v>
      </c>
      <c r="AW148" s="233"/>
      <c r="AX148" s="233">
        <f t="shared" si="42"/>
        <v>3528.9363719399998</v>
      </c>
      <c r="AY148" s="211"/>
      <c r="AZ148" s="384"/>
      <c r="BA148" s="269">
        <v>0.2</v>
      </c>
      <c r="BB148" s="233"/>
      <c r="BC148" s="233">
        <f t="shared" si="43"/>
        <v>2.7762854000000003</v>
      </c>
      <c r="BD148" s="211"/>
      <c r="BE148" s="384"/>
      <c r="BF148" s="211"/>
      <c r="BG148" s="392">
        <v>13881427</v>
      </c>
    </row>
    <row r="149" spans="1:59" ht="12.75">
      <c r="A149" s="213" t="s">
        <v>295</v>
      </c>
      <c r="B149" s="434"/>
      <c r="C149" s="435">
        <v>2.4</v>
      </c>
      <c r="D149" s="233"/>
      <c r="E149" s="233">
        <f t="shared" si="33"/>
        <v>3153.5369111999998</v>
      </c>
      <c r="F149" s="211"/>
      <c r="G149" s="384"/>
      <c r="H149" s="269">
        <v>22.72</v>
      </c>
      <c r="I149" s="233"/>
      <c r="J149" s="233">
        <f t="shared" si="34"/>
        <v>29853.482759359998</v>
      </c>
      <c r="K149" s="211"/>
      <c r="L149" s="384"/>
      <c r="M149" s="269">
        <v>48.06</v>
      </c>
      <c r="N149" s="233"/>
      <c r="O149" s="233">
        <f t="shared" si="35"/>
        <v>63149.576646780006</v>
      </c>
      <c r="P149" s="211"/>
      <c r="Q149" s="384"/>
      <c r="R149" s="269">
        <v>13.72</v>
      </c>
      <c r="S149" s="233"/>
      <c r="T149" s="233">
        <f t="shared" si="36"/>
        <v>18027.71934236</v>
      </c>
      <c r="U149" s="211"/>
      <c r="V149" s="384"/>
      <c r="W149" s="269">
        <v>64.489999999999995</v>
      </c>
      <c r="X149" s="233"/>
      <c r="Y149" s="233">
        <f t="shared" si="37"/>
        <v>84738.164751370001</v>
      </c>
      <c r="Z149" s="211"/>
      <c r="AA149" s="384"/>
      <c r="AB149" s="391">
        <v>38.17</v>
      </c>
      <c r="AC149" s="233"/>
      <c r="AD149" s="233">
        <f t="shared" si="38"/>
        <v>50154.376625209996</v>
      </c>
      <c r="AE149" s="211"/>
      <c r="AF149" s="384"/>
      <c r="AG149" s="391">
        <v>377.17</v>
      </c>
      <c r="AH149" s="233"/>
      <c r="AI149" s="233">
        <f t="shared" si="39"/>
        <v>495591.46533221001</v>
      </c>
      <c r="AJ149" s="211"/>
      <c r="AK149" s="384"/>
      <c r="AL149" s="391">
        <v>93.92</v>
      </c>
      <c r="AM149" s="233"/>
      <c r="AN149" s="233">
        <f t="shared" si="40"/>
        <v>123408.41112496001</v>
      </c>
      <c r="AO149" s="211"/>
      <c r="AP149" s="390"/>
      <c r="AQ149" s="391">
        <v>10.94</v>
      </c>
      <c r="AR149" s="233"/>
      <c r="AS149" s="233">
        <f t="shared" si="41"/>
        <v>14374.872420219999</v>
      </c>
      <c r="AT149" s="211"/>
      <c r="AU149" s="384"/>
      <c r="AV149" s="269">
        <v>194.59</v>
      </c>
      <c r="AW149" s="233"/>
      <c r="AX149" s="233">
        <f t="shared" si="42"/>
        <v>255686.14481267001</v>
      </c>
      <c r="AY149" s="211"/>
      <c r="AZ149" s="384"/>
      <c r="BA149" s="269">
        <v>2.5099999999999998</v>
      </c>
      <c r="BB149" s="233"/>
      <c r="BC149" s="233">
        <f t="shared" si="43"/>
        <v>3298.0740196299998</v>
      </c>
      <c r="BD149" s="211"/>
      <c r="BE149" s="384"/>
      <c r="BF149" s="211"/>
      <c r="BG149" s="392">
        <v>1313973713</v>
      </c>
    </row>
    <row r="150" spans="1:59" ht="12.75">
      <c r="A150" s="213" t="s">
        <v>296</v>
      </c>
      <c r="B150" s="434"/>
      <c r="C150" s="435">
        <v>3.5</v>
      </c>
      <c r="D150" s="233"/>
      <c r="E150" s="233">
        <f t="shared" si="33"/>
        <v>859.0845865</v>
      </c>
      <c r="F150" s="211"/>
      <c r="G150" s="384"/>
      <c r="H150" s="269">
        <v>5.57</v>
      </c>
      <c r="I150" s="233"/>
      <c r="J150" s="233">
        <f t="shared" si="34"/>
        <v>1367.17175623</v>
      </c>
      <c r="K150" s="211"/>
      <c r="L150" s="384"/>
      <c r="M150" s="269">
        <v>4.51</v>
      </c>
      <c r="N150" s="233"/>
      <c r="O150" s="233">
        <f t="shared" si="35"/>
        <v>1106.9918528899998</v>
      </c>
      <c r="P150" s="211"/>
      <c r="Q150" s="384"/>
      <c r="R150" s="269">
        <v>7.92</v>
      </c>
      <c r="S150" s="233"/>
      <c r="T150" s="233">
        <f t="shared" si="36"/>
        <v>1943.98569288</v>
      </c>
      <c r="U150" s="211"/>
      <c r="V150" s="384"/>
      <c r="W150" s="269">
        <v>69.05</v>
      </c>
      <c r="X150" s="233"/>
      <c r="Y150" s="233">
        <f t="shared" si="37"/>
        <v>16948.51162795</v>
      </c>
      <c r="Z150" s="211"/>
      <c r="AA150" s="384"/>
      <c r="AB150" s="391">
        <v>44.67</v>
      </c>
      <c r="AC150" s="233"/>
      <c r="AD150" s="233">
        <f t="shared" si="38"/>
        <v>10964.373851130002</v>
      </c>
      <c r="AE150" s="211"/>
      <c r="AF150" s="384"/>
      <c r="AG150" s="391">
        <v>43.73</v>
      </c>
      <c r="AH150" s="233"/>
      <c r="AI150" s="233">
        <f t="shared" si="39"/>
        <v>10733.648276469999</v>
      </c>
      <c r="AJ150" s="211"/>
      <c r="AK150" s="384"/>
      <c r="AL150" s="391">
        <v>58.38</v>
      </c>
      <c r="AM150" s="233"/>
      <c r="AN150" s="233">
        <f t="shared" si="40"/>
        <v>14329.530902819999</v>
      </c>
      <c r="AO150" s="211"/>
      <c r="AP150" s="390"/>
      <c r="AQ150" s="391">
        <v>7.97</v>
      </c>
      <c r="AR150" s="233"/>
      <c r="AS150" s="233">
        <f t="shared" si="41"/>
        <v>1956.2583298299999</v>
      </c>
      <c r="AT150" s="211"/>
      <c r="AU150" s="384"/>
      <c r="AV150" s="269">
        <v>259.45</v>
      </c>
      <c r="AW150" s="233"/>
      <c r="AX150" s="233">
        <f t="shared" si="42"/>
        <v>63682.713133549994</v>
      </c>
      <c r="AY150" s="211"/>
      <c r="AZ150" s="384"/>
      <c r="BA150" s="269">
        <v>0.61</v>
      </c>
      <c r="BB150" s="233"/>
      <c r="BC150" s="233">
        <f t="shared" si="43"/>
        <v>149.72617079</v>
      </c>
      <c r="BD150" s="211"/>
      <c r="BE150" s="384"/>
      <c r="BF150" s="211"/>
      <c r="BG150" s="392">
        <v>245452739</v>
      </c>
    </row>
    <row r="151" spans="1:59" ht="12.75">
      <c r="A151" s="213" t="s">
        <v>297</v>
      </c>
      <c r="B151" s="434"/>
      <c r="C151" s="435">
        <v>24.9</v>
      </c>
      <c r="D151" s="233"/>
      <c r="E151" s="233">
        <f t="shared" si="33"/>
        <v>3173.8439138999997</v>
      </c>
      <c r="F151" s="211"/>
      <c r="G151" s="84"/>
      <c r="H151" s="269">
        <v>19.64</v>
      </c>
      <c r="I151" s="233"/>
      <c r="J151" s="233">
        <f t="shared" si="34"/>
        <v>2503.3853200399999</v>
      </c>
      <c r="K151" s="211"/>
      <c r="L151" s="84"/>
      <c r="M151" s="269">
        <v>31.29</v>
      </c>
      <c r="N151" s="233"/>
      <c r="O151" s="233">
        <f t="shared" si="35"/>
        <v>3988.33638819</v>
      </c>
      <c r="P151" s="211"/>
      <c r="Q151" s="84"/>
      <c r="R151" s="269">
        <v>18.78</v>
      </c>
      <c r="S151" s="233"/>
      <c r="T151" s="233">
        <f t="shared" si="36"/>
        <v>2393.7666145799999</v>
      </c>
      <c r="U151" s="211"/>
      <c r="V151" s="84"/>
      <c r="W151" s="269">
        <v>69.05</v>
      </c>
      <c r="X151" s="233"/>
      <c r="Y151" s="233">
        <f t="shared" si="37"/>
        <v>8801.3623395499999</v>
      </c>
      <c r="Z151" s="211"/>
      <c r="AA151" s="84"/>
      <c r="AB151" s="391">
        <v>45.49</v>
      </c>
      <c r="AC151" s="233"/>
      <c r="AD151" s="233">
        <f t="shared" si="38"/>
        <v>5798.3196643900001</v>
      </c>
      <c r="AE151" s="211"/>
      <c r="AF151" s="84"/>
      <c r="AG151" s="391">
        <v>91.1</v>
      </c>
      <c r="AH151" s="233"/>
      <c r="AI151" s="233">
        <f t="shared" si="39"/>
        <v>11611.934962099998</v>
      </c>
      <c r="AJ151" s="211"/>
      <c r="AK151" s="84"/>
      <c r="AL151" s="391">
        <v>52.85</v>
      </c>
      <c r="AM151" s="233"/>
      <c r="AN151" s="233">
        <f t="shared" si="40"/>
        <v>6736.45184135</v>
      </c>
      <c r="AO151" s="211"/>
      <c r="AP151" s="436"/>
      <c r="AQ151" s="391">
        <v>10.32</v>
      </c>
      <c r="AR151" s="233"/>
      <c r="AS151" s="233">
        <f t="shared" si="41"/>
        <v>1315.42446552</v>
      </c>
      <c r="AT151" s="211"/>
      <c r="AU151" s="84"/>
      <c r="AV151" s="269">
        <v>139.66</v>
      </c>
      <c r="AW151" s="233"/>
      <c r="AX151" s="233">
        <f t="shared" si="42"/>
        <v>17801.567912259998</v>
      </c>
      <c r="AY151" s="211"/>
      <c r="AZ151" s="84"/>
      <c r="BA151" s="269">
        <v>0.95</v>
      </c>
      <c r="BB151" s="233"/>
      <c r="BC151" s="233">
        <f t="shared" si="43"/>
        <v>121.09043044999999</v>
      </c>
      <c r="BD151" s="211"/>
      <c r="BE151" s="84"/>
      <c r="BF151" s="211"/>
      <c r="BG151" s="392">
        <v>127463611</v>
      </c>
    </row>
    <row r="152" spans="1:59" ht="12.75">
      <c r="A152" s="213" t="s">
        <v>298</v>
      </c>
      <c r="B152" s="434"/>
      <c r="C152" s="435">
        <v>29.8</v>
      </c>
      <c r="D152" s="233"/>
      <c r="E152" s="233">
        <f t="shared" si="33"/>
        <v>726.6985684</v>
      </c>
      <c r="F152" s="211"/>
      <c r="G152" s="84"/>
      <c r="H152" s="269">
        <v>17.88</v>
      </c>
      <c r="I152" s="233"/>
      <c r="J152" s="233">
        <f t="shared" si="34"/>
        <v>436.01914103999997</v>
      </c>
      <c r="K152" s="211"/>
      <c r="L152" s="84"/>
      <c r="M152" s="269">
        <v>14.75</v>
      </c>
      <c r="N152" s="233"/>
      <c r="O152" s="233">
        <f t="shared" si="35"/>
        <v>359.69140549999997</v>
      </c>
      <c r="P152" s="211"/>
      <c r="Q152" s="84"/>
      <c r="R152" s="269">
        <v>39.04</v>
      </c>
      <c r="S152" s="233"/>
      <c r="T152" s="233">
        <f t="shared" si="36"/>
        <v>952.02389631999995</v>
      </c>
      <c r="U152" s="211"/>
      <c r="V152" s="84"/>
      <c r="W152" s="269">
        <v>18.5</v>
      </c>
      <c r="X152" s="233"/>
      <c r="Y152" s="233">
        <f t="shared" si="37"/>
        <v>451.138373</v>
      </c>
      <c r="Z152" s="211"/>
      <c r="AA152" s="84"/>
      <c r="AB152" s="391">
        <v>57.62</v>
      </c>
      <c r="AC152" s="233"/>
      <c r="AD152" s="233">
        <f t="shared" si="38"/>
        <v>1405.1131379600001</v>
      </c>
      <c r="AE152" s="211"/>
      <c r="AF152" s="84"/>
      <c r="AG152" s="391">
        <v>66.45</v>
      </c>
      <c r="AH152" s="233"/>
      <c r="AI152" s="233">
        <f t="shared" si="39"/>
        <v>1620.4402641000001</v>
      </c>
      <c r="AJ152" s="211"/>
      <c r="AK152" s="84"/>
      <c r="AL152" s="391">
        <v>45.29</v>
      </c>
      <c r="AM152" s="233"/>
      <c r="AN152" s="233">
        <f t="shared" si="40"/>
        <v>1104.43550882</v>
      </c>
      <c r="AO152" s="211"/>
      <c r="AP152" s="436"/>
      <c r="AQ152" s="138">
        <v>4.4800000000000004</v>
      </c>
      <c r="AR152" s="233"/>
      <c r="AS152" s="233">
        <f t="shared" si="41"/>
        <v>109.24864384</v>
      </c>
      <c r="AT152" s="211"/>
      <c r="AU152" s="84"/>
      <c r="AV152" s="269">
        <v>175.12</v>
      </c>
      <c r="AW152" s="233"/>
      <c r="AX152" s="233">
        <f t="shared" si="42"/>
        <v>4270.4514529600001</v>
      </c>
      <c r="AY152" s="211"/>
      <c r="AZ152" s="84"/>
      <c r="BA152" s="269">
        <v>0.95</v>
      </c>
      <c r="BB152" s="233"/>
      <c r="BC152" s="233">
        <f t="shared" si="43"/>
        <v>23.166565099999996</v>
      </c>
      <c r="BD152" s="211"/>
      <c r="BE152" s="84"/>
      <c r="BF152" s="211"/>
      <c r="BG152" s="392">
        <v>24385858</v>
      </c>
    </row>
    <row r="153" spans="1:59" ht="12.75">
      <c r="A153" s="213" t="s">
        <v>299</v>
      </c>
      <c r="B153" s="434"/>
      <c r="C153" s="435">
        <v>10.199999999999999</v>
      </c>
      <c r="D153" s="233"/>
      <c r="E153" s="233">
        <f t="shared" si="33"/>
        <v>483.30285659999998</v>
      </c>
      <c r="F153" s="211"/>
      <c r="G153" s="84"/>
      <c r="H153" s="269">
        <v>5.4</v>
      </c>
      <c r="I153" s="233"/>
      <c r="J153" s="233">
        <f t="shared" si="34"/>
        <v>255.86621820000002</v>
      </c>
      <c r="K153" s="211"/>
      <c r="L153" s="84"/>
      <c r="M153" s="269">
        <v>18.88</v>
      </c>
      <c r="N153" s="233"/>
      <c r="O153" s="233">
        <f t="shared" si="35"/>
        <v>894.58411103999993</v>
      </c>
      <c r="P153" s="211"/>
      <c r="Q153" s="84"/>
      <c r="R153" s="269">
        <v>29.1</v>
      </c>
      <c r="S153" s="233"/>
      <c r="T153" s="233">
        <f t="shared" si="36"/>
        <v>1378.8346202999999</v>
      </c>
      <c r="U153" s="211"/>
      <c r="V153" s="84"/>
      <c r="W153" s="269">
        <v>13.62</v>
      </c>
      <c r="X153" s="233"/>
      <c r="Y153" s="233">
        <f t="shared" si="37"/>
        <v>645.35146145999988</v>
      </c>
      <c r="Z153" s="211"/>
      <c r="AA153" s="84"/>
      <c r="AB153" s="391">
        <v>47.32</v>
      </c>
      <c r="AC153" s="233"/>
      <c r="AD153" s="233">
        <f t="shared" si="38"/>
        <v>2242.14619356</v>
      </c>
      <c r="AE153" s="211"/>
      <c r="AF153" s="84"/>
      <c r="AG153" s="391">
        <v>82.79</v>
      </c>
      <c r="AH153" s="233"/>
      <c r="AI153" s="233">
        <f t="shared" si="39"/>
        <v>3922.8081860700004</v>
      </c>
      <c r="AJ153" s="211"/>
      <c r="AK153" s="84"/>
      <c r="AL153" s="391">
        <v>39.32</v>
      </c>
      <c r="AM153" s="233"/>
      <c r="AN153" s="233">
        <f t="shared" si="40"/>
        <v>1863.08512956</v>
      </c>
      <c r="AO153" s="211"/>
      <c r="AP153" s="436"/>
      <c r="AQ153" s="391">
        <v>17.670000000000002</v>
      </c>
      <c r="AR153" s="233"/>
      <c r="AS153" s="233">
        <f t="shared" si="41"/>
        <v>837.25112511000009</v>
      </c>
      <c r="AT153" s="211"/>
      <c r="AU153" s="84"/>
      <c r="AV153" s="269">
        <v>213.13</v>
      </c>
      <c r="AW153" s="233"/>
      <c r="AX153" s="233">
        <f t="shared" si="42"/>
        <v>10098.660571289998</v>
      </c>
      <c r="AY153" s="211"/>
      <c r="AZ153" s="84"/>
      <c r="BA153" s="269">
        <v>1.62</v>
      </c>
      <c r="BB153" s="233"/>
      <c r="BC153" s="233">
        <f t="shared" si="43"/>
        <v>76.759865460000015</v>
      </c>
      <c r="BD153" s="211"/>
      <c r="BE153" s="84"/>
      <c r="BF153" s="211"/>
      <c r="BG153" s="392">
        <v>47382633</v>
      </c>
    </row>
    <row r="154" spans="1:59" ht="12.75">
      <c r="A154" s="213" t="s">
        <v>300</v>
      </c>
      <c r="B154" s="434"/>
      <c r="C154" s="435">
        <v>137.25</v>
      </c>
      <c r="D154" s="233"/>
      <c r="E154" s="233">
        <f t="shared" si="33"/>
        <v>559.45021499999996</v>
      </c>
      <c r="F154" s="211"/>
      <c r="G154" s="384"/>
      <c r="H154" s="429">
        <v>10.42</v>
      </c>
      <c r="I154" s="233"/>
      <c r="J154" s="233">
        <f t="shared" si="34"/>
        <v>42.473378799999999</v>
      </c>
      <c r="K154" s="211"/>
      <c r="L154" s="384"/>
      <c r="M154" s="269">
        <v>64.27</v>
      </c>
      <c r="N154" s="233"/>
      <c r="O154" s="233">
        <f t="shared" si="35"/>
        <v>261.97351779999997</v>
      </c>
      <c r="P154" s="211"/>
      <c r="Q154" s="384"/>
      <c r="R154" s="269">
        <v>25.51</v>
      </c>
      <c r="S154" s="233"/>
      <c r="T154" s="233">
        <f t="shared" si="36"/>
        <v>103.98233140000001</v>
      </c>
      <c r="U154" s="211"/>
      <c r="V154" s="384"/>
      <c r="W154" s="269">
        <v>49.85</v>
      </c>
      <c r="X154" s="233"/>
      <c r="Y154" s="233">
        <f t="shared" si="37"/>
        <v>203.19557900000001</v>
      </c>
      <c r="Z154" s="211"/>
      <c r="AA154" s="384"/>
      <c r="AB154" s="387">
        <v>24.73</v>
      </c>
      <c r="AC154" s="233"/>
      <c r="AD154" s="233">
        <f t="shared" si="38"/>
        <v>100.8029422</v>
      </c>
      <c r="AE154" s="211"/>
      <c r="AF154" s="384"/>
      <c r="AG154" s="387">
        <v>98.63</v>
      </c>
      <c r="AH154" s="233"/>
      <c r="AI154" s="233">
        <f t="shared" si="39"/>
        <v>402.02968820000001</v>
      </c>
      <c r="AJ154" s="211"/>
      <c r="AK154" s="384"/>
      <c r="AL154" s="391">
        <v>63.34</v>
      </c>
      <c r="AM154" s="233"/>
      <c r="AN154" s="233">
        <f t="shared" si="40"/>
        <v>258.18270760000001</v>
      </c>
      <c r="AO154" s="211"/>
      <c r="AP154" s="390"/>
      <c r="AQ154" s="391">
        <v>7.24</v>
      </c>
      <c r="AR154" s="233"/>
      <c r="AS154" s="233">
        <f t="shared" si="41"/>
        <v>29.5112536</v>
      </c>
      <c r="AT154" s="211"/>
      <c r="AU154" s="384"/>
      <c r="AV154" s="269">
        <v>112.78</v>
      </c>
      <c r="AW154" s="233"/>
      <c r="AX154" s="233">
        <f t="shared" si="42"/>
        <v>459.70706919999998</v>
      </c>
      <c r="AY154" s="211"/>
      <c r="AZ154" s="384"/>
      <c r="BA154" s="269">
        <v>2.23</v>
      </c>
      <c r="BB154" s="233"/>
      <c r="BC154" s="233">
        <f t="shared" si="43"/>
        <v>9.0897921999999998</v>
      </c>
      <c r="BD154" s="211"/>
      <c r="BE154" s="384"/>
      <c r="BF154" s="211"/>
      <c r="BG154" s="392">
        <v>4076140</v>
      </c>
    </row>
    <row r="155" spans="1:59" ht="12.75">
      <c r="A155" s="213" t="s">
        <v>301</v>
      </c>
      <c r="B155" s="434"/>
      <c r="C155" s="435">
        <v>0.2</v>
      </c>
      <c r="D155" s="233"/>
      <c r="E155" s="233">
        <f t="shared" si="33"/>
        <v>4.6226037999999994</v>
      </c>
      <c r="F155" s="211"/>
      <c r="G155" s="84"/>
      <c r="H155" s="269">
        <v>4.5999999999999996</v>
      </c>
      <c r="I155" s="233"/>
      <c r="J155" s="233">
        <f t="shared" si="34"/>
        <v>106.31988739999998</v>
      </c>
      <c r="K155" s="211"/>
      <c r="L155" s="84"/>
      <c r="M155" s="269">
        <v>11.75</v>
      </c>
      <c r="N155" s="233"/>
      <c r="O155" s="233">
        <f t="shared" si="35"/>
        <v>271.57797325000001</v>
      </c>
      <c r="P155" s="211"/>
      <c r="Q155" s="84"/>
      <c r="R155" s="269">
        <v>1.67</v>
      </c>
      <c r="S155" s="233"/>
      <c r="T155" s="233">
        <f t="shared" si="36"/>
        <v>38.598741729999993</v>
      </c>
      <c r="U155" s="211"/>
      <c r="V155" s="84"/>
      <c r="W155" s="269">
        <v>61.28</v>
      </c>
      <c r="X155" s="233"/>
      <c r="Y155" s="233">
        <f t="shared" si="37"/>
        <v>1416.3658043199998</v>
      </c>
      <c r="Z155" s="211"/>
      <c r="AA155" s="84"/>
      <c r="AB155" s="391">
        <v>11.4</v>
      </c>
      <c r="AC155" s="233"/>
      <c r="AD155" s="233">
        <f t="shared" si="38"/>
        <v>263.48841659999999</v>
      </c>
      <c r="AE155" s="211"/>
      <c r="AF155" s="84"/>
      <c r="AG155" s="391">
        <v>126.22</v>
      </c>
      <c r="AH155" s="233"/>
      <c r="AI155" s="233">
        <f t="shared" si="39"/>
        <v>2917.3252581799998</v>
      </c>
      <c r="AJ155" s="211"/>
      <c r="AK155" s="84"/>
      <c r="AL155" s="391">
        <v>57.41</v>
      </c>
      <c r="AM155" s="233"/>
      <c r="AN155" s="233">
        <f t="shared" si="40"/>
        <v>1326.91842079</v>
      </c>
      <c r="AO155" s="211"/>
      <c r="AP155" s="436"/>
      <c r="AQ155" s="391">
        <v>13.33</v>
      </c>
      <c r="AR155" s="233"/>
      <c r="AS155" s="233">
        <f t="shared" si="41"/>
        <v>308.09654326999998</v>
      </c>
      <c r="AT155" s="211"/>
      <c r="AU155" s="84"/>
      <c r="AV155" s="269">
        <v>176.96</v>
      </c>
      <c r="AW155" s="233"/>
      <c r="AX155" s="233">
        <f t="shared" si="42"/>
        <v>4090.0798422400003</v>
      </c>
      <c r="AY155" s="211"/>
      <c r="AZ155" s="84"/>
      <c r="BA155" s="269">
        <v>0.6</v>
      </c>
      <c r="BB155" s="233"/>
      <c r="BC155" s="233">
        <f t="shared" si="43"/>
        <v>13.867811400000001</v>
      </c>
      <c r="BD155" s="211"/>
      <c r="BE155" s="84"/>
      <c r="BF155" s="211"/>
      <c r="BG155" s="392">
        <v>23113019</v>
      </c>
    </row>
    <row r="156" spans="1:59" ht="12.75">
      <c r="A156" s="213" t="s">
        <v>302</v>
      </c>
      <c r="B156" s="434"/>
      <c r="C156" s="435"/>
      <c r="D156" s="233"/>
      <c r="E156" s="233">
        <f t="shared" si="33"/>
        <v>0</v>
      </c>
      <c r="F156" s="211"/>
      <c r="G156" s="384"/>
      <c r="H156" s="269"/>
      <c r="I156" s="233"/>
      <c r="J156" s="233">
        <f t="shared" si="34"/>
        <v>0</v>
      </c>
      <c r="K156" s="211"/>
      <c r="L156" s="384"/>
      <c r="M156" s="269">
        <v>60.3</v>
      </c>
      <c r="N156" s="233"/>
      <c r="O156" s="233">
        <f t="shared" si="35"/>
        <v>341.9338032</v>
      </c>
      <c r="P156" s="211"/>
      <c r="Q156" s="384"/>
      <c r="R156" s="269">
        <v>3.36</v>
      </c>
      <c r="S156" s="233"/>
      <c r="T156" s="233">
        <f t="shared" si="36"/>
        <v>19.053027839999999</v>
      </c>
      <c r="U156" s="211"/>
      <c r="V156" s="384"/>
      <c r="W156" s="269">
        <v>200.83</v>
      </c>
      <c r="X156" s="233"/>
      <c r="Y156" s="233">
        <f t="shared" si="37"/>
        <v>1138.8153515199999</v>
      </c>
      <c r="Z156" s="211"/>
      <c r="AA156" s="384"/>
      <c r="AB156" s="387">
        <v>0</v>
      </c>
      <c r="AC156" s="233"/>
      <c r="AD156" s="233">
        <f t="shared" si="38"/>
        <v>0</v>
      </c>
      <c r="AE156" s="211"/>
      <c r="AF156" s="384"/>
      <c r="AG156" s="425"/>
      <c r="AH156" s="233"/>
      <c r="AI156" s="233">
        <f t="shared" si="39"/>
        <v>0</v>
      </c>
      <c r="AJ156" s="211"/>
      <c r="AK156" s="384"/>
      <c r="AL156" s="391">
        <v>0</v>
      </c>
      <c r="AM156" s="233"/>
      <c r="AN156" s="233">
        <f t="shared" si="40"/>
        <v>0</v>
      </c>
      <c r="AO156" s="211"/>
      <c r="AP156" s="390"/>
      <c r="AQ156" s="391">
        <v>0.66</v>
      </c>
      <c r="AR156" s="233"/>
      <c r="AS156" s="233">
        <f t="shared" si="41"/>
        <v>3.7425590400000002</v>
      </c>
      <c r="AT156" s="211"/>
      <c r="AU156" s="384"/>
      <c r="AV156" s="269">
        <v>69.45</v>
      </c>
      <c r="AW156" s="233"/>
      <c r="AX156" s="233">
        <f t="shared" si="42"/>
        <v>393.8192808</v>
      </c>
      <c r="AY156" s="211"/>
      <c r="AZ156" s="384"/>
      <c r="BA156" s="269">
        <v>0.62</v>
      </c>
      <c r="BB156" s="233"/>
      <c r="BC156" s="233">
        <f t="shared" si="43"/>
        <v>3.5157372799999997</v>
      </c>
      <c r="BD156" s="211"/>
      <c r="BE156" s="384"/>
      <c r="BF156" s="211"/>
      <c r="BG156" s="392">
        <v>5670544</v>
      </c>
    </row>
    <row r="157" spans="1:59" ht="12.75">
      <c r="A157" s="213" t="s">
        <v>303</v>
      </c>
      <c r="B157" s="434"/>
      <c r="C157" s="435">
        <v>13.2</v>
      </c>
      <c r="D157" s="233"/>
      <c r="E157" s="233">
        <f t="shared" si="33"/>
        <v>1180.9865363999997</v>
      </c>
      <c r="F157" s="211"/>
      <c r="G157" s="84"/>
      <c r="H157" s="269">
        <v>4.05</v>
      </c>
      <c r="I157" s="233"/>
      <c r="J157" s="233">
        <f t="shared" si="34"/>
        <v>362.34814184999999</v>
      </c>
      <c r="K157" s="211"/>
      <c r="L157" s="84"/>
      <c r="M157" s="269">
        <v>24.21</v>
      </c>
      <c r="N157" s="233"/>
      <c r="O157" s="233">
        <f t="shared" si="35"/>
        <v>2166.03667017</v>
      </c>
      <c r="P157" s="211"/>
      <c r="Q157" s="84"/>
      <c r="R157" s="269">
        <v>12.83</v>
      </c>
      <c r="S157" s="233"/>
      <c r="T157" s="233">
        <f t="shared" si="36"/>
        <v>1147.88312591</v>
      </c>
      <c r="U157" s="211"/>
      <c r="V157" s="84"/>
      <c r="W157" s="269">
        <v>17.18</v>
      </c>
      <c r="X157" s="233"/>
      <c r="Y157" s="233">
        <f t="shared" si="37"/>
        <v>1537.07187086</v>
      </c>
      <c r="Z157" s="211"/>
      <c r="AA157" s="84"/>
      <c r="AB157" s="391">
        <v>28.14</v>
      </c>
      <c r="AC157" s="233"/>
      <c r="AD157" s="233">
        <f t="shared" si="38"/>
        <v>2517.6485707800002</v>
      </c>
      <c r="AE157" s="211"/>
      <c r="AF157" s="84"/>
      <c r="AG157" s="391">
        <v>62.56</v>
      </c>
      <c r="AH157" s="233"/>
      <c r="AI157" s="233">
        <f t="shared" si="39"/>
        <v>5597.1604331199997</v>
      </c>
      <c r="AJ157" s="211"/>
      <c r="AK157" s="84"/>
      <c r="AL157" s="391">
        <v>105.7</v>
      </c>
      <c r="AM157" s="233"/>
      <c r="AN157" s="233">
        <f t="shared" si="40"/>
        <v>9456.8391589000003</v>
      </c>
      <c r="AO157" s="211"/>
      <c r="AP157" s="436"/>
      <c r="AQ157" s="391">
        <v>2.13</v>
      </c>
      <c r="AR157" s="233"/>
      <c r="AS157" s="233">
        <f t="shared" si="41"/>
        <v>190.56828200999999</v>
      </c>
      <c r="AT157" s="211"/>
      <c r="AU157" s="84"/>
      <c r="AV157" s="269">
        <v>229.95</v>
      </c>
      <c r="AW157" s="233"/>
      <c r="AX157" s="233">
        <f t="shared" si="42"/>
        <v>20573.322276149996</v>
      </c>
      <c r="AY157" s="211"/>
      <c r="AZ157" s="84"/>
      <c r="BA157" s="269">
        <v>1.68</v>
      </c>
      <c r="BB157" s="233"/>
      <c r="BC157" s="233">
        <f t="shared" si="43"/>
        <v>150.30737735999998</v>
      </c>
      <c r="BD157" s="211"/>
      <c r="BE157" s="84"/>
      <c r="BF157" s="211"/>
      <c r="BG157" s="392">
        <v>89468677</v>
      </c>
    </row>
    <row r="158" spans="1:59" ht="12.75">
      <c r="A158" s="213" t="s">
        <v>304</v>
      </c>
      <c r="B158" s="434"/>
      <c r="C158" s="437">
        <v>0.56000000000000005</v>
      </c>
      <c r="D158" s="233"/>
      <c r="E158" s="233">
        <f t="shared" si="33"/>
        <v>27.354220880000003</v>
      </c>
      <c r="F158" s="211"/>
      <c r="G158" s="84"/>
      <c r="H158" s="269">
        <v>10.25</v>
      </c>
      <c r="I158" s="233"/>
      <c r="J158" s="233">
        <f t="shared" si="34"/>
        <v>500.67993575000003</v>
      </c>
      <c r="K158" s="211"/>
      <c r="L158" s="84"/>
      <c r="M158" s="269">
        <v>54.16</v>
      </c>
      <c r="N158" s="233"/>
      <c r="O158" s="233">
        <f t="shared" si="35"/>
        <v>2645.54393368</v>
      </c>
      <c r="P158" s="211"/>
      <c r="Q158" s="84"/>
      <c r="R158" s="269">
        <v>16.91</v>
      </c>
      <c r="S158" s="233"/>
      <c r="T158" s="233">
        <f t="shared" si="36"/>
        <v>825.99977692999994</v>
      </c>
      <c r="U158" s="211"/>
      <c r="V158" s="84"/>
      <c r="W158" s="269">
        <v>40.06</v>
      </c>
      <c r="X158" s="233"/>
      <c r="Y158" s="233">
        <f t="shared" si="37"/>
        <v>1956.80372938</v>
      </c>
      <c r="Z158" s="211"/>
      <c r="AA158" s="84"/>
      <c r="AB158" s="391">
        <v>54.97</v>
      </c>
      <c r="AC158" s="233"/>
      <c r="AD158" s="233">
        <f t="shared" si="38"/>
        <v>2685.1098603099999</v>
      </c>
      <c r="AE158" s="211"/>
      <c r="AF158" s="84"/>
      <c r="AG158" s="391">
        <v>197.13</v>
      </c>
      <c r="AH158" s="233"/>
      <c r="AI158" s="233">
        <f t="shared" si="39"/>
        <v>9629.1742179899993</v>
      </c>
      <c r="AJ158" s="211"/>
      <c r="AK158" s="84"/>
      <c r="AL158" s="391">
        <v>66.86</v>
      </c>
      <c r="AM158" s="233"/>
      <c r="AN158" s="233">
        <f t="shared" si="40"/>
        <v>3265.8985857800003</v>
      </c>
      <c r="AO158" s="211"/>
      <c r="AP158" s="436"/>
      <c r="AQ158" s="391">
        <v>8.0500000000000007</v>
      </c>
      <c r="AR158" s="233"/>
      <c r="AS158" s="233">
        <f t="shared" si="41"/>
        <v>393.21692515000001</v>
      </c>
      <c r="AT158" s="211"/>
      <c r="AU158" s="84"/>
      <c r="AV158" s="269">
        <v>187.62</v>
      </c>
      <c r="AW158" s="233"/>
      <c r="AX158" s="233">
        <f t="shared" si="42"/>
        <v>9164.6409312600008</v>
      </c>
      <c r="AY158" s="211"/>
      <c r="AZ158" s="84"/>
      <c r="BA158" s="269">
        <v>2.74</v>
      </c>
      <c r="BB158" s="233"/>
      <c r="BC158" s="233">
        <f t="shared" si="43"/>
        <v>133.84029502000001</v>
      </c>
      <c r="BD158" s="211"/>
      <c r="BE158" s="84"/>
      <c r="BF158" s="211"/>
      <c r="BG158" s="392">
        <v>48846823</v>
      </c>
    </row>
    <row r="159" spans="1:59" ht="12.75">
      <c r="A159" s="213" t="s">
        <v>305</v>
      </c>
      <c r="B159" s="434"/>
      <c r="C159" s="435">
        <v>2.5</v>
      </c>
      <c r="D159" s="233"/>
      <c r="E159" s="233">
        <f t="shared" si="33"/>
        <v>161.57898750000001</v>
      </c>
      <c r="F159" s="211"/>
      <c r="G159" s="84"/>
      <c r="H159" s="269">
        <v>12.36</v>
      </c>
      <c r="I159" s="233"/>
      <c r="J159" s="233">
        <f t="shared" si="34"/>
        <v>798.84651419999989</v>
      </c>
      <c r="K159" s="211"/>
      <c r="L159" s="84"/>
      <c r="M159" s="269">
        <v>15.62</v>
      </c>
      <c r="N159" s="233"/>
      <c r="O159" s="233">
        <f t="shared" si="35"/>
        <v>1009.5455138999999</v>
      </c>
      <c r="P159" s="211"/>
      <c r="Q159" s="84"/>
      <c r="R159" s="269">
        <v>13.26</v>
      </c>
      <c r="S159" s="233"/>
      <c r="T159" s="233">
        <f t="shared" si="36"/>
        <v>857.01494969999987</v>
      </c>
      <c r="U159" s="211"/>
      <c r="V159" s="84"/>
      <c r="W159" s="269">
        <v>9.9700000000000006</v>
      </c>
      <c r="X159" s="233"/>
      <c r="Y159" s="233">
        <f t="shared" si="37"/>
        <v>644.37700215000007</v>
      </c>
      <c r="Z159" s="211"/>
      <c r="AA159" s="84"/>
      <c r="AB159" s="391">
        <v>29.17</v>
      </c>
      <c r="AC159" s="233"/>
      <c r="AD159" s="233">
        <f t="shared" si="38"/>
        <v>1885.3036261500001</v>
      </c>
      <c r="AE159" s="211"/>
      <c r="AF159" s="84"/>
      <c r="AG159" s="391">
        <v>39.89</v>
      </c>
      <c r="AH159" s="233"/>
      <c r="AI159" s="233">
        <f t="shared" si="39"/>
        <v>2578.1543245500002</v>
      </c>
      <c r="AJ159" s="211"/>
      <c r="AK159" s="84"/>
      <c r="AL159" s="391">
        <v>103.12</v>
      </c>
      <c r="AM159" s="233"/>
      <c r="AN159" s="233">
        <f t="shared" si="40"/>
        <v>6664.810076400001</v>
      </c>
      <c r="AO159" s="211"/>
      <c r="AP159" s="436"/>
      <c r="AQ159" s="391">
        <v>5.41</v>
      </c>
      <c r="AR159" s="233"/>
      <c r="AS159" s="233">
        <f t="shared" si="41"/>
        <v>349.65692895000001</v>
      </c>
      <c r="AT159" s="211"/>
      <c r="AU159" s="84"/>
      <c r="AV159" s="269">
        <v>194.5</v>
      </c>
      <c r="AW159" s="233"/>
      <c r="AX159" s="233">
        <f t="shared" si="42"/>
        <v>12570.8452275</v>
      </c>
      <c r="AY159" s="211"/>
      <c r="AZ159" s="84"/>
      <c r="BA159" s="269">
        <v>0.8</v>
      </c>
      <c r="BB159" s="233"/>
      <c r="BC159" s="233">
        <f t="shared" si="43"/>
        <v>51.705275999999998</v>
      </c>
      <c r="BD159" s="211"/>
      <c r="BE159" s="84"/>
      <c r="BF159" s="211"/>
      <c r="BG159" s="392">
        <v>64631595</v>
      </c>
    </row>
    <row r="160" spans="1:59" ht="12.75">
      <c r="A160" s="213" t="s">
        <v>306</v>
      </c>
      <c r="B160" s="434"/>
      <c r="C160" s="435">
        <v>1.9</v>
      </c>
      <c r="D160" s="233"/>
      <c r="E160" s="233">
        <f t="shared" si="33"/>
        <v>160.3656354</v>
      </c>
      <c r="F160" s="211"/>
      <c r="G160" s="84"/>
      <c r="H160" s="269">
        <v>4.3899999999999997</v>
      </c>
      <c r="I160" s="233"/>
      <c r="J160" s="233">
        <f t="shared" si="34"/>
        <v>370.52902073999996</v>
      </c>
      <c r="K160" s="211"/>
      <c r="L160" s="84"/>
      <c r="M160" s="269">
        <v>49.27</v>
      </c>
      <c r="N160" s="233"/>
      <c r="O160" s="233">
        <f t="shared" si="35"/>
        <v>4158.53413482</v>
      </c>
      <c r="P160" s="211"/>
      <c r="Q160" s="84"/>
      <c r="R160" s="269">
        <v>15.89</v>
      </c>
      <c r="S160" s="233"/>
      <c r="T160" s="233">
        <f t="shared" si="36"/>
        <v>1341.1631297399999</v>
      </c>
      <c r="U160" s="211"/>
      <c r="V160" s="84"/>
      <c r="W160" s="269">
        <v>16.809999999999999</v>
      </c>
      <c r="X160" s="233"/>
      <c r="Y160" s="233">
        <f t="shared" si="37"/>
        <v>1418.8138584599999</v>
      </c>
      <c r="Z160" s="211"/>
      <c r="AA160" s="84"/>
      <c r="AB160" s="391">
        <v>37.659999999999997</v>
      </c>
      <c r="AC160" s="233"/>
      <c r="AD160" s="233">
        <f t="shared" si="38"/>
        <v>3178.6156995599999</v>
      </c>
      <c r="AE160" s="211"/>
      <c r="AF160" s="84"/>
      <c r="AG160" s="391">
        <v>170.53</v>
      </c>
      <c r="AH160" s="233"/>
      <c r="AI160" s="233">
        <f t="shared" si="39"/>
        <v>14393.23779198</v>
      </c>
      <c r="AJ160" s="211"/>
      <c r="AK160" s="84"/>
      <c r="AL160" s="391">
        <v>68.06</v>
      </c>
      <c r="AM160" s="233"/>
      <c r="AN160" s="233">
        <f t="shared" si="40"/>
        <v>5744.46586596</v>
      </c>
      <c r="AO160" s="211"/>
      <c r="AP160" s="436"/>
      <c r="AQ160" s="391">
        <v>17.559999999999999</v>
      </c>
      <c r="AR160" s="233"/>
      <c r="AS160" s="233">
        <f t="shared" si="41"/>
        <v>1482.1160829599999</v>
      </c>
      <c r="AT160" s="211"/>
      <c r="AU160" s="84"/>
      <c r="AV160" s="269">
        <v>234.44</v>
      </c>
      <c r="AW160" s="233"/>
      <c r="AX160" s="233">
        <f t="shared" si="42"/>
        <v>19787.431349040002</v>
      </c>
      <c r="AY160" s="211"/>
      <c r="AZ160" s="84"/>
      <c r="BA160" s="269">
        <v>22.63</v>
      </c>
      <c r="BB160" s="233"/>
      <c r="BC160" s="233">
        <f t="shared" si="43"/>
        <v>1910.0391205799999</v>
      </c>
      <c r="BD160" s="211"/>
      <c r="BE160" s="84"/>
      <c r="BF160" s="211"/>
      <c r="BG160" s="392">
        <v>84402966</v>
      </c>
    </row>
    <row r="161" spans="1:59" ht="12.75">
      <c r="A161" s="224"/>
      <c r="B161" s="438"/>
      <c r="C161" s="439"/>
      <c r="D161" s="211"/>
      <c r="E161" s="211"/>
      <c r="F161" s="211"/>
      <c r="G161" s="84"/>
      <c r="H161" s="211"/>
      <c r="I161" s="211"/>
      <c r="J161" s="211"/>
      <c r="K161" s="211"/>
      <c r="L161" s="84"/>
      <c r="M161" s="211"/>
      <c r="N161" s="211"/>
      <c r="O161" s="211"/>
      <c r="P161" s="211"/>
      <c r="Q161" s="84"/>
      <c r="R161" s="211"/>
      <c r="S161" s="211"/>
      <c r="T161" s="211"/>
      <c r="U161" s="211"/>
      <c r="V161" s="84"/>
      <c r="W161" s="211"/>
      <c r="X161" s="211"/>
      <c r="Y161" s="211"/>
      <c r="Z161" s="211"/>
      <c r="AA161" s="84"/>
      <c r="AB161" s="146"/>
      <c r="AC161" s="211"/>
      <c r="AD161" s="211"/>
      <c r="AE161" s="211"/>
      <c r="AF161" s="84"/>
      <c r="AG161" s="146"/>
      <c r="AH161" s="211"/>
      <c r="AI161" s="211"/>
      <c r="AJ161" s="211"/>
      <c r="AK161" s="84"/>
      <c r="AL161" s="146"/>
      <c r="AM161" s="211"/>
      <c r="AN161" s="211"/>
      <c r="AO161" s="211"/>
      <c r="AP161" s="436"/>
      <c r="AQ161" s="146"/>
      <c r="AR161" s="211"/>
      <c r="AS161" s="211"/>
      <c r="AT161" s="211"/>
      <c r="AU161" s="84"/>
      <c r="AV161" s="211"/>
      <c r="AW161" s="211"/>
      <c r="AX161" s="211"/>
      <c r="AY161" s="211"/>
      <c r="AZ161" s="84"/>
      <c r="BA161" s="211"/>
      <c r="BB161" s="211"/>
      <c r="BC161" s="211"/>
      <c r="BD161" s="211"/>
      <c r="BE161" s="84"/>
      <c r="BF161" s="211"/>
      <c r="BG161" s="440"/>
    </row>
    <row r="162" spans="1:59" ht="12.75">
      <c r="A162" s="366" t="s">
        <v>102</v>
      </c>
      <c r="B162" s="367">
        <f>(C162+H162+M162+R162+W162+AB162+AG162+AL162+AQ162+AV162+BA162)</f>
        <v>10804.090000000002</v>
      </c>
      <c r="C162" s="416">
        <f>SUM(C165:C185)</f>
        <v>2204.6000000000004</v>
      </c>
      <c r="D162" s="368">
        <f>SUM(C162/C$4)</f>
        <v>0.13150917002955764</v>
      </c>
      <c r="E162" s="417">
        <f>SUM(E165:E185)</f>
        <v>73396.874518800003</v>
      </c>
      <c r="F162" s="368">
        <f>SUM(E162/E$4)</f>
        <v>0.14879276421224349</v>
      </c>
      <c r="G162" s="282"/>
      <c r="H162" s="416">
        <f>SUM(H165:H185)</f>
        <v>178.8</v>
      </c>
      <c r="I162" s="368">
        <f>SUM(H162/H$4)</f>
        <v>0.17301272436982923</v>
      </c>
      <c r="J162" s="417">
        <f>SUM(J165:J185)</f>
        <v>6086.6758319399987</v>
      </c>
      <c r="K162" s="368">
        <f>SUM(J162/J$4)</f>
        <v>9.1567822009775271E-2</v>
      </c>
      <c r="L162" s="282"/>
      <c r="M162" s="416">
        <f>SUM(M165:M185)</f>
        <v>552.11</v>
      </c>
      <c r="N162" s="368">
        <f>SUM(M162/M$4)</f>
        <v>0.13449007480737896</v>
      </c>
      <c r="O162" s="417">
        <f>SUM(O165:O185)</f>
        <v>22173.847688809998</v>
      </c>
      <c r="P162" s="368">
        <f>SUM(O162/O$4)</f>
        <v>0.11859964312746471</v>
      </c>
      <c r="Q162" s="282"/>
      <c r="R162" s="416">
        <f>SUM(R165:R185)</f>
        <v>557.84</v>
      </c>
      <c r="S162" s="368">
        <f>SUM(R162/R$4)</f>
        <v>0.22270751074931833</v>
      </c>
      <c r="T162" s="417">
        <f>SUM(T165:T185)</f>
        <v>19890.696264680002</v>
      </c>
      <c r="U162" s="368">
        <f>SUM(T162/T$4)</f>
        <v>0.1929369132536341</v>
      </c>
      <c r="V162" s="282"/>
      <c r="W162" s="416">
        <f>SUM(W165:W185)</f>
        <v>911.31000000000006</v>
      </c>
      <c r="X162" s="368">
        <f>SUM(W162/W$4)</f>
        <v>8.7946798223519265E-2</v>
      </c>
      <c r="Y162" s="417">
        <f>SUM(Y165:Y185)</f>
        <v>26531.675588250004</v>
      </c>
      <c r="Z162" s="368">
        <f>SUM(Y162/Y$4)</f>
        <v>6.9689599800613039E-2</v>
      </c>
      <c r="AA162" s="282"/>
      <c r="AB162" s="416">
        <f>SUM(AB165:AB185)</f>
        <v>218.31999999999996</v>
      </c>
      <c r="AC162" s="368">
        <f>SUM(AB162/AB$4)</f>
        <v>9.0994723373039987E-2</v>
      </c>
      <c r="AD162" s="417">
        <f>SUM(AD165:AD185)</f>
        <v>6203.6657230400006</v>
      </c>
      <c r="AE162" s="368">
        <f>SUM(AD162/AD$4)</f>
        <v>4.7213810546780671E-2</v>
      </c>
      <c r="AF162" s="282"/>
      <c r="AG162" s="418">
        <f>SUM(AG165:AG185)</f>
        <v>1295.7499999999998</v>
      </c>
      <c r="AH162" s="368">
        <f>SUM(AG162/AG$4)</f>
        <v>9.4554755285068987E-2</v>
      </c>
      <c r="AI162" s="417">
        <f>SUM(AI165:AI185)</f>
        <v>33307.698412209997</v>
      </c>
      <c r="AJ162" s="368">
        <f>SUM(AI162/AI$4)</f>
        <v>3.5445301715583258E-2</v>
      </c>
      <c r="AK162" s="282"/>
      <c r="AL162" s="418">
        <f>SUM(AL165:AL185)</f>
        <v>1755.9800000000002</v>
      </c>
      <c r="AM162" s="368">
        <f>SUM(AL162/AL$4)</f>
        <v>0.14739314295115322</v>
      </c>
      <c r="AN162" s="417">
        <f>SUM(AN165:AN185)</f>
        <v>56182.233435400005</v>
      </c>
      <c r="AO162" s="368">
        <f>SUM(AN162/AN$4)</f>
        <v>0.11268662783885723</v>
      </c>
      <c r="AP162" s="441"/>
      <c r="AQ162" s="416">
        <f>SUM(AQ165:AQ185)</f>
        <v>196.13</v>
      </c>
      <c r="AR162" s="368">
        <f>SUM(AQ162/AQ$4)</f>
        <v>0.15457303857824015</v>
      </c>
      <c r="AS162" s="417">
        <f>SUM(AS165:AS185)</f>
        <v>5998.6209654400018</v>
      </c>
      <c r="AT162" s="368">
        <f>SUM(AS162/AS$4)</f>
        <v>8.8665960534661234E-2</v>
      </c>
      <c r="AU162" s="282"/>
      <c r="AV162" s="416">
        <f>SUM(AV165:AV185)</f>
        <v>2915.9600000000005</v>
      </c>
      <c r="AW162" s="368">
        <f>SUM(AV162/AV$4)</f>
        <v>0.13655723985746529</v>
      </c>
      <c r="AX162" s="417">
        <f>SUM(AX165:AX185)</f>
        <v>81810.752415620009</v>
      </c>
      <c r="AY162" s="368">
        <f>SUM(AX162/AX$4)</f>
        <v>7.6197474847066307E-2</v>
      </c>
      <c r="AZ162" s="282"/>
      <c r="BA162" s="416">
        <f>SUM(BA165:BA185)</f>
        <v>17.29</v>
      </c>
      <c r="BB162" s="368">
        <f>SUM(BA162/BA$4)</f>
        <v>6.2779129298137309E-2</v>
      </c>
      <c r="BC162" s="417">
        <f>SUM(BC165:BC185)</f>
        <v>459.35689789999998</v>
      </c>
      <c r="BD162" s="368">
        <f>SUM(BC162/BC$4)</f>
        <v>3.1605139419501785E-2</v>
      </c>
      <c r="BE162" s="282"/>
      <c r="BF162" s="282"/>
      <c r="BG162" s="419">
        <f>SUM(BG165:BG185)</f>
        <v>581130580</v>
      </c>
    </row>
    <row r="163" spans="1:59" ht="12.75">
      <c r="A163" s="372" t="s">
        <v>217</v>
      </c>
      <c r="B163" s="373"/>
      <c r="C163" s="374">
        <f>AVERAGE(C165:C184)</f>
        <v>110.23000000000002</v>
      </c>
      <c r="D163" s="375"/>
      <c r="E163" s="375"/>
      <c r="F163" s="257"/>
      <c r="G163" s="376"/>
      <c r="H163" s="377"/>
      <c r="I163" s="375"/>
      <c r="J163" s="375"/>
      <c r="K163" s="257"/>
      <c r="L163" s="376"/>
      <c r="M163" s="377"/>
      <c r="N163" s="375"/>
      <c r="O163" s="375"/>
      <c r="P163" s="257"/>
      <c r="Q163" s="376"/>
      <c r="R163" s="377"/>
      <c r="S163" s="375"/>
      <c r="T163" s="375"/>
      <c r="U163" s="257"/>
      <c r="V163" s="376"/>
      <c r="W163" s="377"/>
      <c r="X163" s="375"/>
      <c r="Y163" s="375"/>
      <c r="Z163" s="257"/>
      <c r="AA163" s="376"/>
      <c r="AB163" s="377"/>
      <c r="AC163" s="375"/>
      <c r="AD163" s="375"/>
      <c r="AE163" s="257"/>
      <c r="AF163" s="376"/>
      <c r="AG163" s="378"/>
      <c r="AH163" s="375"/>
      <c r="AI163" s="375"/>
      <c r="AJ163" s="257"/>
      <c r="AK163" s="376"/>
      <c r="AL163" s="378"/>
      <c r="AM163" s="375"/>
      <c r="AN163" s="375"/>
      <c r="AO163" s="257"/>
      <c r="AP163" s="379"/>
      <c r="AQ163" s="377"/>
      <c r="AR163" s="375"/>
      <c r="AS163" s="375"/>
      <c r="AT163" s="257"/>
      <c r="AU163" s="376"/>
      <c r="AV163" s="377"/>
      <c r="AW163" s="375"/>
      <c r="AX163" s="375"/>
      <c r="AY163" s="257"/>
      <c r="AZ163" s="376"/>
      <c r="BA163" s="377"/>
      <c r="BB163" s="375"/>
      <c r="BC163" s="375"/>
      <c r="BD163" s="257"/>
      <c r="BE163" s="376"/>
      <c r="BF163" s="257"/>
      <c r="BG163" s="380"/>
    </row>
    <row r="164" spans="1:59" ht="12.75">
      <c r="A164" s="372" t="s">
        <v>218</v>
      </c>
      <c r="B164" s="373"/>
      <c r="C164" s="420">
        <f>C162/$B162</f>
        <v>0.20405235424732671</v>
      </c>
      <c r="D164" s="233"/>
      <c r="E164" s="233"/>
      <c r="F164" s="211"/>
      <c r="G164" s="384"/>
      <c r="H164" s="420">
        <f>H162/$B162</f>
        <v>1.6549288278790715E-2</v>
      </c>
      <c r="I164" s="233"/>
      <c r="J164" s="233"/>
      <c r="K164" s="211"/>
      <c r="L164" s="384"/>
      <c r="M164" s="420">
        <f>M162/$B162</f>
        <v>5.1101943800912424E-2</v>
      </c>
      <c r="N164" s="233"/>
      <c r="O164" s="233"/>
      <c r="P164" s="211"/>
      <c r="Q164" s="384"/>
      <c r="R164" s="420">
        <f>R162/$B162</f>
        <v>5.1632298509175688E-2</v>
      </c>
      <c r="S164" s="233"/>
      <c r="T164" s="233"/>
      <c r="U164" s="211"/>
      <c r="V164" s="384"/>
      <c r="W164" s="420">
        <f>W162/$B162</f>
        <v>8.4348612423628455E-2</v>
      </c>
      <c r="X164" s="233"/>
      <c r="Y164" s="233"/>
      <c r="Z164" s="211"/>
      <c r="AA164" s="384"/>
      <c r="AB164" s="420">
        <f>AB162/$B162</f>
        <v>2.0207162287615148E-2</v>
      </c>
      <c r="AC164" s="233"/>
      <c r="AD164" s="233"/>
      <c r="AE164" s="211"/>
      <c r="AF164" s="384"/>
      <c r="AG164" s="421">
        <f>AG162/$B162</f>
        <v>0.11993143337384264</v>
      </c>
      <c r="AH164" s="233"/>
      <c r="AI164" s="233"/>
      <c r="AJ164" s="211"/>
      <c r="AK164" s="384"/>
      <c r="AL164" s="421">
        <f>AL162/$B162</f>
        <v>0.16252919033440114</v>
      </c>
      <c r="AM164" s="233"/>
      <c r="AN164" s="233"/>
      <c r="AO164" s="211"/>
      <c r="AP164" s="390"/>
      <c r="AQ164" s="420">
        <f>AQ162/$B162</f>
        <v>1.8153310459279769E-2</v>
      </c>
      <c r="AR164" s="233"/>
      <c r="AS164" s="233"/>
      <c r="AT164" s="211"/>
      <c r="AU164" s="384"/>
      <c r="AV164" s="420">
        <f>AV162/$B162</f>
        <v>0.26989408640616652</v>
      </c>
      <c r="AW164" s="233"/>
      <c r="AX164" s="233"/>
      <c r="AY164" s="211"/>
      <c r="AZ164" s="384"/>
      <c r="BA164" s="420">
        <f>BA162/$B162</f>
        <v>1.6003198788606904E-3</v>
      </c>
      <c r="BB164" s="233"/>
      <c r="BC164" s="233"/>
      <c r="BD164" s="211"/>
      <c r="BE164" s="384"/>
      <c r="BF164" s="211"/>
      <c r="BG164" s="392"/>
    </row>
    <row r="165" spans="1:59" ht="12.75">
      <c r="A165" s="422" t="s">
        <v>307</v>
      </c>
      <c r="B165" s="434"/>
      <c r="C165" s="435">
        <v>195.08</v>
      </c>
      <c r="D165" s="233"/>
      <c r="E165" s="233">
        <f t="shared" ref="E165:E184" si="44">SUM(C165*$BG165)/1000000</f>
        <v>7787.95118164</v>
      </c>
      <c r="F165" s="211"/>
      <c r="G165" s="84"/>
      <c r="H165" s="429">
        <v>15.5</v>
      </c>
      <c r="I165" s="233"/>
      <c r="J165" s="233">
        <f t="shared" ref="J165:J184" si="45">SUM(H165*$BG165)/1000000</f>
        <v>618.78841150000005</v>
      </c>
      <c r="K165" s="211"/>
      <c r="L165" s="84"/>
      <c r="M165" s="269">
        <v>72.27</v>
      </c>
      <c r="N165" s="233"/>
      <c r="O165" s="233">
        <f t="shared" ref="O165:O184" si="46">SUM(M165*$BG165)/1000000</f>
        <v>2885.1508709099999</v>
      </c>
      <c r="P165" s="211"/>
      <c r="Q165" s="84"/>
      <c r="R165" s="269">
        <v>44.25</v>
      </c>
      <c r="S165" s="233"/>
      <c r="T165" s="233">
        <f t="shared" ref="T165:T184" si="47">SUM(R165*$BG165)/1000000</f>
        <v>1766.54111025</v>
      </c>
      <c r="U165" s="211"/>
      <c r="V165" s="84"/>
      <c r="W165" s="269">
        <v>47.37</v>
      </c>
      <c r="X165" s="233"/>
      <c r="Y165" s="233">
        <f t="shared" ref="Y165:Y184" si="48">SUM(W165*$BG165)/1000000</f>
        <v>1891.0972292099998</v>
      </c>
      <c r="Z165" s="211"/>
      <c r="AA165" s="84"/>
      <c r="AB165" s="425">
        <v>10.31</v>
      </c>
      <c r="AC165" s="233"/>
      <c r="AD165" s="233">
        <f t="shared" ref="AD165:AD184" si="49">SUM(AB165*$BG165)/1000000</f>
        <v>411.59409823000004</v>
      </c>
      <c r="AE165" s="211"/>
      <c r="AF165" s="84"/>
      <c r="AG165" s="387">
        <v>67.569999999999993</v>
      </c>
      <c r="AH165" s="233"/>
      <c r="AI165" s="233">
        <f t="shared" ref="AI165:AI184" si="50">SUM(AG165*$BG165)/1000000</f>
        <v>2697.51825581</v>
      </c>
      <c r="AJ165" s="211"/>
      <c r="AK165" s="84"/>
      <c r="AL165" s="442">
        <v>96.61</v>
      </c>
      <c r="AM165" s="233"/>
      <c r="AN165" s="233">
        <f t="shared" ref="AN165:AN184" si="51">SUM(AL165*$BG165)/1000000</f>
        <v>3856.8482861299999</v>
      </c>
      <c r="AO165" s="211"/>
      <c r="AP165" s="436"/>
      <c r="AQ165" s="391">
        <v>2.4</v>
      </c>
      <c r="AR165" s="233"/>
      <c r="AS165" s="233">
        <f t="shared" ref="AS165:AS184" si="52">SUM(AQ165*$BG165)/1000000</f>
        <v>95.812399200000002</v>
      </c>
      <c r="AT165" s="211"/>
      <c r="AU165" s="84"/>
      <c r="AV165" s="269">
        <v>127.74</v>
      </c>
      <c r="AW165" s="233"/>
      <c r="AX165" s="233">
        <f t="shared" ref="AX165:AX184" si="53">SUM(AV165*$BG165)/1000000</f>
        <v>5099.6149474200001</v>
      </c>
      <c r="AY165" s="211"/>
      <c r="AZ165" s="84"/>
      <c r="BA165" s="269">
        <v>0.4</v>
      </c>
      <c r="BB165" s="233"/>
      <c r="BC165" s="233">
        <f t="shared" ref="BC165:BC184" si="54">SUM(BA165*$BG165)/1000000</f>
        <v>15.968733200000001</v>
      </c>
      <c r="BD165" s="211"/>
      <c r="BE165" s="84"/>
      <c r="BF165" s="211"/>
      <c r="BG165" s="392">
        <v>39921833</v>
      </c>
    </row>
    <row r="166" spans="1:59" ht="12.75">
      <c r="A166" s="422" t="s">
        <v>308</v>
      </c>
      <c r="B166" s="382"/>
      <c r="C166" s="383">
        <v>80.3</v>
      </c>
      <c r="D166" s="233"/>
      <c r="E166" s="233">
        <f t="shared" si="44"/>
        <v>23.104718999999999</v>
      </c>
      <c r="F166" s="211"/>
      <c r="G166" s="84"/>
      <c r="H166" s="269">
        <v>4.62</v>
      </c>
      <c r="I166" s="233"/>
      <c r="J166" s="233">
        <f t="shared" si="45"/>
        <v>1.3293126000000002</v>
      </c>
      <c r="K166" s="211"/>
      <c r="L166" s="84"/>
      <c r="M166" s="269">
        <v>23.45</v>
      </c>
      <c r="N166" s="233"/>
      <c r="O166" s="233">
        <f t="shared" si="46"/>
        <v>6.7472684999999997</v>
      </c>
      <c r="P166" s="211"/>
      <c r="Q166" s="84"/>
      <c r="R166" s="269">
        <v>25.78</v>
      </c>
      <c r="S166" s="233"/>
      <c r="T166" s="233">
        <f t="shared" si="47"/>
        <v>7.4176794000000008</v>
      </c>
      <c r="U166" s="211"/>
      <c r="V166" s="84"/>
      <c r="W166" s="269">
        <v>13.47</v>
      </c>
      <c r="X166" s="233"/>
      <c r="Y166" s="233">
        <f t="shared" si="48"/>
        <v>3.8757231000000001</v>
      </c>
      <c r="Z166" s="211"/>
      <c r="AA166" s="84"/>
      <c r="AB166" s="425">
        <v>9.09</v>
      </c>
      <c r="AC166" s="233"/>
      <c r="AD166" s="233">
        <f t="shared" si="49"/>
        <v>2.6154657000000001</v>
      </c>
      <c r="AE166" s="211"/>
      <c r="AF166" s="84"/>
      <c r="AG166" s="387">
        <v>56.2</v>
      </c>
      <c r="AH166" s="233"/>
      <c r="AI166" s="233">
        <f t="shared" si="50"/>
        <v>16.170425999999999</v>
      </c>
      <c r="AJ166" s="211"/>
      <c r="AK166" s="84"/>
      <c r="AL166" s="442">
        <v>97.98</v>
      </c>
      <c r="AM166" s="233"/>
      <c r="AN166" s="233">
        <f t="shared" si="51"/>
        <v>28.191785400000001</v>
      </c>
      <c r="AO166" s="211"/>
      <c r="AP166" s="436"/>
      <c r="AQ166" s="391">
        <v>16.23</v>
      </c>
      <c r="AR166" s="233"/>
      <c r="AS166" s="233">
        <f t="shared" si="52"/>
        <v>4.6698579000000002</v>
      </c>
      <c r="AT166" s="211"/>
      <c r="AU166" s="84"/>
      <c r="AV166" s="269">
        <v>124.63</v>
      </c>
      <c r="AW166" s="233"/>
      <c r="AX166" s="233">
        <f t="shared" si="53"/>
        <v>35.859789899999996</v>
      </c>
      <c r="AY166" s="211"/>
      <c r="AZ166" s="84"/>
      <c r="BA166" s="269">
        <v>0.65</v>
      </c>
      <c r="BB166" s="233"/>
      <c r="BC166" s="233">
        <f t="shared" si="54"/>
        <v>0.18702450000000001</v>
      </c>
      <c r="BD166" s="211"/>
      <c r="BE166" s="84"/>
      <c r="BF166" s="211"/>
      <c r="BG166" s="392">
        <v>287730</v>
      </c>
    </row>
    <row r="167" spans="1:59" ht="12.75">
      <c r="A167" s="443" t="s">
        <v>309</v>
      </c>
      <c r="B167" s="382"/>
      <c r="C167" s="383">
        <v>46.04</v>
      </c>
      <c r="D167" s="233"/>
      <c r="E167" s="233">
        <f t="shared" si="44"/>
        <v>413.85567784</v>
      </c>
      <c r="F167" s="211"/>
      <c r="G167" s="84"/>
      <c r="H167" s="383">
        <v>7.38</v>
      </c>
      <c r="I167" s="233"/>
      <c r="J167" s="233">
        <f t="shared" si="45"/>
        <v>66.339159479999992</v>
      </c>
      <c r="K167" s="211"/>
      <c r="L167" s="84"/>
      <c r="M167" s="269">
        <v>37.65</v>
      </c>
      <c r="N167" s="233"/>
      <c r="O167" s="233">
        <f t="shared" si="46"/>
        <v>338.4375819</v>
      </c>
      <c r="P167" s="211"/>
      <c r="Q167" s="84"/>
      <c r="R167" s="269">
        <v>42.59</v>
      </c>
      <c r="S167" s="233"/>
      <c r="T167" s="233">
        <f t="shared" si="47"/>
        <v>382.84346914000002</v>
      </c>
      <c r="U167" s="211"/>
      <c r="V167" s="84"/>
      <c r="W167" s="269">
        <v>80.260000000000005</v>
      </c>
      <c r="X167" s="233"/>
      <c r="Y167" s="233">
        <f t="shared" si="48"/>
        <v>721.46083196000006</v>
      </c>
      <c r="Z167" s="211"/>
      <c r="AA167" s="84"/>
      <c r="AB167" s="138">
        <v>2.57</v>
      </c>
      <c r="AC167" s="233"/>
      <c r="AD167" s="233">
        <f t="shared" si="49"/>
        <v>23.101848219999997</v>
      </c>
      <c r="AE167" s="211"/>
      <c r="AF167" s="84"/>
      <c r="AG167" s="138">
        <v>35.89</v>
      </c>
      <c r="AH167" s="233"/>
      <c r="AI167" s="233">
        <f t="shared" si="50"/>
        <v>322.61686093999998</v>
      </c>
      <c r="AJ167" s="211"/>
      <c r="AK167" s="84"/>
      <c r="AL167" s="394">
        <v>69.41</v>
      </c>
      <c r="AM167" s="233"/>
      <c r="AN167" s="233">
        <f t="shared" si="51"/>
        <v>623.92968286000007</v>
      </c>
      <c r="AO167" s="211"/>
      <c r="AP167" s="436"/>
      <c r="AQ167" s="138">
        <v>4.76</v>
      </c>
      <c r="AR167" s="233"/>
      <c r="AS167" s="233">
        <f t="shared" si="52"/>
        <v>42.787858960000001</v>
      </c>
      <c r="AT167" s="211"/>
      <c r="AU167" s="84"/>
      <c r="AV167" s="269">
        <v>131.35</v>
      </c>
      <c r="AW167" s="233"/>
      <c r="AX167" s="233">
        <f t="shared" si="53"/>
        <v>1180.7111920999998</v>
      </c>
      <c r="AY167" s="211"/>
      <c r="AZ167" s="84"/>
      <c r="BA167" s="269">
        <v>7.54</v>
      </c>
      <c r="BB167" s="233"/>
      <c r="BC167" s="233">
        <f t="shared" si="54"/>
        <v>67.777406839999998</v>
      </c>
      <c r="BD167" s="211"/>
      <c r="BE167" s="84"/>
      <c r="BF167" s="211"/>
      <c r="BG167" s="392">
        <v>8989046</v>
      </c>
    </row>
    <row r="168" spans="1:59" ht="12.75">
      <c r="A168" s="422" t="s">
        <v>310</v>
      </c>
      <c r="B168" s="382"/>
      <c r="C168" s="383">
        <v>149.28</v>
      </c>
      <c r="D168" s="233"/>
      <c r="E168" s="233">
        <f t="shared" si="44"/>
        <v>28076.317726560002</v>
      </c>
      <c r="F168" s="211"/>
      <c r="G168" s="444"/>
      <c r="H168" s="429">
        <v>7.77</v>
      </c>
      <c r="I168" s="233"/>
      <c r="J168" s="233">
        <f t="shared" si="45"/>
        <v>1461.3678237899999</v>
      </c>
      <c r="K168" s="211"/>
      <c r="L168" s="444"/>
      <c r="M168" s="269">
        <v>52.26</v>
      </c>
      <c r="N168" s="233"/>
      <c r="O168" s="233">
        <f t="shared" si="46"/>
        <v>9828.9681430199998</v>
      </c>
      <c r="P168" s="211"/>
      <c r="Q168" s="444"/>
      <c r="R168" s="269">
        <v>47.05</v>
      </c>
      <c r="S168" s="233"/>
      <c r="T168" s="233">
        <f t="shared" si="47"/>
        <v>8849.0805803500007</v>
      </c>
      <c r="U168" s="211"/>
      <c r="V168" s="444"/>
      <c r="W168" s="269">
        <v>49.04</v>
      </c>
      <c r="X168" s="233"/>
      <c r="Y168" s="233">
        <f t="shared" si="48"/>
        <v>9223.3562520800006</v>
      </c>
      <c r="Z168" s="211"/>
      <c r="AA168" s="444"/>
      <c r="AB168" s="138">
        <v>9.09</v>
      </c>
      <c r="AC168" s="233"/>
      <c r="AD168" s="233">
        <f t="shared" si="49"/>
        <v>1709.63108343</v>
      </c>
      <c r="AE168" s="211"/>
      <c r="AF168" s="444"/>
      <c r="AG168" s="138">
        <v>50.96</v>
      </c>
      <c r="AH168" s="233"/>
      <c r="AI168" s="233">
        <f t="shared" si="50"/>
        <v>9584.4664479200001</v>
      </c>
      <c r="AJ168" s="211"/>
      <c r="AK168" s="444"/>
      <c r="AL168" s="388">
        <v>93.19</v>
      </c>
      <c r="AM168" s="233"/>
      <c r="AN168" s="233">
        <f t="shared" si="51"/>
        <v>17527.00997413</v>
      </c>
      <c r="AO168" s="211"/>
      <c r="AP168" s="445"/>
      <c r="AQ168" s="138">
        <v>13.58</v>
      </c>
      <c r="AR168" s="233"/>
      <c r="AS168" s="233">
        <f t="shared" si="52"/>
        <v>2554.10232266</v>
      </c>
      <c r="AT168" s="211"/>
      <c r="AU168" s="444"/>
      <c r="AV168" s="269">
        <v>134.28</v>
      </c>
      <c r="AW168" s="233"/>
      <c r="AX168" s="233">
        <f t="shared" si="53"/>
        <v>25255.144321560001</v>
      </c>
      <c r="AY168" s="211"/>
      <c r="AZ168" s="444"/>
      <c r="BA168" s="269">
        <v>0.7</v>
      </c>
      <c r="BB168" s="233"/>
      <c r="BC168" s="233">
        <f t="shared" si="54"/>
        <v>131.65475889999999</v>
      </c>
      <c r="BD168" s="211"/>
      <c r="BE168" s="444"/>
      <c r="BF168" s="211"/>
      <c r="BG168" s="392">
        <v>188078227</v>
      </c>
    </row>
    <row r="169" spans="1:59" ht="12.75">
      <c r="A169" s="422" t="s">
        <v>311</v>
      </c>
      <c r="B169" s="382"/>
      <c r="C169" s="383">
        <v>116.11</v>
      </c>
      <c r="D169" s="233"/>
      <c r="E169" s="233">
        <f t="shared" si="44"/>
        <v>1873.3441680899998</v>
      </c>
      <c r="F169" s="211"/>
      <c r="G169" s="444"/>
      <c r="H169" s="429">
        <v>10.49</v>
      </c>
      <c r="I169" s="233"/>
      <c r="J169" s="233">
        <f t="shared" si="45"/>
        <v>169.24795731</v>
      </c>
      <c r="K169" s="211"/>
      <c r="L169" s="444"/>
      <c r="M169" s="269">
        <v>50.67</v>
      </c>
      <c r="N169" s="233"/>
      <c r="O169" s="233">
        <f t="shared" si="46"/>
        <v>817.52087673000005</v>
      </c>
      <c r="P169" s="211"/>
      <c r="Q169" s="444"/>
      <c r="R169" s="269">
        <v>40.85</v>
      </c>
      <c r="S169" s="233"/>
      <c r="T169" s="233">
        <f t="shared" si="47"/>
        <v>659.08284615000002</v>
      </c>
      <c r="U169" s="211"/>
      <c r="V169" s="444"/>
      <c r="W169" s="269">
        <v>58.54</v>
      </c>
      <c r="X169" s="233"/>
      <c r="Y169" s="233">
        <f t="shared" si="48"/>
        <v>944.49718025999994</v>
      </c>
      <c r="Z169" s="211"/>
      <c r="AA169" s="444"/>
      <c r="AB169" s="138">
        <v>11.78</v>
      </c>
      <c r="AC169" s="233"/>
      <c r="AD169" s="233">
        <f t="shared" si="49"/>
        <v>190.06109981999998</v>
      </c>
      <c r="AE169" s="211"/>
      <c r="AF169" s="444"/>
      <c r="AG169" s="138">
        <v>112.09</v>
      </c>
      <c r="AH169" s="233"/>
      <c r="AI169" s="233">
        <f t="shared" si="50"/>
        <v>1808.4846077100001</v>
      </c>
      <c r="AJ169" s="211"/>
      <c r="AK169" s="444"/>
      <c r="AL169" s="388">
        <v>63.92</v>
      </c>
      <c r="AM169" s="233"/>
      <c r="AN169" s="233">
        <f t="shared" si="51"/>
        <v>1031.2992784800001</v>
      </c>
      <c r="AO169" s="211"/>
      <c r="AP169" s="445"/>
      <c r="AQ169" s="138">
        <v>4.97</v>
      </c>
      <c r="AR169" s="233"/>
      <c r="AS169" s="233">
        <f t="shared" si="52"/>
        <v>80.187068429999997</v>
      </c>
      <c r="AT169" s="211"/>
      <c r="AU169" s="444"/>
      <c r="AV169" s="269">
        <v>143.27000000000001</v>
      </c>
      <c r="AW169" s="233"/>
      <c r="AX169" s="233">
        <f t="shared" si="53"/>
        <v>2311.5495561299999</v>
      </c>
      <c r="AY169" s="211"/>
      <c r="AZ169" s="444"/>
      <c r="BA169" s="269">
        <v>1.17</v>
      </c>
      <c r="BB169" s="233"/>
      <c r="BC169" s="233">
        <f t="shared" si="54"/>
        <v>18.877036230000002</v>
      </c>
      <c r="BD169" s="211"/>
      <c r="BE169" s="444"/>
      <c r="BF169" s="211"/>
      <c r="BG169" s="392">
        <v>16134219</v>
      </c>
    </row>
    <row r="170" spans="1:59" ht="12.75">
      <c r="A170" s="422" t="s">
        <v>312</v>
      </c>
      <c r="B170" s="382"/>
      <c r="C170" s="383">
        <v>108.47</v>
      </c>
      <c r="D170" s="233"/>
      <c r="E170" s="233">
        <f t="shared" si="44"/>
        <v>4728.5365064500002</v>
      </c>
      <c r="F170" s="211"/>
      <c r="G170" s="84"/>
      <c r="H170" s="429">
        <v>12.79</v>
      </c>
      <c r="I170" s="233"/>
      <c r="J170" s="233">
        <f t="shared" si="45"/>
        <v>557.55491764999999</v>
      </c>
      <c r="K170" s="211"/>
      <c r="L170" s="84"/>
      <c r="M170" s="269">
        <v>26.79</v>
      </c>
      <c r="N170" s="233"/>
      <c r="O170" s="233">
        <f t="shared" si="46"/>
        <v>1167.8574076499999</v>
      </c>
      <c r="P170" s="211"/>
      <c r="Q170" s="84"/>
      <c r="R170" s="269">
        <v>34.61</v>
      </c>
      <c r="S170" s="233"/>
      <c r="T170" s="233">
        <f t="shared" si="47"/>
        <v>1508.7549413499999</v>
      </c>
      <c r="U170" s="211"/>
      <c r="V170" s="84"/>
      <c r="W170" s="269">
        <v>77.459999999999994</v>
      </c>
      <c r="X170" s="233"/>
      <c r="Y170" s="233">
        <f t="shared" si="48"/>
        <v>3376.7164911</v>
      </c>
      <c r="Z170" s="211"/>
      <c r="AA170" s="84"/>
      <c r="AB170" s="138">
        <v>7.16</v>
      </c>
      <c r="AC170" s="233"/>
      <c r="AD170" s="233">
        <f t="shared" si="49"/>
        <v>312.12613060000001</v>
      </c>
      <c r="AE170" s="211"/>
      <c r="AF170" s="84"/>
      <c r="AG170" s="138">
        <v>48.73</v>
      </c>
      <c r="AH170" s="233"/>
      <c r="AI170" s="233">
        <f t="shared" si="50"/>
        <v>2124.2885955500001</v>
      </c>
      <c r="AJ170" s="211"/>
      <c r="AK170" s="84"/>
      <c r="AL170" s="388">
        <v>145.53</v>
      </c>
      <c r="AM170" s="233"/>
      <c r="AN170" s="233">
        <f t="shared" si="51"/>
        <v>6344.0943835500002</v>
      </c>
      <c r="AO170" s="211"/>
      <c r="AP170" s="436"/>
      <c r="AQ170" s="138">
        <v>7.89</v>
      </c>
      <c r="AR170" s="233"/>
      <c r="AS170" s="233">
        <f t="shared" si="52"/>
        <v>343.94904614999996</v>
      </c>
      <c r="AT170" s="211"/>
      <c r="AU170" s="84"/>
      <c r="AV170" s="269">
        <v>136.69999999999999</v>
      </c>
      <c r="AW170" s="233"/>
      <c r="AX170" s="233">
        <f t="shared" si="53"/>
        <v>5959.1678844999988</v>
      </c>
      <c r="AY170" s="211"/>
      <c r="AZ170" s="84"/>
      <c r="BA170" s="269">
        <v>1.27</v>
      </c>
      <c r="BB170" s="233"/>
      <c r="BC170" s="233">
        <f t="shared" si="54"/>
        <v>55.363154450000003</v>
      </c>
      <c r="BD170" s="211"/>
      <c r="BE170" s="84"/>
      <c r="BF170" s="211"/>
      <c r="BG170" s="392">
        <v>43593035</v>
      </c>
    </row>
    <row r="171" spans="1:59" ht="12.75">
      <c r="A171" s="422" t="s">
        <v>313</v>
      </c>
      <c r="B171" s="382"/>
      <c r="C171" s="383">
        <v>183.28</v>
      </c>
      <c r="D171" s="233"/>
      <c r="E171" s="233">
        <f t="shared" si="44"/>
        <v>746.91383608000001</v>
      </c>
      <c r="F171" s="211"/>
      <c r="G171" s="349"/>
      <c r="H171" s="429">
        <v>10.51</v>
      </c>
      <c r="I171" s="233"/>
      <c r="J171" s="233">
        <f t="shared" si="45"/>
        <v>42.830993110000001</v>
      </c>
      <c r="K171" s="211"/>
      <c r="L171" s="349"/>
      <c r="M171" s="269">
        <v>25.2</v>
      </c>
      <c r="N171" s="233"/>
      <c r="O171" s="233">
        <f t="shared" si="46"/>
        <v>102.69657720000001</v>
      </c>
      <c r="P171" s="211"/>
      <c r="Q171" s="349"/>
      <c r="R171" s="269">
        <v>26.97</v>
      </c>
      <c r="S171" s="233"/>
      <c r="T171" s="233">
        <f t="shared" si="47"/>
        <v>109.90978917</v>
      </c>
      <c r="U171" s="211"/>
      <c r="V171" s="349"/>
      <c r="W171" s="269">
        <v>23.15</v>
      </c>
      <c r="X171" s="233"/>
      <c r="Y171" s="233">
        <f t="shared" si="48"/>
        <v>94.342292149999992</v>
      </c>
      <c r="Z171" s="211"/>
      <c r="AA171" s="349"/>
      <c r="AB171" s="138">
        <v>18.46</v>
      </c>
      <c r="AC171" s="233"/>
      <c r="AD171" s="233">
        <f t="shared" si="49"/>
        <v>75.229318059999997</v>
      </c>
      <c r="AE171" s="211"/>
      <c r="AF171" s="349"/>
      <c r="AG171" s="138">
        <v>41.36</v>
      </c>
      <c r="AH171" s="233"/>
      <c r="AI171" s="233">
        <f t="shared" si="50"/>
        <v>168.55279496</v>
      </c>
      <c r="AJ171" s="211"/>
      <c r="AK171" s="349"/>
      <c r="AL171" s="388">
        <v>133.38999999999999</v>
      </c>
      <c r="AM171" s="233"/>
      <c r="AN171" s="233">
        <f t="shared" si="51"/>
        <v>543.59906478999994</v>
      </c>
      <c r="AO171" s="211"/>
      <c r="AP171" s="446"/>
      <c r="AQ171" s="138">
        <v>14.41</v>
      </c>
      <c r="AR171" s="233"/>
      <c r="AS171" s="233">
        <f t="shared" si="52"/>
        <v>58.724511010000001</v>
      </c>
      <c r="AT171" s="211"/>
      <c r="AU171" s="349"/>
      <c r="AV171" s="269">
        <v>122.73</v>
      </c>
      <c r="AW171" s="233"/>
      <c r="AX171" s="233">
        <f t="shared" si="53"/>
        <v>500.15678253000004</v>
      </c>
      <c r="AY171" s="211"/>
      <c r="AZ171" s="349"/>
      <c r="BA171" s="269">
        <v>0.56000000000000005</v>
      </c>
      <c r="BB171" s="233"/>
      <c r="BC171" s="233">
        <f t="shared" si="54"/>
        <v>2.2821461600000004</v>
      </c>
      <c r="BD171" s="211"/>
      <c r="BE171" s="349"/>
      <c r="BF171" s="211"/>
      <c r="BG171" s="392">
        <v>4075261</v>
      </c>
    </row>
    <row r="172" spans="1:59" ht="12.75">
      <c r="A172" s="422" t="s">
        <v>314</v>
      </c>
      <c r="B172" s="382"/>
      <c r="C172" s="383">
        <v>139.6</v>
      </c>
      <c r="D172" s="233"/>
      <c r="E172" s="233">
        <f t="shared" si="44"/>
        <v>1891.2323960000001</v>
      </c>
      <c r="F172" s="211"/>
      <c r="G172" s="84"/>
      <c r="H172" s="429">
        <v>7.78</v>
      </c>
      <c r="I172" s="233"/>
      <c r="J172" s="233">
        <f t="shared" si="45"/>
        <v>105.39962779999999</v>
      </c>
      <c r="K172" s="211"/>
      <c r="L172" s="84"/>
      <c r="M172" s="269">
        <v>27.52</v>
      </c>
      <c r="N172" s="233"/>
      <c r="O172" s="233">
        <f t="shared" si="46"/>
        <v>372.82747519999998</v>
      </c>
      <c r="P172" s="211"/>
      <c r="Q172" s="84"/>
      <c r="R172" s="269">
        <v>20.49</v>
      </c>
      <c r="S172" s="233"/>
      <c r="T172" s="233">
        <f t="shared" si="47"/>
        <v>277.58847989999998</v>
      </c>
      <c r="U172" s="211"/>
      <c r="V172" s="84"/>
      <c r="W172" s="269">
        <v>20.8</v>
      </c>
      <c r="X172" s="233"/>
      <c r="Y172" s="233">
        <f t="shared" si="48"/>
        <v>281.788208</v>
      </c>
      <c r="Z172" s="211"/>
      <c r="AA172" s="84"/>
      <c r="AB172" s="138">
        <v>7.77</v>
      </c>
      <c r="AC172" s="233"/>
      <c r="AD172" s="233">
        <f t="shared" si="49"/>
        <v>105.26415269999998</v>
      </c>
      <c r="AE172" s="211"/>
      <c r="AF172" s="84"/>
      <c r="AG172" s="138">
        <v>28.16</v>
      </c>
      <c r="AH172" s="233"/>
      <c r="AI172" s="233">
        <f t="shared" si="50"/>
        <v>381.49788160000003</v>
      </c>
      <c r="AJ172" s="211"/>
      <c r="AK172" s="84"/>
      <c r="AL172" s="388">
        <v>102.49</v>
      </c>
      <c r="AM172" s="233"/>
      <c r="AN172" s="233">
        <f t="shared" si="51"/>
        <v>1388.4842998999998</v>
      </c>
      <c r="AO172" s="211"/>
      <c r="AP172" s="436"/>
      <c r="AQ172" s="138">
        <v>3.74</v>
      </c>
      <c r="AR172" s="233"/>
      <c r="AS172" s="233">
        <f t="shared" si="52"/>
        <v>50.667687400000005</v>
      </c>
      <c r="AT172" s="211"/>
      <c r="AU172" s="84"/>
      <c r="AV172" s="269">
        <v>167.49</v>
      </c>
      <c r="AW172" s="233"/>
      <c r="AX172" s="233">
        <f t="shared" si="53"/>
        <v>2269.0724499000003</v>
      </c>
      <c r="AY172" s="211"/>
      <c r="AZ172" s="84"/>
      <c r="BA172" s="269">
        <v>0.21</v>
      </c>
      <c r="BB172" s="233"/>
      <c r="BC172" s="233">
        <f t="shared" si="54"/>
        <v>2.8449770999999999</v>
      </c>
      <c r="BD172" s="211"/>
      <c r="BE172" s="84"/>
      <c r="BF172" s="211"/>
      <c r="BG172" s="392">
        <v>13547510</v>
      </c>
    </row>
    <row r="173" spans="1:59" ht="12.75">
      <c r="A173" s="422" t="s">
        <v>315</v>
      </c>
      <c r="B173" s="382"/>
      <c r="C173" s="383">
        <v>124.34</v>
      </c>
      <c r="D173" s="233"/>
      <c r="E173" s="233">
        <f t="shared" si="44"/>
        <v>848.29448051999998</v>
      </c>
      <c r="F173" s="211"/>
      <c r="G173" s="84"/>
      <c r="H173" s="429">
        <v>8.73</v>
      </c>
      <c r="I173" s="233"/>
      <c r="J173" s="233">
        <f t="shared" si="45"/>
        <v>59.559359940000007</v>
      </c>
      <c r="K173" s="211"/>
      <c r="L173" s="84"/>
      <c r="M173" s="269">
        <v>11.01</v>
      </c>
      <c r="N173" s="233"/>
      <c r="O173" s="233">
        <f t="shared" si="46"/>
        <v>75.114381780000002</v>
      </c>
      <c r="P173" s="211"/>
      <c r="Q173" s="84"/>
      <c r="R173" s="269">
        <v>24.05</v>
      </c>
      <c r="S173" s="233"/>
      <c r="T173" s="233">
        <f t="shared" si="47"/>
        <v>164.07819090000001</v>
      </c>
      <c r="U173" s="211"/>
      <c r="V173" s="84"/>
      <c r="W173" s="269">
        <v>25.17</v>
      </c>
      <c r="X173" s="233"/>
      <c r="Y173" s="233">
        <f t="shared" si="48"/>
        <v>171.71925426000001</v>
      </c>
      <c r="Z173" s="211"/>
      <c r="AA173" s="84"/>
      <c r="AB173" s="138">
        <v>6.64</v>
      </c>
      <c r="AC173" s="233"/>
      <c r="AD173" s="233">
        <f t="shared" si="49"/>
        <v>45.300589919999993</v>
      </c>
      <c r="AE173" s="211"/>
      <c r="AF173" s="84"/>
      <c r="AG173" s="138">
        <v>84.25</v>
      </c>
      <c r="AH173" s="233"/>
      <c r="AI173" s="233">
        <f t="shared" si="50"/>
        <v>574.78534649999995</v>
      </c>
      <c r="AJ173" s="211"/>
      <c r="AK173" s="84"/>
      <c r="AL173" s="388">
        <v>53.72</v>
      </c>
      <c r="AM173" s="233"/>
      <c r="AN173" s="233">
        <f t="shared" si="51"/>
        <v>366.49814615999998</v>
      </c>
      <c r="AO173" s="211"/>
      <c r="AP173" s="436"/>
      <c r="AQ173" s="138">
        <v>18.399999999999999</v>
      </c>
      <c r="AR173" s="233"/>
      <c r="AS173" s="233">
        <f t="shared" si="52"/>
        <v>125.53175519999999</v>
      </c>
      <c r="AT173" s="211"/>
      <c r="AU173" s="84"/>
      <c r="AV173" s="269">
        <v>138.16</v>
      </c>
      <c r="AW173" s="233"/>
      <c r="AX173" s="233">
        <f t="shared" si="53"/>
        <v>942.57974448000004</v>
      </c>
      <c r="AY173" s="211"/>
      <c r="AZ173" s="84"/>
      <c r="BA173" s="269">
        <v>0.15</v>
      </c>
      <c r="BB173" s="233"/>
      <c r="BC173" s="233">
        <f t="shared" si="54"/>
        <v>1.0233566999999999</v>
      </c>
      <c r="BD173" s="211"/>
      <c r="BE173" s="84"/>
      <c r="BF173" s="211"/>
      <c r="BG173" s="392">
        <v>6822378</v>
      </c>
    </row>
    <row r="174" spans="1:59" ht="12.75">
      <c r="A174" s="422" t="s">
        <v>316</v>
      </c>
      <c r="B174" s="382"/>
      <c r="C174" s="383">
        <v>46.6</v>
      </c>
      <c r="D174" s="233"/>
      <c r="E174" s="233">
        <f t="shared" si="44"/>
        <v>572.87919699999998</v>
      </c>
      <c r="F174" s="211"/>
      <c r="G174" s="84"/>
      <c r="H174" s="383">
        <v>13.49</v>
      </c>
      <c r="I174" s="233"/>
      <c r="J174" s="233">
        <f t="shared" si="45"/>
        <v>165.83992205000001</v>
      </c>
      <c r="K174" s="211"/>
      <c r="L174" s="84"/>
      <c r="M174" s="269">
        <v>16.420000000000002</v>
      </c>
      <c r="N174" s="233"/>
      <c r="O174" s="233">
        <f t="shared" si="46"/>
        <v>201.86000890000003</v>
      </c>
      <c r="P174" s="211"/>
      <c r="Q174" s="84"/>
      <c r="R174" s="269">
        <v>18.45</v>
      </c>
      <c r="S174" s="233"/>
      <c r="T174" s="233">
        <f t="shared" si="47"/>
        <v>226.81590524999999</v>
      </c>
      <c r="U174" s="211"/>
      <c r="V174" s="84"/>
      <c r="W174" s="269">
        <v>11.86</v>
      </c>
      <c r="X174" s="233"/>
      <c r="Y174" s="233">
        <f t="shared" si="48"/>
        <v>145.80144369999999</v>
      </c>
      <c r="Z174" s="211"/>
      <c r="AA174" s="84"/>
      <c r="AB174" s="138">
        <v>2.58</v>
      </c>
      <c r="AC174" s="233"/>
      <c r="AD174" s="233">
        <f t="shared" si="49"/>
        <v>31.7173461</v>
      </c>
      <c r="AE174" s="211"/>
      <c r="AF174" s="84"/>
      <c r="AG174" s="138">
        <v>53.31</v>
      </c>
      <c r="AH174" s="233"/>
      <c r="AI174" s="233">
        <f t="shared" si="50"/>
        <v>655.36888395000005</v>
      </c>
      <c r="AJ174" s="211"/>
      <c r="AK174" s="84"/>
      <c r="AL174" s="394">
        <v>59.99</v>
      </c>
      <c r="AM174" s="233"/>
      <c r="AN174" s="233">
        <f t="shared" si="51"/>
        <v>737.48976455000002</v>
      </c>
      <c r="AO174" s="211"/>
      <c r="AP174" s="436"/>
      <c r="AQ174" s="138">
        <v>16.37</v>
      </c>
      <c r="AR174" s="233"/>
      <c r="AS174" s="233">
        <f t="shared" si="52"/>
        <v>201.24533165</v>
      </c>
      <c r="AT174" s="211"/>
      <c r="AU174" s="84"/>
      <c r="AV174" s="269">
        <v>139.86000000000001</v>
      </c>
      <c r="AW174" s="233"/>
      <c r="AX174" s="233">
        <f t="shared" si="53"/>
        <v>1719.3752037000004</v>
      </c>
      <c r="AY174" s="211"/>
      <c r="AZ174" s="84"/>
      <c r="BA174" s="269">
        <v>1.31</v>
      </c>
      <c r="BB174" s="233"/>
      <c r="BC174" s="233">
        <f t="shared" si="54"/>
        <v>16.10454395</v>
      </c>
      <c r="BD174" s="211"/>
      <c r="BE174" s="84"/>
      <c r="BF174" s="211"/>
      <c r="BG174" s="392">
        <v>12293545</v>
      </c>
    </row>
    <row r="175" spans="1:59" ht="12.75">
      <c r="A175" s="422" t="s">
        <v>317</v>
      </c>
      <c r="B175" s="402"/>
      <c r="C175" s="403">
        <v>141.68</v>
      </c>
      <c r="D175" s="233"/>
      <c r="E175" s="233">
        <f t="shared" si="44"/>
        <v>108.70327160000001</v>
      </c>
      <c r="F175" s="211"/>
      <c r="G175" s="84"/>
      <c r="H175" s="429">
        <v>1.86</v>
      </c>
      <c r="I175" s="233"/>
      <c r="J175" s="233">
        <f t="shared" si="45"/>
        <v>1.4270757000000003</v>
      </c>
      <c r="K175" s="211"/>
      <c r="L175" s="84"/>
      <c r="M175" s="269">
        <v>6.91</v>
      </c>
      <c r="N175" s="233"/>
      <c r="O175" s="233">
        <f t="shared" si="46"/>
        <v>5.3016629499999999</v>
      </c>
      <c r="P175" s="211"/>
      <c r="Q175" s="84"/>
      <c r="R175" s="269">
        <v>38.68</v>
      </c>
      <c r="S175" s="233"/>
      <c r="T175" s="233">
        <f t="shared" si="47"/>
        <v>29.677036600000001</v>
      </c>
      <c r="U175" s="211"/>
      <c r="V175" s="84"/>
      <c r="W175" s="269">
        <v>33.409999999999997</v>
      </c>
      <c r="X175" s="233"/>
      <c r="Y175" s="233">
        <f t="shared" si="48"/>
        <v>25.633655449999996</v>
      </c>
      <c r="Z175" s="211"/>
      <c r="AA175" s="84"/>
      <c r="AB175" s="138">
        <v>30.48</v>
      </c>
      <c r="AC175" s="233"/>
      <c r="AD175" s="233">
        <f t="shared" si="49"/>
        <v>23.385627600000003</v>
      </c>
      <c r="AE175" s="211"/>
      <c r="AF175" s="84"/>
      <c r="AG175" s="138">
        <v>272.45999999999998</v>
      </c>
      <c r="AH175" s="233"/>
      <c r="AI175" s="233">
        <f t="shared" si="50"/>
        <v>209.0435727</v>
      </c>
      <c r="AJ175" s="211"/>
      <c r="AK175" s="84"/>
      <c r="AL175" s="388">
        <v>56.7</v>
      </c>
      <c r="AM175" s="233"/>
      <c r="AN175" s="233">
        <f t="shared" si="51"/>
        <v>43.502791500000001</v>
      </c>
      <c r="AO175" s="211"/>
      <c r="AP175" s="436"/>
      <c r="AQ175" s="138">
        <v>9.75</v>
      </c>
      <c r="AR175" s="233"/>
      <c r="AS175" s="233">
        <f t="shared" si="52"/>
        <v>7.4806387499999998</v>
      </c>
      <c r="AT175" s="211"/>
      <c r="AU175" s="84"/>
      <c r="AV175" s="269">
        <v>176.15</v>
      </c>
      <c r="AW175" s="233"/>
      <c r="AX175" s="233">
        <f t="shared" si="53"/>
        <v>135.15020675</v>
      </c>
      <c r="AY175" s="211"/>
      <c r="AZ175" s="84"/>
      <c r="BA175" s="269">
        <v>0.74</v>
      </c>
      <c r="BB175" s="233"/>
      <c r="BC175" s="233">
        <f t="shared" si="54"/>
        <v>0.56776130000000002</v>
      </c>
      <c r="BD175" s="211"/>
      <c r="BE175" s="84"/>
      <c r="BF175" s="211"/>
      <c r="BG175" s="392">
        <v>767245</v>
      </c>
    </row>
    <row r="176" spans="1:59" ht="12.75">
      <c r="A176" s="422" t="s">
        <v>318</v>
      </c>
      <c r="B176" s="382"/>
      <c r="C176" s="383">
        <v>91.33</v>
      </c>
      <c r="D176" s="233"/>
      <c r="E176" s="233">
        <f t="shared" si="44"/>
        <v>669.12887967999995</v>
      </c>
      <c r="F176" s="211"/>
      <c r="G176" s="84"/>
      <c r="H176" s="429">
        <v>4.34</v>
      </c>
      <c r="I176" s="233"/>
      <c r="J176" s="233">
        <f t="shared" si="45"/>
        <v>31.796992639999999</v>
      </c>
      <c r="K176" s="211"/>
      <c r="L176" s="84"/>
      <c r="M176" s="269">
        <v>11.57</v>
      </c>
      <c r="N176" s="233"/>
      <c r="O176" s="233">
        <f t="shared" si="46"/>
        <v>84.767558719999997</v>
      </c>
      <c r="P176" s="211"/>
      <c r="Q176" s="84"/>
      <c r="R176" s="269">
        <v>23.2</v>
      </c>
      <c r="S176" s="233"/>
      <c r="T176" s="233">
        <f t="shared" si="47"/>
        <v>169.97470719999998</v>
      </c>
      <c r="U176" s="211"/>
      <c r="V176" s="84"/>
      <c r="W176" s="269">
        <v>7.33</v>
      </c>
      <c r="X176" s="233"/>
      <c r="Y176" s="233">
        <f t="shared" si="48"/>
        <v>53.70321568</v>
      </c>
      <c r="Z176" s="211"/>
      <c r="AA176" s="84"/>
      <c r="AB176" s="138">
        <v>3.15</v>
      </c>
      <c r="AC176" s="233"/>
      <c r="AD176" s="233">
        <f t="shared" si="49"/>
        <v>23.078462399999999</v>
      </c>
      <c r="AE176" s="211"/>
      <c r="AF176" s="84"/>
      <c r="AG176" s="138">
        <v>25.09</v>
      </c>
      <c r="AH176" s="233"/>
      <c r="AI176" s="233">
        <f t="shared" si="50"/>
        <v>183.82178463999998</v>
      </c>
      <c r="AJ176" s="211"/>
      <c r="AK176" s="84"/>
      <c r="AL176" s="388">
        <v>86.41</v>
      </c>
      <c r="AM176" s="233"/>
      <c r="AN176" s="233">
        <f t="shared" si="51"/>
        <v>633.08251935999999</v>
      </c>
      <c r="AO176" s="211"/>
      <c r="AP176" s="436"/>
      <c r="AQ176" s="138">
        <v>12.68</v>
      </c>
      <c r="AR176" s="233"/>
      <c r="AS176" s="233">
        <f t="shared" si="52"/>
        <v>92.899969280000008</v>
      </c>
      <c r="AT176" s="211"/>
      <c r="AU176" s="84"/>
      <c r="AV176" s="269">
        <v>133.22</v>
      </c>
      <c r="AW176" s="233"/>
      <c r="AX176" s="233">
        <f t="shared" si="53"/>
        <v>976.03579711999998</v>
      </c>
      <c r="AY176" s="211"/>
      <c r="AZ176" s="84"/>
      <c r="BA176" s="269">
        <v>0.27</v>
      </c>
      <c r="BB176" s="233"/>
      <c r="BC176" s="233">
        <f t="shared" si="54"/>
        <v>1.9781539200000002</v>
      </c>
      <c r="BD176" s="211"/>
      <c r="BE176" s="84"/>
      <c r="BF176" s="211"/>
      <c r="BG176" s="392">
        <v>7326496</v>
      </c>
    </row>
    <row r="177" spans="1:59" ht="12.75">
      <c r="A177" s="422" t="s">
        <v>319</v>
      </c>
      <c r="B177" s="382"/>
      <c r="C177" s="383">
        <v>111.87</v>
      </c>
      <c r="D177" s="233"/>
      <c r="E177" s="233">
        <f t="shared" si="44"/>
        <v>12020.378361749999</v>
      </c>
      <c r="F177" s="211"/>
      <c r="G177" s="84"/>
      <c r="H177" s="269">
        <v>19.309999999999999</v>
      </c>
      <c r="I177" s="233"/>
      <c r="J177" s="233">
        <f t="shared" si="45"/>
        <v>2074.8503277499999</v>
      </c>
      <c r="K177" s="211"/>
      <c r="L177" s="84"/>
      <c r="M177" s="269">
        <v>34.799999999999997</v>
      </c>
      <c r="N177" s="233"/>
      <c r="O177" s="233">
        <f t="shared" si="46"/>
        <v>3739.2434699999994</v>
      </c>
      <c r="P177" s="211"/>
      <c r="Q177" s="84"/>
      <c r="R177" s="269">
        <v>34.46</v>
      </c>
      <c r="S177" s="233"/>
      <c r="T177" s="233">
        <f t="shared" si="47"/>
        <v>3702.7106315000001</v>
      </c>
      <c r="U177" s="211"/>
      <c r="V177" s="84"/>
      <c r="W177" s="269">
        <v>17.079999999999998</v>
      </c>
      <c r="X177" s="233"/>
      <c r="Y177" s="233">
        <f t="shared" si="48"/>
        <v>1835.2378869999998</v>
      </c>
      <c r="Z177" s="211"/>
      <c r="AA177" s="84"/>
      <c r="AB177" s="138">
        <v>14.38</v>
      </c>
      <c r="AC177" s="233"/>
      <c r="AD177" s="233">
        <f t="shared" si="49"/>
        <v>1545.1241695000001</v>
      </c>
      <c r="AE177" s="211"/>
      <c r="AF177" s="84"/>
      <c r="AG177" s="138">
        <v>75.52</v>
      </c>
      <c r="AH177" s="233"/>
      <c r="AI177" s="233">
        <f t="shared" si="50"/>
        <v>8114.5881280000003</v>
      </c>
      <c r="AJ177" s="211"/>
      <c r="AK177" s="84"/>
      <c r="AL177" s="394">
        <v>107.44</v>
      </c>
      <c r="AM177" s="233"/>
      <c r="AN177" s="233">
        <f t="shared" si="51"/>
        <v>11544.376966</v>
      </c>
      <c r="AO177" s="211"/>
      <c r="AP177" s="436"/>
      <c r="AQ177" s="138">
        <v>13.2</v>
      </c>
      <c r="AR177" s="233"/>
      <c r="AS177" s="233">
        <f t="shared" si="52"/>
        <v>1418.3337300000001</v>
      </c>
      <c r="AT177" s="211"/>
      <c r="AU177" s="84"/>
      <c r="AV177" s="269">
        <v>157.44</v>
      </c>
      <c r="AW177" s="233"/>
      <c r="AX177" s="233">
        <f t="shared" si="53"/>
        <v>16916.853216</v>
      </c>
      <c r="AY177" s="211"/>
      <c r="AZ177" s="84"/>
      <c r="BA177" s="269">
        <v>1.24</v>
      </c>
      <c r="BB177" s="233"/>
      <c r="BC177" s="233">
        <f t="shared" si="54"/>
        <v>133.23741100000001</v>
      </c>
      <c r="BD177" s="211"/>
      <c r="BE177" s="84"/>
      <c r="BF177" s="211"/>
      <c r="BG177" s="392">
        <v>107449525</v>
      </c>
    </row>
    <row r="178" spans="1:59" ht="12.75">
      <c r="A178" s="422" t="s">
        <v>320</v>
      </c>
      <c r="B178" s="382"/>
      <c r="C178" s="383">
        <v>85.16</v>
      </c>
      <c r="D178" s="233"/>
      <c r="E178" s="233">
        <f t="shared" si="44"/>
        <v>474.35218563999996</v>
      </c>
      <c r="F178" s="211"/>
      <c r="G178" s="84"/>
      <c r="H178" s="269">
        <v>5.45</v>
      </c>
      <c r="I178" s="233"/>
      <c r="J178" s="233">
        <f t="shared" si="45"/>
        <v>30.357203050000003</v>
      </c>
      <c r="K178" s="211"/>
      <c r="L178" s="84"/>
      <c r="M178" s="269">
        <v>7.24</v>
      </c>
      <c r="N178" s="233"/>
      <c r="O178" s="233">
        <f t="shared" si="46"/>
        <v>40.327733960000003</v>
      </c>
      <c r="P178" s="211"/>
      <c r="Q178" s="84"/>
      <c r="R178" s="269">
        <v>20.47</v>
      </c>
      <c r="S178" s="233"/>
      <c r="T178" s="233">
        <f t="shared" si="47"/>
        <v>114.02054063</v>
      </c>
      <c r="U178" s="211"/>
      <c r="V178" s="84"/>
      <c r="W178" s="269">
        <v>18.760000000000002</v>
      </c>
      <c r="X178" s="233"/>
      <c r="Y178" s="233">
        <f t="shared" si="48"/>
        <v>104.49562004000001</v>
      </c>
      <c r="Z178" s="211"/>
      <c r="AA178" s="84"/>
      <c r="AB178" s="138">
        <v>6.51</v>
      </c>
      <c r="AC178" s="233"/>
      <c r="AD178" s="233">
        <f t="shared" si="49"/>
        <v>36.26153979</v>
      </c>
      <c r="AE178" s="211"/>
      <c r="AF178" s="84"/>
      <c r="AG178" s="138">
        <v>35.549999999999997</v>
      </c>
      <c r="AH178" s="233"/>
      <c r="AI178" s="233">
        <f t="shared" si="50"/>
        <v>198.01808595</v>
      </c>
      <c r="AJ178" s="211"/>
      <c r="AK178" s="84"/>
      <c r="AL178" s="394">
        <v>39.08</v>
      </c>
      <c r="AM178" s="233"/>
      <c r="AN178" s="233">
        <f t="shared" si="51"/>
        <v>217.68064132000001</v>
      </c>
      <c r="AO178" s="211"/>
      <c r="AP178" s="436"/>
      <c r="AQ178" s="138">
        <v>15.82</v>
      </c>
      <c r="AR178" s="233"/>
      <c r="AS178" s="233">
        <f t="shared" si="52"/>
        <v>88.119440780000005</v>
      </c>
      <c r="AT178" s="211"/>
      <c r="AU178" s="84"/>
      <c r="AV178" s="269">
        <v>165.46</v>
      </c>
      <c r="AW178" s="233"/>
      <c r="AX178" s="233">
        <f t="shared" si="53"/>
        <v>921.63354434000007</v>
      </c>
      <c r="AY178" s="211"/>
      <c r="AZ178" s="84"/>
      <c r="BA178" s="269">
        <v>0.03</v>
      </c>
      <c r="BB178" s="233"/>
      <c r="BC178" s="233">
        <f t="shared" si="54"/>
        <v>0.16710386999999999</v>
      </c>
      <c r="BD178" s="211"/>
      <c r="BE178" s="84"/>
      <c r="BF178" s="211"/>
      <c r="BG178" s="392">
        <v>5570129</v>
      </c>
    </row>
    <row r="179" spans="1:59" ht="12.75">
      <c r="A179" s="447" t="s">
        <v>321</v>
      </c>
      <c r="B179" s="382"/>
      <c r="C179" s="383">
        <v>70.290000000000006</v>
      </c>
      <c r="D179" s="233"/>
      <c r="E179" s="233">
        <f t="shared" si="44"/>
        <v>224.31781251000001</v>
      </c>
      <c r="F179" s="211"/>
      <c r="G179" s="84"/>
      <c r="H179" s="269">
        <v>6.01</v>
      </c>
      <c r="I179" s="233"/>
      <c r="J179" s="233">
        <f t="shared" si="45"/>
        <v>19.179827189999997</v>
      </c>
      <c r="K179" s="211"/>
      <c r="L179" s="84"/>
      <c r="M179" s="269">
        <v>31.18</v>
      </c>
      <c r="N179" s="233"/>
      <c r="O179" s="233">
        <f t="shared" si="46"/>
        <v>99.505326420000003</v>
      </c>
      <c r="P179" s="211"/>
      <c r="Q179" s="84"/>
      <c r="R179" s="269">
        <v>33.92</v>
      </c>
      <c r="S179" s="233"/>
      <c r="T179" s="233">
        <f t="shared" si="47"/>
        <v>108.24954048000001</v>
      </c>
      <c r="U179" s="211"/>
      <c r="V179" s="84"/>
      <c r="W179" s="269">
        <v>17.059999999999999</v>
      </c>
      <c r="X179" s="233"/>
      <c r="Y179" s="233">
        <f t="shared" si="48"/>
        <v>54.443902139999992</v>
      </c>
      <c r="Z179" s="211"/>
      <c r="AA179" s="84"/>
      <c r="AB179" s="138">
        <v>13.12</v>
      </c>
      <c r="AC179" s="233"/>
      <c r="AD179" s="233">
        <f t="shared" si="49"/>
        <v>41.870105280000004</v>
      </c>
      <c r="AE179" s="211"/>
      <c r="AF179" s="84"/>
      <c r="AG179" s="138">
        <v>25.43</v>
      </c>
      <c r="AH179" s="233"/>
      <c r="AI179" s="233">
        <f t="shared" si="50"/>
        <v>81.155242170000008</v>
      </c>
      <c r="AJ179" s="211"/>
      <c r="AK179" s="84"/>
      <c r="AL179" s="394">
        <v>89.46</v>
      </c>
      <c r="AM179" s="233"/>
      <c r="AN179" s="233">
        <f t="shared" si="51"/>
        <v>285.49539773999999</v>
      </c>
      <c r="AO179" s="211"/>
      <c r="AP179" s="436"/>
      <c r="AQ179" s="138">
        <v>7.9</v>
      </c>
      <c r="AR179" s="233"/>
      <c r="AS179" s="233">
        <f t="shared" si="52"/>
        <v>25.211420100000002</v>
      </c>
      <c r="AT179" s="211"/>
      <c r="AU179" s="84"/>
      <c r="AV179" s="269">
        <v>187.22</v>
      </c>
      <c r="AW179" s="233"/>
      <c r="AX179" s="233">
        <f t="shared" si="53"/>
        <v>597.47874317999992</v>
      </c>
      <c r="AY179" s="211"/>
      <c r="AZ179" s="84"/>
      <c r="BA179" s="269">
        <v>0.47</v>
      </c>
      <c r="BB179" s="233"/>
      <c r="BC179" s="233">
        <f t="shared" si="54"/>
        <v>1.4999199299999999</v>
      </c>
      <c r="BD179" s="211"/>
      <c r="BE179" s="84"/>
      <c r="BF179" s="211"/>
      <c r="BG179" s="392">
        <v>3191319</v>
      </c>
    </row>
    <row r="180" spans="1:59" ht="12.75">
      <c r="A180" s="422" t="s">
        <v>322</v>
      </c>
      <c r="B180" s="382"/>
      <c r="C180" s="383">
        <v>75.72</v>
      </c>
      <c r="D180" s="233"/>
      <c r="E180" s="233">
        <f t="shared" si="44"/>
        <v>492.66945407999998</v>
      </c>
      <c r="F180" s="211"/>
      <c r="G180" s="84"/>
      <c r="H180" s="269">
        <v>12.08</v>
      </c>
      <c r="I180" s="233"/>
      <c r="J180" s="233">
        <f t="shared" si="45"/>
        <v>78.598085120000007</v>
      </c>
      <c r="K180" s="211"/>
      <c r="L180" s="84"/>
      <c r="M180" s="269">
        <v>30.92</v>
      </c>
      <c r="N180" s="233"/>
      <c r="O180" s="233">
        <f t="shared" si="46"/>
        <v>201.17986688000002</v>
      </c>
      <c r="P180" s="211"/>
      <c r="Q180" s="84"/>
      <c r="R180" s="269">
        <v>9.9700000000000006</v>
      </c>
      <c r="S180" s="233"/>
      <c r="T180" s="233">
        <f t="shared" si="47"/>
        <v>64.869446080000003</v>
      </c>
      <c r="U180" s="211"/>
      <c r="V180" s="84"/>
      <c r="W180" s="269">
        <v>171.53</v>
      </c>
      <c r="X180" s="233"/>
      <c r="Y180" s="233">
        <f t="shared" si="48"/>
        <v>1116.0537699200001</v>
      </c>
      <c r="Z180" s="211"/>
      <c r="AA180" s="84"/>
      <c r="AB180" s="138">
        <v>4.17</v>
      </c>
      <c r="AC180" s="233"/>
      <c r="AD180" s="233">
        <f t="shared" si="49"/>
        <v>27.131954879999999</v>
      </c>
      <c r="AE180" s="211"/>
      <c r="AF180" s="84"/>
      <c r="AG180" s="138">
        <v>49.62</v>
      </c>
      <c r="AH180" s="233"/>
      <c r="AI180" s="233">
        <f t="shared" si="50"/>
        <v>322.85074367999999</v>
      </c>
      <c r="AJ180" s="211"/>
      <c r="AK180" s="84"/>
      <c r="AL180" s="388">
        <v>73.040000000000006</v>
      </c>
      <c r="AM180" s="233"/>
      <c r="AN180" s="233">
        <f t="shared" si="51"/>
        <v>475.23213056000009</v>
      </c>
      <c r="AO180" s="211"/>
      <c r="AP180" s="436"/>
      <c r="AQ180" s="138">
        <v>9.8699999999999992</v>
      </c>
      <c r="AR180" s="233"/>
      <c r="AS180" s="233">
        <f t="shared" si="52"/>
        <v>64.218799679999989</v>
      </c>
      <c r="AT180" s="211"/>
      <c r="AU180" s="84"/>
      <c r="AV180" s="269">
        <v>111.15</v>
      </c>
      <c r="AW180" s="233"/>
      <c r="AX180" s="233">
        <f t="shared" si="53"/>
        <v>723.19347360000006</v>
      </c>
      <c r="AY180" s="211"/>
      <c r="AZ180" s="84"/>
      <c r="BA180" s="269">
        <v>0.04</v>
      </c>
      <c r="BB180" s="233"/>
      <c r="BC180" s="233">
        <f t="shared" si="54"/>
        <v>0.26025855999999997</v>
      </c>
      <c r="BD180" s="211"/>
      <c r="BE180" s="84"/>
      <c r="BF180" s="211"/>
      <c r="BG180" s="392">
        <v>6506464</v>
      </c>
    </row>
    <row r="181" spans="1:59" ht="12.75">
      <c r="A181" s="422" t="s">
        <v>323</v>
      </c>
      <c r="B181" s="382"/>
      <c r="C181" s="383">
        <v>62.15</v>
      </c>
      <c r="D181" s="233"/>
      <c r="E181" s="233">
        <f t="shared" si="44"/>
        <v>1759.00677645</v>
      </c>
      <c r="F181" s="211"/>
      <c r="G181" s="84"/>
      <c r="H181" s="269">
        <v>8.9499999999999993</v>
      </c>
      <c r="I181" s="233"/>
      <c r="J181" s="233">
        <f t="shared" si="45"/>
        <v>253.30829685</v>
      </c>
      <c r="K181" s="211"/>
      <c r="L181" s="84"/>
      <c r="M181" s="269">
        <v>11</v>
      </c>
      <c r="N181" s="233"/>
      <c r="O181" s="233">
        <f t="shared" si="46"/>
        <v>311.32863300000002</v>
      </c>
      <c r="P181" s="211"/>
      <c r="Q181" s="84"/>
      <c r="R181" s="269">
        <v>13.59</v>
      </c>
      <c r="S181" s="233"/>
      <c r="T181" s="233">
        <f t="shared" si="47"/>
        <v>384.63237476999996</v>
      </c>
      <c r="U181" s="211"/>
      <c r="V181" s="84"/>
      <c r="W181" s="269">
        <v>131.68</v>
      </c>
      <c r="X181" s="233"/>
      <c r="Y181" s="233">
        <f t="shared" si="48"/>
        <v>3726.88676304</v>
      </c>
      <c r="Z181" s="211"/>
      <c r="AA181" s="84"/>
      <c r="AB181" s="138">
        <v>25.04</v>
      </c>
      <c r="AC181" s="233"/>
      <c r="AD181" s="233">
        <f t="shared" si="49"/>
        <v>708.69717911999999</v>
      </c>
      <c r="AE181" s="211"/>
      <c r="AF181" s="84"/>
      <c r="AG181" s="138">
        <v>66.86</v>
      </c>
      <c r="AH181" s="233"/>
      <c r="AI181" s="233">
        <f t="shared" si="50"/>
        <v>1892.3120365799998</v>
      </c>
      <c r="AJ181" s="211"/>
      <c r="AK181" s="84"/>
      <c r="AL181" s="394">
        <v>118.21</v>
      </c>
      <c r="AM181" s="233"/>
      <c r="AN181" s="233">
        <f t="shared" si="51"/>
        <v>3345.6507006299998</v>
      </c>
      <c r="AO181" s="211"/>
      <c r="AP181" s="436"/>
      <c r="AQ181" s="138">
        <v>10.6</v>
      </c>
      <c r="AR181" s="233"/>
      <c r="AS181" s="233">
        <f t="shared" si="52"/>
        <v>300.0075918</v>
      </c>
      <c r="AT181" s="211"/>
      <c r="AU181" s="84"/>
      <c r="AV181" s="269">
        <v>160.52000000000001</v>
      </c>
      <c r="AW181" s="233"/>
      <c r="AX181" s="233">
        <f t="shared" si="53"/>
        <v>4543.1338335600003</v>
      </c>
      <c r="AY181" s="211"/>
      <c r="AZ181" s="84"/>
      <c r="BA181" s="269">
        <v>0.31</v>
      </c>
      <c r="BB181" s="233"/>
      <c r="BC181" s="233">
        <f t="shared" si="54"/>
        <v>8.7738069299999992</v>
      </c>
      <c r="BD181" s="211"/>
      <c r="BE181" s="84"/>
      <c r="BF181" s="211"/>
      <c r="BG181" s="392">
        <v>28302603</v>
      </c>
    </row>
    <row r="182" spans="1:59" ht="12.75">
      <c r="A182" s="422" t="s">
        <v>324</v>
      </c>
      <c r="B182" s="382"/>
      <c r="C182" s="383">
        <v>48.97</v>
      </c>
      <c r="D182" s="233"/>
      <c r="E182" s="233">
        <f t="shared" si="44"/>
        <v>21.503559489999997</v>
      </c>
      <c r="F182" s="211"/>
      <c r="G182" s="84"/>
      <c r="H182" s="269">
        <v>6.29</v>
      </c>
      <c r="I182" s="233"/>
      <c r="J182" s="233">
        <f t="shared" si="45"/>
        <v>2.7620459300000002</v>
      </c>
      <c r="K182" s="211"/>
      <c r="L182" s="84"/>
      <c r="M182" s="269">
        <v>10.71</v>
      </c>
      <c r="N182" s="233"/>
      <c r="O182" s="233">
        <f t="shared" si="46"/>
        <v>4.7029430699999999</v>
      </c>
      <c r="P182" s="211"/>
      <c r="Q182" s="84"/>
      <c r="R182" s="269">
        <v>33.46</v>
      </c>
      <c r="S182" s="233"/>
      <c r="T182" s="233">
        <f t="shared" si="47"/>
        <v>14.692854820000001</v>
      </c>
      <c r="U182" s="211"/>
      <c r="V182" s="84"/>
      <c r="W182" s="269">
        <v>29.12</v>
      </c>
      <c r="X182" s="233"/>
      <c r="Y182" s="233">
        <f t="shared" si="48"/>
        <v>12.787087040000001</v>
      </c>
      <c r="Z182" s="211"/>
      <c r="AA182" s="84"/>
      <c r="AB182" s="138">
        <v>16.690000000000001</v>
      </c>
      <c r="AC182" s="233"/>
      <c r="AD182" s="233">
        <f t="shared" si="49"/>
        <v>7.3288627300000009</v>
      </c>
      <c r="AE182" s="211"/>
      <c r="AF182" s="84"/>
      <c r="AG182" s="138">
        <v>62.47</v>
      </c>
      <c r="AH182" s="233"/>
      <c r="AI182" s="233">
        <f t="shared" si="50"/>
        <v>27.43163899</v>
      </c>
      <c r="AJ182" s="211"/>
      <c r="AK182" s="84"/>
      <c r="AL182" s="388">
        <v>116.46</v>
      </c>
      <c r="AM182" s="233"/>
      <c r="AN182" s="233">
        <f t="shared" si="51"/>
        <v>51.139565820000001</v>
      </c>
      <c r="AO182" s="211"/>
      <c r="AP182" s="436"/>
      <c r="AQ182" s="138">
        <v>4.41</v>
      </c>
      <c r="AR182" s="233"/>
      <c r="AS182" s="233">
        <f t="shared" si="52"/>
        <v>1.93650597</v>
      </c>
      <c r="AT182" s="211"/>
      <c r="AU182" s="84"/>
      <c r="AV182" s="269">
        <v>165.69</v>
      </c>
      <c r="AW182" s="233"/>
      <c r="AX182" s="233">
        <f t="shared" si="53"/>
        <v>72.75729573000001</v>
      </c>
      <c r="AY182" s="211"/>
      <c r="AZ182" s="84"/>
      <c r="BA182" s="269">
        <v>0</v>
      </c>
      <c r="BB182" s="233"/>
      <c r="BC182" s="233">
        <f t="shared" si="54"/>
        <v>0</v>
      </c>
      <c r="BD182" s="211"/>
      <c r="BE182" s="84"/>
      <c r="BF182" s="211"/>
      <c r="BG182" s="392">
        <v>439117</v>
      </c>
    </row>
    <row r="183" spans="1:59" ht="12.75">
      <c r="A183" s="422" t="s">
        <v>325</v>
      </c>
      <c r="B183" s="382"/>
      <c r="C183" s="383">
        <v>210.54</v>
      </c>
      <c r="D183" s="233"/>
      <c r="E183" s="233">
        <f t="shared" si="44"/>
        <v>722.55896327999994</v>
      </c>
      <c r="F183" s="211"/>
      <c r="G183" s="84"/>
      <c r="H183" s="383">
        <v>11.83</v>
      </c>
      <c r="I183" s="233"/>
      <c r="J183" s="233">
        <f t="shared" si="45"/>
        <v>40.599755560000006</v>
      </c>
      <c r="K183" s="211"/>
      <c r="L183" s="84"/>
      <c r="M183" s="269">
        <v>43.93</v>
      </c>
      <c r="N183" s="233"/>
      <c r="O183" s="233">
        <f t="shared" si="46"/>
        <v>150.76477276</v>
      </c>
      <c r="P183" s="211"/>
      <c r="Q183" s="84"/>
      <c r="R183" s="269">
        <v>9.39</v>
      </c>
      <c r="S183" s="233"/>
      <c r="T183" s="233">
        <f t="shared" si="47"/>
        <v>32.22584148</v>
      </c>
      <c r="U183" s="211"/>
      <c r="V183" s="84"/>
      <c r="W183" s="269">
        <v>47.6</v>
      </c>
      <c r="X183" s="233"/>
      <c r="Y183" s="233">
        <f t="shared" si="48"/>
        <v>163.35996320000001</v>
      </c>
      <c r="Z183" s="211"/>
      <c r="AA183" s="84"/>
      <c r="AB183" s="138">
        <v>9.23</v>
      </c>
      <c r="AC183" s="233"/>
      <c r="AD183" s="233">
        <f t="shared" si="49"/>
        <v>31.676732360000003</v>
      </c>
      <c r="AE183" s="211"/>
      <c r="AF183" s="84"/>
      <c r="AG183" s="138">
        <v>59.93</v>
      </c>
      <c r="AH183" s="233"/>
      <c r="AI183" s="233">
        <f t="shared" si="50"/>
        <v>205.67568476</v>
      </c>
      <c r="AJ183" s="211"/>
      <c r="AK183" s="84"/>
      <c r="AL183" s="394">
        <v>71.27</v>
      </c>
      <c r="AM183" s="233"/>
      <c r="AN183" s="233">
        <f t="shared" si="51"/>
        <v>244.59379363999997</v>
      </c>
      <c r="AO183" s="211"/>
      <c r="AP183" s="436"/>
      <c r="AQ183" s="138">
        <v>4.07</v>
      </c>
      <c r="AR183" s="233"/>
      <c r="AS183" s="233">
        <f t="shared" si="52"/>
        <v>13.96796324</v>
      </c>
      <c r="AT183" s="211"/>
      <c r="AU183" s="84"/>
      <c r="AV183" s="269">
        <v>161.41999999999999</v>
      </c>
      <c r="AW183" s="233"/>
      <c r="AX183" s="233">
        <f t="shared" si="53"/>
        <v>553.98246343999995</v>
      </c>
      <c r="AY183" s="211"/>
      <c r="AZ183" s="84"/>
      <c r="BA183" s="269">
        <v>0.23</v>
      </c>
      <c r="BB183" s="233"/>
      <c r="BC183" s="233">
        <f t="shared" si="54"/>
        <v>0.78934435999999997</v>
      </c>
      <c r="BD183" s="211"/>
      <c r="BE183" s="84"/>
      <c r="BF183" s="211"/>
      <c r="BG183" s="392">
        <v>3431932</v>
      </c>
    </row>
    <row r="184" spans="1:59" ht="12.75">
      <c r="A184" s="448" t="s">
        <v>326</v>
      </c>
      <c r="B184" s="382"/>
      <c r="C184" s="383">
        <v>117.79</v>
      </c>
      <c r="D184" s="233"/>
      <c r="E184" s="233">
        <f t="shared" si="44"/>
        <v>9941.8253651400009</v>
      </c>
      <c r="F184" s="211"/>
      <c r="G184" s="84"/>
      <c r="H184" s="269">
        <v>3.62</v>
      </c>
      <c r="I184" s="233"/>
      <c r="J184" s="233">
        <f t="shared" si="45"/>
        <v>305.53873692000002</v>
      </c>
      <c r="K184" s="211"/>
      <c r="L184" s="84"/>
      <c r="M184" s="269">
        <v>20.61</v>
      </c>
      <c r="N184" s="233"/>
      <c r="O184" s="233">
        <f t="shared" si="46"/>
        <v>1739.5451292600001</v>
      </c>
      <c r="P184" s="211"/>
      <c r="Q184" s="84"/>
      <c r="R184" s="269">
        <v>15.61</v>
      </c>
      <c r="S184" s="233"/>
      <c r="T184" s="233">
        <f t="shared" si="47"/>
        <v>1317.53029926</v>
      </c>
      <c r="U184" s="211"/>
      <c r="V184" s="84"/>
      <c r="W184" s="269">
        <v>30.62</v>
      </c>
      <c r="X184" s="233"/>
      <c r="Y184" s="233">
        <f t="shared" si="48"/>
        <v>2584.4188189199999</v>
      </c>
      <c r="Z184" s="211"/>
      <c r="AA184" s="84"/>
      <c r="AB184" s="138">
        <v>10.1</v>
      </c>
      <c r="AC184" s="233"/>
      <c r="AD184" s="233">
        <f t="shared" si="49"/>
        <v>852.46995660000005</v>
      </c>
      <c r="AE184" s="211"/>
      <c r="AF184" s="84"/>
      <c r="AG184" s="138">
        <v>44.3</v>
      </c>
      <c r="AH184" s="233"/>
      <c r="AI184" s="233">
        <f t="shared" si="50"/>
        <v>3739.0513937999999</v>
      </c>
      <c r="AJ184" s="211"/>
      <c r="AK184" s="84"/>
      <c r="AL184" s="388">
        <v>81.680000000000007</v>
      </c>
      <c r="AM184" s="233"/>
      <c r="AN184" s="233">
        <f t="shared" si="51"/>
        <v>6894.0342628799999</v>
      </c>
      <c r="AO184" s="211"/>
      <c r="AP184" s="436"/>
      <c r="AQ184" s="138">
        <v>5.08</v>
      </c>
      <c r="AR184" s="233"/>
      <c r="AS184" s="233">
        <f t="shared" si="52"/>
        <v>428.76706728000005</v>
      </c>
      <c r="AT184" s="211"/>
      <c r="AU184" s="84"/>
      <c r="AV184" s="269">
        <v>131.47999999999999</v>
      </c>
      <c r="AW184" s="233"/>
      <c r="AX184" s="233">
        <f t="shared" si="53"/>
        <v>11097.301969679998</v>
      </c>
      <c r="AY184" s="211"/>
      <c r="AZ184" s="84"/>
      <c r="BA184" s="269">
        <v>0</v>
      </c>
      <c r="BB184" s="233"/>
      <c r="BC184" s="233">
        <f t="shared" si="54"/>
        <v>0</v>
      </c>
      <c r="BD184" s="211"/>
      <c r="BE184" s="84"/>
      <c r="BF184" s="211"/>
      <c r="BG184" s="392">
        <v>84402966</v>
      </c>
    </row>
    <row r="185" spans="1:59" ht="12.75">
      <c r="A185" s="211"/>
      <c r="B185" s="449"/>
      <c r="C185" s="450"/>
      <c r="D185" s="211"/>
      <c r="E185" s="211"/>
      <c r="F185" s="211"/>
      <c r="G185" s="84"/>
      <c r="H185" s="211"/>
      <c r="I185" s="211"/>
      <c r="J185" s="211"/>
      <c r="K185" s="211"/>
      <c r="L185" s="84"/>
      <c r="M185" s="211"/>
      <c r="N185" s="211"/>
      <c r="O185" s="211"/>
      <c r="P185" s="211"/>
      <c r="Q185" s="84"/>
      <c r="R185" s="211"/>
      <c r="S185" s="211"/>
      <c r="T185" s="211"/>
      <c r="U185" s="211"/>
      <c r="V185" s="84"/>
      <c r="W185" s="211"/>
      <c r="X185" s="211"/>
      <c r="Y185" s="211"/>
      <c r="Z185" s="211"/>
      <c r="AA185" s="84"/>
      <c r="AB185" s="146"/>
      <c r="AC185" s="211"/>
      <c r="AD185" s="211"/>
      <c r="AE185" s="211"/>
      <c r="AF185" s="84"/>
      <c r="AG185" s="146"/>
      <c r="AH185" s="211"/>
      <c r="AI185" s="211"/>
      <c r="AJ185" s="211"/>
      <c r="AK185" s="84"/>
      <c r="AL185" s="146"/>
      <c r="AM185" s="211"/>
      <c r="AN185" s="211"/>
      <c r="AO185" s="211"/>
      <c r="AP185" s="436"/>
      <c r="AQ185" s="146"/>
      <c r="AR185" s="211"/>
      <c r="AS185" s="211"/>
      <c r="AT185" s="211"/>
      <c r="AU185" s="84"/>
      <c r="AV185" s="211"/>
      <c r="AW185" s="211"/>
      <c r="AX185" s="211"/>
      <c r="AY185" s="211"/>
      <c r="AZ185" s="84"/>
      <c r="BA185" s="211"/>
      <c r="BB185" s="211"/>
      <c r="BC185" s="211"/>
      <c r="BD185" s="211"/>
      <c r="BE185" s="84"/>
      <c r="BF185" s="211"/>
      <c r="BG185" s="451"/>
    </row>
    <row r="186" spans="1:59" ht="12.75">
      <c r="A186" s="211"/>
      <c r="B186" s="449"/>
      <c r="C186" s="450"/>
      <c r="D186" s="211"/>
      <c r="E186" s="211"/>
      <c r="F186" s="211"/>
      <c r="G186" s="84"/>
      <c r="H186" s="211"/>
      <c r="I186" s="211"/>
      <c r="J186" s="211"/>
      <c r="K186" s="211"/>
      <c r="L186" s="84"/>
      <c r="M186" s="211"/>
      <c r="N186" s="211"/>
      <c r="O186" s="211"/>
      <c r="P186" s="211"/>
      <c r="Q186" s="84"/>
      <c r="R186" s="211"/>
      <c r="S186" s="211"/>
      <c r="T186" s="211"/>
      <c r="U186" s="211"/>
      <c r="V186" s="84"/>
      <c r="W186" s="211"/>
      <c r="X186" s="211"/>
      <c r="Y186" s="211"/>
      <c r="Z186" s="211"/>
      <c r="AA186" s="84"/>
      <c r="AB186" s="146"/>
      <c r="AC186" s="211"/>
      <c r="AD186" s="211"/>
      <c r="AE186" s="211"/>
      <c r="AF186" s="84"/>
      <c r="AG186" s="146"/>
      <c r="AH186" s="211"/>
      <c r="AI186" s="211"/>
      <c r="AJ186" s="211"/>
      <c r="AK186" s="84"/>
      <c r="AL186" s="146"/>
      <c r="AM186" s="211"/>
      <c r="AN186" s="211"/>
      <c r="AO186" s="211"/>
      <c r="AP186" s="436"/>
      <c r="AQ186" s="146"/>
      <c r="AR186" s="211"/>
      <c r="AS186" s="211"/>
      <c r="AT186" s="211"/>
      <c r="AU186" s="84"/>
      <c r="AV186" s="211"/>
      <c r="AW186" s="211"/>
      <c r="AX186" s="211"/>
      <c r="AY186" s="211"/>
      <c r="AZ186" s="84"/>
      <c r="BA186" s="211"/>
      <c r="BB186" s="211"/>
      <c r="BC186" s="211"/>
      <c r="BD186" s="211"/>
      <c r="BE186" s="84"/>
      <c r="BF186" s="211"/>
      <c r="BG186" s="451"/>
    </row>
    <row r="187" spans="1:59" ht="12.75">
      <c r="A187" s="211"/>
      <c r="B187" s="449"/>
      <c r="C187" s="450"/>
      <c r="D187" s="211"/>
      <c r="E187" s="211"/>
      <c r="F187" s="211"/>
      <c r="G187" s="84"/>
      <c r="H187" s="211"/>
      <c r="I187" s="211"/>
      <c r="J187" s="211"/>
      <c r="K187" s="211"/>
      <c r="L187" s="84"/>
      <c r="M187" s="211"/>
      <c r="N187" s="211"/>
      <c r="O187" s="211"/>
      <c r="P187" s="211"/>
      <c r="Q187" s="84"/>
      <c r="R187" s="211"/>
      <c r="S187" s="211"/>
      <c r="T187" s="211"/>
      <c r="U187" s="211"/>
      <c r="V187" s="84"/>
      <c r="W187" s="211"/>
      <c r="X187" s="211"/>
      <c r="Y187" s="211"/>
      <c r="Z187" s="211"/>
      <c r="AA187" s="84"/>
      <c r="AB187" s="146"/>
      <c r="AC187" s="211"/>
      <c r="AD187" s="211"/>
      <c r="AE187" s="211"/>
      <c r="AF187" s="84"/>
      <c r="AG187" s="146"/>
      <c r="AH187" s="211"/>
      <c r="AI187" s="211"/>
      <c r="AJ187" s="211"/>
      <c r="AK187" s="84"/>
      <c r="AL187" s="146"/>
      <c r="AM187" s="211"/>
      <c r="AN187" s="211"/>
      <c r="AO187" s="211"/>
      <c r="AP187" s="436"/>
      <c r="AQ187" s="146"/>
      <c r="AR187" s="211"/>
      <c r="AS187" s="211"/>
      <c r="AT187" s="211"/>
      <c r="AU187" s="84"/>
      <c r="AV187" s="211"/>
      <c r="AW187" s="211"/>
      <c r="AX187" s="211"/>
      <c r="AY187" s="211"/>
      <c r="AZ187" s="84"/>
      <c r="BA187" s="211"/>
      <c r="BB187" s="211"/>
      <c r="BC187" s="211"/>
      <c r="BD187" s="211"/>
      <c r="BE187" s="84"/>
      <c r="BF187" s="211"/>
      <c r="BG187" s="451"/>
    </row>
    <row r="188" spans="1:59" ht="12.75">
      <c r="A188" s="211"/>
      <c r="B188" s="449"/>
      <c r="C188" s="450"/>
      <c r="D188" s="211"/>
      <c r="E188" s="211"/>
      <c r="F188" s="211"/>
      <c r="G188" s="84"/>
      <c r="H188" s="211"/>
      <c r="I188" s="211"/>
      <c r="J188" s="211"/>
      <c r="K188" s="211"/>
      <c r="L188" s="84"/>
      <c r="M188" s="211"/>
      <c r="N188" s="211"/>
      <c r="O188" s="211"/>
      <c r="P188" s="211"/>
      <c r="Q188" s="84"/>
      <c r="R188" s="211"/>
      <c r="S188" s="211"/>
      <c r="T188" s="211"/>
      <c r="U188" s="211"/>
      <c r="V188" s="84"/>
      <c r="W188" s="211"/>
      <c r="X188" s="211"/>
      <c r="Y188" s="211"/>
      <c r="Z188" s="211"/>
      <c r="AA188" s="84"/>
      <c r="AB188" s="146"/>
      <c r="AC188" s="211"/>
      <c r="AD188" s="211"/>
      <c r="AE188" s="211"/>
      <c r="AF188" s="84"/>
      <c r="AG188" s="146"/>
      <c r="AH188" s="211"/>
      <c r="AI188" s="211"/>
      <c r="AJ188" s="211"/>
      <c r="AK188" s="84"/>
      <c r="AL188" s="146"/>
      <c r="AM188" s="211"/>
      <c r="AN188" s="211"/>
      <c r="AO188" s="211"/>
      <c r="AP188" s="436"/>
      <c r="AQ188" s="146"/>
      <c r="AR188" s="211"/>
      <c r="AS188" s="211"/>
      <c r="AT188" s="211"/>
      <c r="AU188" s="84"/>
      <c r="AV188" s="211"/>
      <c r="AW188" s="211"/>
      <c r="AX188" s="211"/>
      <c r="AY188" s="211"/>
      <c r="AZ188" s="84"/>
      <c r="BA188" s="211"/>
      <c r="BB188" s="211"/>
      <c r="BC188" s="211"/>
      <c r="BD188" s="211"/>
      <c r="BE188" s="84"/>
      <c r="BF188" s="211"/>
      <c r="BG188" s="451"/>
    </row>
    <row r="189" spans="1:59" ht="12.75">
      <c r="A189" s="211"/>
      <c r="B189" s="449"/>
      <c r="C189" s="450"/>
      <c r="D189" s="211"/>
      <c r="E189" s="211"/>
      <c r="F189" s="211"/>
      <c r="G189" s="84"/>
      <c r="H189" s="211"/>
      <c r="I189" s="211"/>
      <c r="J189" s="211"/>
      <c r="K189" s="211"/>
      <c r="L189" s="84"/>
      <c r="M189" s="211"/>
      <c r="N189" s="211"/>
      <c r="O189" s="211"/>
      <c r="P189" s="211"/>
      <c r="Q189" s="84"/>
      <c r="R189" s="211"/>
      <c r="S189" s="211"/>
      <c r="T189" s="211"/>
      <c r="U189" s="211"/>
      <c r="V189" s="84"/>
      <c r="W189" s="211"/>
      <c r="X189" s="211"/>
      <c r="Y189" s="211"/>
      <c r="Z189" s="211"/>
      <c r="AA189" s="84"/>
      <c r="AB189" s="146"/>
      <c r="AC189" s="211"/>
      <c r="AD189" s="211"/>
      <c r="AE189" s="211"/>
      <c r="AF189" s="84"/>
      <c r="AG189" s="146"/>
      <c r="AH189" s="211"/>
      <c r="AI189" s="211"/>
      <c r="AJ189" s="211"/>
      <c r="AK189" s="84"/>
      <c r="AL189" s="146"/>
      <c r="AM189" s="211"/>
      <c r="AN189" s="211"/>
      <c r="AO189" s="211"/>
      <c r="AP189" s="436"/>
      <c r="AQ189" s="146"/>
      <c r="AR189" s="211"/>
      <c r="AS189" s="211"/>
      <c r="AT189" s="211"/>
      <c r="AU189" s="84"/>
      <c r="AV189" s="211"/>
      <c r="AW189" s="211"/>
      <c r="AX189" s="211"/>
      <c r="AY189" s="211"/>
      <c r="AZ189" s="84"/>
      <c r="BA189" s="211"/>
      <c r="BB189" s="211"/>
      <c r="BC189" s="211"/>
      <c r="BD189" s="211"/>
      <c r="BE189" s="84"/>
      <c r="BF189" s="211"/>
      <c r="BG189" s="451"/>
    </row>
    <row r="190" spans="1:59" ht="12.75">
      <c r="A190" s="211"/>
      <c r="B190" s="449"/>
      <c r="C190" s="450"/>
      <c r="D190" s="211"/>
      <c r="E190" s="211"/>
      <c r="F190" s="211"/>
      <c r="G190" s="84"/>
      <c r="H190" s="211"/>
      <c r="I190" s="211"/>
      <c r="J190" s="211"/>
      <c r="K190" s="211"/>
      <c r="L190" s="84"/>
      <c r="M190" s="211"/>
      <c r="N190" s="211"/>
      <c r="O190" s="211"/>
      <c r="P190" s="211"/>
      <c r="Q190" s="84"/>
      <c r="R190" s="211"/>
      <c r="S190" s="211"/>
      <c r="T190" s="211"/>
      <c r="U190" s="211"/>
      <c r="V190" s="84"/>
      <c r="W190" s="211"/>
      <c r="X190" s="211"/>
      <c r="Y190" s="211"/>
      <c r="Z190" s="211"/>
      <c r="AA190" s="84"/>
      <c r="AB190" s="146"/>
      <c r="AC190" s="211"/>
      <c r="AD190" s="211"/>
      <c r="AE190" s="211"/>
      <c r="AF190" s="84"/>
      <c r="AG190" s="146"/>
      <c r="AH190" s="211"/>
      <c r="AI190" s="211"/>
      <c r="AJ190" s="211"/>
      <c r="AK190" s="84"/>
      <c r="AL190" s="146"/>
      <c r="AM190" s="211"/>
      <c r="AN190" s="211"/>
      <c r="AO190" s="211"/>
      <c r="AP190" s="436"/>
      <c r="AQ190" s="146"/>
      <c r="AR190" s="211"/>
      <c r="AS190" s="211"/>
      <c r="AT190" s="211"/>
      <c r="AU190" s="84"/>
      <c r="AV190" s="211"/>
      <c r="AW190" s="211"/>
      <c r="AX190" s="211"/>
      <c r="AY190" s="211"/>
      <c r="AZ190" s="84"/>
      <c r="BA190" s="211"/>
      <c r="BB190" s="211"/>
      <c r="BC190" s="211"/>
      <c r="BD190" s="211"/>
      <c r="BE190" s="84"/>
      <c r="BF190" s="211"/>
      <c r="BG190" s="451"/>
    </row>
    <row r="191" spans="1:59" ht="12.75">
      <c r="A191" s="211"/>
      <c r="B191" s="449"/>
      <c r="C191" s="450"/>
      <c r="D191" s="211"/>
      <c r="E191" s="211"/>
      <c r="F191" s="211"/>
      <c r="G191" s="84"/>
      <c r="H191" s="211"/>
      <c r="I191" s="211"/>
      <c r="J191" s="211"/>
      <c r="K191" s="211"/>
      <c r="L191" s="84"/>
      <c r="M191" s="211"/>
      <c r="N191" s="211"/>
      <c r="O191" s="211"/>
      <c r="P191" s="211"/>
      <c r="Q191" s="84"/>
      <c r="R191" s="211"/>
      <c r="S191" s="211"/>
      <c r="T191" s="211"/>
      <c r="U191" s="211"/>
      <c r="V191" s="84"/>
      <c r="W191" s="211"/>
      <c r="X191" s="211"/>
      <c r="Y191" s="211"/>
      <c r="Z191" s="211"/>
      <c r="AA191" s="84"/>
      <c r="AB191" s="146"/>
      <c r="AC191" s="211"/>
      <c r="AD191" s="211"/>
      <c r="AE191" s="211"/>
      <c r="AF191" s="84"/>
      <c r="AG191" s="146"/>
      <c r="AH191" s="211"/>
      <c r="AI191" s="211"/>
      <c r="AJ191" s="211"/>
      <c r="AK191" s="84"/>
      <c r="AL191" s="146"/>
      <c r="AM191" s="211"/>
      <c r="AN191" s="211"/>
      <c r="AO191" s="211"/>
      <c r="AP191" s="436"/>
      <c r="AQ191" s="146"/>
      <c r="AR191" s="211"/>
      <c r="AS191" s="211"/>
      <c r="AT191" s="211"/>
      <c r="AU191" s="84"/>
      <c r="AV191" s="211"/>
      <c r="AW191" s="211"/>
      <c r="AX191" s="211"/>
      <c r="AY191" s="211"/>
      <c r="AZ191" s="84"/>
      <c r="BA191" s="211"/>
      <c r="BB191" s="211"/>
      <c r="BC191" s="211"/>
      <c r="BD191" s="211"/>
      <c r="BE191" s="84"/>
      <c r="BF191" s="211"/>
      <c r="BG191" s="451"/>
    </row>
    <row r="192" spans="1:59" ht="12.75">
      <c r="A192" s="211"/>
      <c r="B192" s="449"/>
      <c r="C192" s="450"/>
      <c r="D192" s="211"/>
      <c r="E192" s="211"/>
      <c r="F192" s="211"/>
      <c r="G192" s="84"/>
      <c r="H192" s="211"/>
      <c r="I192" s="211"/>
      <c r="J192" s="211"/>
      <c r="K192" s="211"/>
      <c r="L192" s="84"/>
      <c r="M192" s="211"/>
      <c r="N192" s="211"/>
      <c r="O192" s="211"/>
      <c r="P192" s="211"/>
      <c r="Q192" s="84"/>
      <c r="R192" s="211"/>
      <c r="S192" s="211"/>
      <c r="T192" s="211"/>
      <c r="U192" s="211"/>
      <c r="V192" s="84"/>
      <c r="W192" s="211"/>
      <c r="X192" s="211"/>
      <c r="Y192" s="211"/>
      <c r="Z192" s="211"/>
      <c r="AA192" s="84"/>
      <c r="AB192" s="146"/>
      <c r="AC192" s="211"/>
      <c r="AD192" s="211"/>
      <c r="AE192" s="211"/>
      <c r="AF192" s="84"/>
      <c r="AG192" s="146"/>
      <c r="AH192" s="211"/>
      <c r="AI192" s="211"/>
      <c r="AJ192" s="211"/>
      <c r="AK192" s="84"/>
      <c r="AL192" s="146"/>
      <c r="AM192" s="211"/>
      <c r="AN192" s="211"/>
      <c r="AO192" s="211"/>
      <c r="AP192" s="436"/>
      <c r="AQ192" s="146"/>
      <c r="AR192" s="211"/>
      <c r="AS192" s="211"/>
      <c r="AT192" s="211"/>
      <c r="AU192" s="84"/>
      <c r="AV192" s="211"/>
      <c r="AW192" s="211"/>
      <c r="AX192" s="211"/>
      <c r="AY192" s="211"/>
      <c r="AZ192" s="84"/>
      <c r="BA192" s="211"/>
      <c r="BB192" s="211"/>
      <c r="BC192" s="211"/>
      <c r="BD192" s="211"/>
      <c r="BE192" s="84"/>
      <c r="BF192" s="211"/>
      <c r="BG192" s="451"/>
    </row>
    <row r="193" spans="1:59" ht="12.75">
      <c r="A193" s="211"/>
      <c r="B193" s="449"/>
      <c r="C193" s="450"/>
      <c r="D193" s="211"/>
      <c r="E193" s="211"/>
      <c r="F193" s="211"/>
      <c r="G193" s="84"/>
      <c r="H193" s="211"/>
      <c r="I193" s="211"/>
      <c r="J193" s="211"/>
      <c r="K193" s="211"/>
      <c r="L193" s="84"/>
      <c r="M193" s="211"/>
      <c r="N193" s="211"/>
      <c r="O193" s="211"/>
      <c r="P193" s="211"/>
      <c r="Q193" s="84"/>
      <c r="R193" s="211"/>
      <c r="S193" s="211"/>
      <c r="T193" s="211"/>
      <c r="U193" s="211"/>
      <c r="V193" s="84"/>
      <c r="W193" s="211"/>
      <c r="X193" s="211"/>
      <c r="Y193" s="211"/>
      <c r="Z193" s="211"/>
      <c r="AA193" s="84"/>
      <c r="AB193" s="146"/>
      <c r="AC193" s="211"/>
      <c r="AD193" s="211"/>
      <c r="AE193" s="211"/>
      <c r="AF193" s="84"/>
      <c r="AG193" s="146"/>
      <c r="AH193" s="211"/>
      <c r="AI193" s="211"/>
      <c r="AJ193" s="211"/>
      <c r="AK193" s="84"/>
      <c r="AL193" s="146"/>
      <c r="AM193" s="211"/>
      <c r="AN193" s="211"/>
      <c r="AO193" s="211"/>
      <c r="AP193" s="436"/>
      <c r="AQ193" s="146"/>
      <c r="AR193" s="211"/>
      <c r="AS193" s="211"/>
      <c r="AT193" s="211"/>
      <c r="AU193" s="84"/>
      <c r="AV193" s="211"/>
      <c r="AW193" s="211"/>
      <c r="AX193" s="211"/>
      <c r="AY193" s="211"/>
      <c r="AZ193" s="84"/>
      <c r="BA193" s="211"/>
      <c r="BB193" s="211"/>
      <c r="BC193" s="211"/>
      <c r="BD193" s="211"/>
      <c r="BE193" s="84"/>
      <c r="BF193" s="211"/>
      <c r="BG193" s="451"/>
    </row>
    <row r="194" spans="1:59" ht="12.75">
      <c r="A194" s="211"/>
      <c r="B194" s="449"/>
      <c r="C194" s="450"/>
      <c r="D194" s="211"/>
      <c r="E194" s="211"/>
      <c r="F194" s="211"/>
      <c r="G194" s="84"/>
      <c r="H194" s="211"/>
      <c r="I194" s="211"/>
      <c r="J194" s="211"/>
      <c r="K194" s="211"/>
      <c r="L194" s="84"/>
      <c r="M194" s="211"/>
      <c r="N194" s="211"/>
      <c r="O194" s="211"/>
      <c r="P194" s="211"/>
      <c r="Q194" s="84"/>
      <c r="R194" s="211"/>
      <c r="S194" s="211"/>
      <c r="T194" s="211"/>
      <c r="U194" s="211"/>
      <c r="V194" s="84"/>
      <c r="W194" s="211"/>
      <c r="X194" s="211"/>
      <c r="Y194" s="211"/>
      <c r="Z194" s="211"/>
      <c r="AA194" s="84"/>
      <c r="AB194" s="146"/>
      <c r="AC194" s="211"/>
      <c r="AD194" s="211"/>
      <c r="AE194" s="211"/>
      <c r="AF194" s="84"/>
      <c r="AG194" s="146"/>
      <c r="AH194" s="211"/>
      <c r="AI194" s="211"/>
      <c r="AJ194" s="211"/>
      <c r="AK194" s="84"/>
      <c r="AL194" s="146"/>
      <c r="AM194" s="211"/>
      <c r="AN194" s="211"/>
      <c r="AO194" s="211"/>
      <c r="AP194" s="436"/>
      <c r="AQ194" s="146"/>
      <c r="AR194" s="211"/>
      <c r="AS194" s="211"/>
      <c r="AT194" s="211"/>
      <c r="AU194" s="84"/>
      <c r="AV194" s="211"/>
      <c r="AW194" s="211"/>
      <c r="AX194" s="211"/>
      <c r="AY194" s="211"/>
      <c r="AZ194" s="84"/>
      <c r="BA194" s="211"/>
      <c r="BB194" s="211"/>
      <c r="BC194" s="211"/>
      <c r="BD194" s="211"/>
      <c r="BE194" s="84"/>
      <c r="BF194" s="211"/>
      <c r="BG194" s="451"/>
    </row>
    <row r="195" spans="1:59" ht="12.75">
      <c r="A195" s="211"/>
      <c r="B195" s="449"/>
      <c r="C195" s="450"/>
      <c r="D195" s="211"/>
      <c r="E195" s="211"/>
      <c r="F195" s="211"/>
      <c r="G195" s="84"/>
      <c r="H195" s="211"/>
      <c r="I195" s="211"/>
      <c r="J195" s="211"/>
      <c r="K195" s="211"/>
      <c r="L195" s="84"/>
      <c r="M195" s="211"/>
      <c r="N195" s="211"/>
      <c r="O195" s="211"/>
      <c r="P195" s="211"/>
      <c r="Q195" s="84"/>
      <c r="R195" s="211"/>
      <c r="S195" s="211"/>
      <c r="T195" s="211"/>
      <c r="U195" s="211"/>
      <c r="V195" s="84"/>
      <c r="W195" s="211"/>
      <c r="X195" s="211"/>
      <c r="Y195" s="211"/>
      <c r="Z195" s="211"/>
      <c r="AA195" s="84"/>
      <c r="AB195" s="146"/>
      <c r="AC195" s="211"/>
      <c r="AD195" s="211"/>
      <c r="AE195" s="211"/>
      <c r="AF195" s="84"/>
      <c r="AG195" s="146"/>
      <c r="AH195" s="211"/>
      <c r="AI195" s="211"/>
      <c r="AJ195" s="211"/>
      <c r="AK195" s="84"/>
      <c r="AL195" s="146"/>
      <c r="AM195" s="211"/>
      <c r="AN195" s="211"/>
      <c r="AO195" s="211"/>
      <c r="AP195" s="436"/>
      <c r="AQ195" s="146"/>
      <c r="AR195" s="211"/>
      <c r="AS195" s="211"/>
      <c r="AT195" s="211"/>
      <c r="AU195" s="84"/>
      <c r="AV195" s="211"/>
      <c r="AW195" s="211"/>
      <c r="AX195" s="211"/>
      <c r="AY195" s="211"/>
      <c r="AZ195" s="84"/>
      <c r="BA195" s="211"/>
      <c r="BB195" s="211"/>
      <c r="BC195" s="211"/>
      <c r="BD195" s="211"/>
      <c r="BE195" s="84"/>
      <c r="BF195" s="211"/>
      <c r="BG195" s="451"/>
    </row>
    <row r="196" spans="1:59" ht="12.75">
      <c r="A196" s="211"/>
      <c r="B196" s="449"/>
      <c r="C196" s="450"/>
      <c r="D196" s="211"/>
      <c r="E196" s="211"/>
      <c r="F196" s="211"/>
      <c r="G196" s="84"/>
      <c r="H196" s="211"/>
      <c r="I196" s="211"/>
      <c r="J196" s="211"/>
      <c r="K196" s="211"/>
      <c r="L196" s="84"/>
      <c r="M196" s="211"/>
      <c r="N196" s="211"/>
      <c r="O196" s="211"/>
      <c r="P196" s="211"/>
      <c r="Q196" s="84"/>
      <c r="R196" s="211"/>
      <c r="S196" s="211"/>
      <c r="T196" s="211"/>
      <c r="U196" s="211"/>
      <c r="V196" s="84"/>
      <c r="W196" s="211"/>
      <c r="X196" s="211"/>
      <c r="Y196" s="211"/>
      <c r="Z196" s="211"/>
      <c r="AA196" s="84"/>
      <c r="AB196" s="146"/>
      <c r="AC196" s="211"/>
      <c r="AD196" s="211"/>
      <c r="AE196" s="211"/>
      <c r="AF196" s="84"/>
      <c r="AG196" s="146"/>
      <c r="AH196" s="211"/>
      <c r="AI196" s="211"/>
      <c r="AJ196" s="211"/>
      <c r="AK196" s="84"/>
      <c r="AL196" s="146"/>
      <c r="AM196" s="211"/>
      <c r="AN196" s="211"/>
      <c r="AO196" s="211"/>
      <c r="AP196" s="436"/>
      <c r="AQ196" s="146"/>
      <c r="AR196" s="211"/>
      <c r="AS196" s="211"/>
      <c r="AT196" s="211"/>
      <c r="AU196" s="84"/>
      <c r="AV196" s="211"/>
      <c r="AW196" s="211"/>
      <c r="AX196" s="211"/>
      <c r="AY196" s="211"/>
      <c r="AZ196" s="84"/>
      <c r="BA196" s="211"/>
      <c r="BB196" s="211"/>
      <c r="BC196" s="211"/>
      <c r="BD196" s="211"/>
      <c r="BE196" s="84"/>
      <c r="BF196" s="211"/>
      <c r="BG196" s="451"/>
    </row>
    <row r="197" spans="1:59" ht="12.75">
      <c r="A197" s="211"/>
      <c r="B197" s="449"/>
      <c r="C197" s="450"/>
      <c r="D197" s="211"/>
      <c r="E197" s="211"/>
      <c r="F197" s="211"/>
      <c r="G197" s="84"/>
      <c r="H197" s="211"/>
      <c r="I197" s="211"/>
      <c r="J197" s="211"/>
      <c r="K197" s="211"/>
      <c r="L197" s="84"/>
      <c r="M197" s="211"/>
      <c r="N197" s="211"/>
      <c r="O197" s="211"/>
      <c r="P197" s="211"/>
      <c r="Q197" s="84"/>
      <c r="R197" s="211"/>
      <c r="S197" s="211"/>
      <c r="T197" s="211"/>
      <c r="U197" s="211"/>
      <c r="V197" s="84"/>
      <c r="W197" s="211"/>
      <c r="X197" s="211"/>
      <c r="Y197" s="211"/>
      <c r="Z197" s="211"/>
      <c r="AA197" s="84"/>
      <c r="AB197" s="146"/>
      <c r="AC197" s="211"/>
      <c r="AD197" s="211"/>
      <c r="AE197" s="211"/>
      <c r="AF197" s="84"/>
      <c r="AG197" s="146"/>
      <c r="AH197" s="211"/>
      <c r="AI197" s="211"/>
      <c r="AJ197" s="211"/>
      <c r="AK197" s="84"/>
      <c r="AL197" s="146"/>
      <c r="AM197" s="211"/>
      <c r="AN197" s="211"/>
      <c r="AO197" s="211"/>
      <c r="AP197" s="436"/>
      <c r="AQ197" s="146"/>
      <c r="AR197" s="211"/>
      <c r="AS197" s="211"/>
      <c r="AT197" s="211"/>
      <c r="AU197" s="84"/>
      <c r="AV197" s="211"/>
      <c r="AW197" s="211"/>
      <c r="AX197" s="211"/>
      <c r="AY197" s="211"/>
      <c r="AZ197" s="84"/>
      <c r="BA197" s="211"/>
      <c r="BB197" s="211"/>
      <c r="BC197" s="211"/>
      <c r="BD197" s="211"/>
      <c r="BE197" s="84"/>
      <c r="BF197" s="211"/>
      <c r="BG197" s="451"/>
    </row>
    <row r="198" spans="1:59" ht="12.75">
      <c r="A198" s="211"/>
      <c r="B198" s="449"/>
      <c r="C198" s="450"/>
      <c r="D198" s="211"/>
      <c r="E198" s="211"/>
      <c r="F198" s="211"/>
      <c r="G198" s="84"/>
      <c r="H198" s="211"/>
      <c r="I198" s="211"/>
      <c r="J198" s="211"/>
      <c r="K198" s="211"/>
      <c r="L198" s="84"/>
      <c r="M198" s="211"/>
      <c r="N198" s="211"/>
      <c r="O198" s="211"/>
      <c r="P198" s="211"/>
      <c r="Q198" s="84"/>
      <c r="R198" s="211"/>
      <c r="S198" s="211"/>
      <c r="T198" s="211"/>
      <c r="U198" s="211"/>
      <c r="V198" s="84"/>
      <c r="W198" s="211"/>
      <c r="X198" s="211"/>
      <c r="Y198" s="211"/>
      <c r="Z198" s="211"/>
      <c r="AA198" s="84"/>
      <c r="AB198" s="146"/>
      <c r="AC198" s="211"/>
      <c r="AD198" s="211"/>
      <c r="AE198" s="211"/>
      <c r="AF198" s="84"/>
      <c r="AG198" s="146"/>
      <c r="AH198" s="211"/>
      <c r="AI198" s="211"/>
      <c r="AJ198" s="211"/>
      <c r="AK198" s="84"/>
      <c r="AL198" s="146"/>
      <c r="AM198" s="211"/>
      <c r="AN198" s="211"/>
      <c r="AO198" s="211"/>
      <c r="AP198" s="436"/>
      <c r="AQ198" s="146"/>
      <c r="AR198" s="211"/>
      <c r="AS198" s="211"/>
      <c r="AT198" s="211"/>
      <c r="AU198" s="84"/>
      <c r="AV198" s="211"/>
      <c r="AW198" s="211"/>
      <c r="AX198" s="211"/>
      <c r="AY198" s="211"/>
      <c r="AZ198" s="84"/>
      <c r="BA198" s="211"/>
      <c r="BB198" s="211"/>
      <c r="BC198" s="211"/>
      <c r="BD198" s="211"/>
      <c r="BE198" s="84"/>
      <c r="BF198" s="211"/>
      <c r="BG198" s="451"/>
    </row>
    <row r="199" spans="1:59" ht="12.75">
      <c r="A199" s="211"/>
      <c r="B199" s="449"/>
      <c r="C199" s="450"/>
      <c r="D199" s="211"/>
      <c r="E199" s="211"/>
      <c r="F199" s="211"/>
      <c r="G199" s="84"/>
      <c r="H199" s="211"/>
      <c r="I199" s="211"/>
      <c r="J199" s="211"/>
      <c r="K199" s="211"/>
      <c r="L199" s="84"/>
      <c r="M199" s="211"/>
      <c r="N199" s="211"/>
      <c r="O199" s="211"/>
      <c r="P199" s="211"/>
      <c r="Q199" s="84"/>
      <c r="R199" s="211"/>
      <c r="S199" s="211"/>
      <c r="T199" s="211"/>
      <c r="U199" s="211"/>
      <c r="V199" s="84"/>
      <c r="W199" s="211"/>
      <c r="X199" s="211"/>
      <c r="Y199" s="211"/>
      <c r="Z199" s="211"/>
      <c r="AA199" s="84"/>
      <c r="AB199" s="146"/>
      <c r="AC199" s="211"/>
      <c r="AD199" s="211"/>
      <c r="AE199" s="211"/>
      <c r="AF199" s="84"/>
      <c r="AG199" s="146"/>
      <c r="AH199" s="211"/>
      <c r="AI199" s="211"/>
      <c r="AJ199" s="211"/>
      <c r="AK199" s="84"/>
      <c r="AL199" s="146"/>
      <c r="AM199" s="211"/>
      <c r="AN199" s="211"/>
      <c r="AO199" s="211"/>
      <c r="AP199" s="436"/>
      <c r="AQ199" s="146"/>
      <c r="AR199" s="211"/>
      <c r="AS199" s="211"/>
      <c r="AT199" s="211"/>
      <c r="AU199" s="84"/>
      <c r="AV199" s="211"/>
      <c r="AW199" s="211"/>
      <c r="AX199" s="211"/>
      <c r="AY199" s="211"/>
      <c r="AZ199" s="84"/>
      <c r="BA199" s="211"/>
      <c r="BB199" s="211"/>
      <c r="BC199" s="211"/>
      <c r="BD199" s="211"/>
      <c r="BE199" s="84"/>
      <c r="BF199" s="211"/>
      <c r="BG199" s="451"/>
    </row>
    <row r="200" spans="1:59" ht="12.75">
      <c r="A200" s="211"/>
      <c r="B200" s="449"/>
      <c r="C200" s="450"/>
      <c r="D200" s="211"/>
      <c r="E200" s="211"/>
      <c r="F200" s="211"/>
      <c r="G200" s="84"/>
      <c r="H200" s="211"/>
      <c r="I200" s="211"/>
      <c r="J200" s="211"/>
      <c r="K200" s="211"/>
      <c r="L200" s="84"/>
      <c r="M200" s="211"/>
      <c r="N200" s="211"/>
      <c r="O200" s="211"/>
      <c r="P200" s="211"/>
      <c r="Q200" s="84"/>
      <c r="R200" s="211"/>
      <c r="S200" s="211"/>
      <c r="T200" s="211"/>
      <c r="U200" s="211"/>
      <c r="V200" s="84"/>
      <c r="W200" s="211"/>
      <c r="X200" s="211"/>
      <c r="Y200" s="211"/>
      <c r="Z200" s="211"/>
      <c r="AA200" s="84"/>
      <c r="AB200" s="146"/>
      <c r="AC200" s="211"/>
      <c r="AD200" s="211"/>
      <c r="AE200" s="211"/>
      <c r="AF200" s="84"/>
      <c r="AG200" s="146"/>
      <c r="AH200" s="211"/>
      <c r="AI200" s="211"/>
      <c r="AJ200" s="211"/>
      <c r="AK200" s="84"/>
      <c r="AL200" s="146"/>
      <c r="AM200" s="211"/>
      <c r="AN200" s="211"/>
      <c r="AO200" s="211"/>
      <c r="AP200" s="436"/>
      <c r="AQ200" s="146"/>
      <c r="AR200" s="211"/>
      <c r="AS200" s="211"/>
      <c r="AT200" s="211"/>
      <c r="AU200" s="84"/>
      <c r="AV200" s="211"/>
      <c r="AW200" s="211"/>
      <c r="AX200" s="211"/>
      <c r="AY200" s="211"/>
      <c r="AZ200" s="84"/>
      <c r="BA200" s="211"/>
      <c r="BB200" s="211"/>
      <c r="BC200" s="211"/>
      <c r="BD200" s="211"/>
      <c r="BE200" s="84"/>
      <c r="BF200" s="211"/>
      <c r="BG200" s="451"/>
    </row>
    <row r="201" spans="1:59" ht="12.75">
      <c r="A201" s="211"/>
      <c r="B201" s="449"/>
      <c r="C201" s="450"/>
      <c r="D201" s="211"/>
      <c r="E201" s="211"/>
      <c r="F201" s="211"/>
      <c r="G201" s="84"/>
      <c r="H201" s="211"/>
      <c r="I201" s="211"/>
      <c r="J201" s="211"/>
      <c r="K201" s="211"/>
      <c r="L201" s="84"/>
      <c r="M201" s="211"/>
      <c r="N201" s="211"/>
      <c r="O201" s="211"/>
      <c r="P201" s="211"/>
      <c r="Q201" s="84"/>
      <c r="R201" s="211"/>
      <c r="S201" s="211"/>
      <c r="T201" s="211"/>
      <c r="U201" s="211"/>
      <c r="V201" s="84"/>
      <c r="W201" s="211"/>
      <c r="X201" s="211"/>
      <c r="Y201" s="211"/>
      <c r="Z201" s="211"/>
      <c r="AA201" s="84"/>
      <c r="AB201" s="146"/>
      <c r="AC201" s="211"/>
      <c r="AD201" s="211"/>
      <c r="AE201" s="211"/>
      <c r="AF201" s="84"/>
      <c r="AG201" s="146"/>
      <c r="AH201" s="211"/>
      <c r="AI201" s="211"/>
      <c r="AJ201" s="211"/>
      <c r="AK201" s="84"/>
      <c r="AL201" s="146"/>
      <c r="AM201" s="211"/>
      <c r="AN201" s="211"/>
      <c r="AO201" s="211"/>
      <c r="AP201" s="436"/>
      <c r="AQ201" s="146"/>
      <c r="AR201" s="211"/>
      <c r="AS201" s="211"/>
      <c r="AT201" s="211"/>
      <c r="AU201" s="84"/>
      <c r="AV201" s="211"/>
      <c r="AW201" s="211"/>
      <c r="AX201" s="211"/>
      <c r="AY201" s="211"/>
      <c r="AZ201" s="84"/>
      <c r="BA201" s="211"/>
      <c r="BB201" s="211"/>
      <c r="BC201" s="211"/>
      <c r="BD201" s="211"/>
      <c r="BE201" s="84"/>
      <c r="BF201" s="211"/>
      <c r="BG201" s="451"/>
    </row>
    <row r="202" spans="1:59" ht="12.75">
      <c r="A202" s="211"/>
      <c r="B202" s="449"/>
      <c r="C202" s="450"/>
      <c r="D202" s="211"/>
      <c r="E202" s="211"/>
      <c r="F202" s="211"/>
      <c r="G202" s="84"/>
      <c r="H202" s="211"/>
      <c r="I202" s="211"/>
      <c r="J202" s="211"/>
      <c r="K202" s="211"/>
      <c r="L202" s="84"/>
      <c r="M202" s="211"/>
      <c r="N202" s="211"/>
      <c r="O202" s="211"/>
      <c r="P202" s="211"/>
      <c r="Q202" s="84"/>
      <c r="R202" s="211"/>
      <c r="S202" s="211"/>
      <c r="T202" s="211"/>
      <c r="U202" s="211"/>
      <c r="V202" s="84"/>
      <c r="W202" s="211"/>
      <c r="X202" s="211"/>
      <c r="Y202" s="211"/>
      <c r="Z202" s="211"/>
      <c r="AA202" s="84"/>
      <c r="AB202" s="146"/>
      <c r="AC202" s="211"/>
      <c r="AD202" s="211"/>
      <c r="AE202" s="211"/>
      <c r="AF202" s="84"/>
      <c r="AG202" s="146"/>
      <c r="AH202" s="211"/>
      <c r="AI202" s="211"/>
      <c r="AJ202" s="211"/>
      <c r="AK202" s="84"/>
      <c r="AL202" s="146"/>
      <c r="AM202" s="211"/>
      <c r="AN202" s="211"/>
      <c r="AO202" s="211"/>
      <c r="AP202" s="436"/>
      <c r="AQ202" s="146"/>
      <c r="AR202" s="211"/>
      <c r="AS202" s="211"/>
      <c r="AT202" s="211"/>
      <c r="AU202" s="84"/>
      <c r="AV202" s="211"/>
      <c r="AW202" s="211"/>
      <c r="AX202" s="211"/>
      <c r="AY202" s="211"/>
      <c r="AZ202" s="84"/>
      <c r="BA202" s="211"/>
      <c r="BB202" s="211"/>
      <c r="BC202" s="211"/>
      <c r="BD202" s="211"/>
      <c r="BE202" s="84"/>
      <c r="BF202" s="211"/>
      <c r="BG202" s="451"/>
    </row>
    <row r="203" spans="1:59" ht="12.75">
      <c r="A203" s="211"/>
      <c r="B203" s="449"/>
      <c r="C203" s="450"/>
      <c r="D203" s="211"/>
      <c r="E203" s="211"/>
      <c r="F203" s="211"/>
      <c r="G203" s="84"/>
      <c r="H203" s="211"/>
      <c r="I203" s="211"/>
      <c r="J203" s="211"/>
      <c r="K203" s="211"/>
      <c r="L203" s="84"/>
      <c r="M203" s="211"/>
      <c r="N203" s="211"/>
      <c r="O203" s="211"/>
      <c r="P203" s="211"/>
      <c r="Q203" s="84"/>
      <c r="R203" s="211"/>
      <c r="S203" s="211"/>
      <c r="T203" s="211"/>
      <c r="U203" s="211"/>
      <c r="V203" s="84"/>
      <c r="W203" s="211"/>
      <c r="X203" s="211"/>
      <c r="Y203" s="211"/>
      <c r="Z203" s="211"/>
      <c r="AA203" s="84"/>
      <c r="AB203" s="146"/>
      <c r="AC203" s="211"/>
      <c r="AD203" s="211"/>
      <c r="AE203" s="211"/>
      <c r="AF203" s="84"/>
      <c r="AG203" s="146"/>
      <c r="AH203" s="211"/>
      <c r="AI203" s="211"/>
      <c r="AJ203" s="211"/>
      <c r="AK203" s="84"/>
      <c r="AL203" s="146"/>
      <c r="AM203" s="211"/>
      <c r="AN203" s="211"/>
      <c r="AO203" s="211"/>
      <c r="AP203" s="436"/>
      <c r="AQ203" s="146"/>
      <c r="AR203" s="211"/>
      <c r="AS203" s="211"/>
      <c r="AT203" s="211"/>
      <c r="AU203" s="84"/>
      <c r="AV203" s="211"/>
      <c r="AW203" s="211"/>
      <c r="AX203" s="211"/>
      <c r="AY203" s="211"/>
      <c r="AZ203" s="84"/>
      <c r="BA203" s="211"/>
      <c r="BB203" s="211"/>
      <c r="BC203" s="211"/>
      <c r="BD203" s="211"/>
      <c r="BE203" s="84"/>
      <c r="BF203" s="211"/>
      <c r="BG203" s="451"/>
    </row>
    <row r="204" spans="1:59" ht="12.75">
      <c r="A204" s="211"/>
      <c r="B204" s="449"/>
      <c r="C204" s="450"/>
      <c r="D204" s="211"/>
      <c r="E204" s="211"/>
      <c r="F204" s="211"/>
      <c r="G204" s="84"/>
      <c r="H204" s="211"/>
      <c r="I204" s="211"/>
      <c r="J204" s="211"/>
      <c r="K204" s="211"/>
      <c r="L204" s="84"/>
      <c r="M204" s="211"/>
      <c r="N204" s="211"/>
      <c r="O204" s="211"/>
      <c r="P204" s="211"/>
      <c r="Q204" s="84"/>
      <c r="R204" s="211"/>
      <c r="S204" s="211"/>
      <c r="T204" s="211"/>
      <c r="U204" s="211"/>
      <c r="V204" s="84"/>
      <c r="W204" s="211"/>
      <c r="X204" s="211"/>
      <c r="Y204" s="211"/>
      <c r="Z204" s="211"/>
      <c r="AA204" s="84"/>
      <c r="AB204" s="146"/>
      <c r="AC204" s="211"/>
      <c r="AD204" s="211"/>
      <c r="AE204" s="211"/>
      <c r="AF204" s="84"/>
      <c r="AG204" s="146"/>
      <c r="AH204" s="211"/>
      <c r="AI204" s="211"/>
      <c r="AJ204" s="211"/>
      <c r="AK204" s="84"/>
      <c r="AL204" s="146"/>
      <c r="AM204" s="211"/>
      <c r="AN204" s="211"/>
      <c r="AO204" s="211"/>
      <c r="AP204" s="436"/>
      <c r="AQ204" s="146"/>
      <c r="AR204" s="211"/>
      <c r="AS204" s="211"/>
      <c r="AT204" s="211"/>
      <c r="AU204" s="84"/>
      <c r="AV204" s="211"/>
      <c r="AW204" s="211"/>
      <c r="AX204" s="211"/>
      <c r="AY204" s="211"/>
      <c r="AZ204" s="84"/>
      <c r="BA204" s="211"/>
      <c r="BB204" s="211"/>
      <c r="BC204" s="211"/>
      <c r="BD204" s="211"/>
      <c r="BE204" s="84"/>
      <c r="BF204" s="211"/>
      <c r="BG204" s="451"/>
    </row>
    <row r="205" spans="1:59" ht="12.75">
      <c r="A205" s="211"/>
      <c r="B205" s="449"/>
      <c r="C205" s="450"/>
      <c r="D205" s="211"/>
      <c r="E205" s="211"/>
      <c r="F205" s="211"/>
      <c r="G205" s="84"/>
      <c r="H205" s="211"/>
      <c r="I205" s="211"/>
      <c r="J205" s="211"/>
      <c r="K205" s="211"/>
      <c r="L205" s="84"/>
      <c r="M205" s="211"/>
      <c r="N205" s="211"/>
      <c r="O205" s="211"/>
      <c r="P205" s="211"/>
      <c r="Q205" s="84"/>
      <c r="R205" s="211"/>
      <c r="S205" s="211"/>
      <c r="T205" s="211"/>
      <c r="U205" s="211"/>
      <c r="V205" s="84"/>
      <c r="W205" s="211"/>
      <c r="X205" s="211"/>
      <c r="Y205" s="211"/>
      <c r="Z205" s="211"/>
      <c r="AA205" s="84"/>
      <c r="AB205" s="146"/>
      <c r="AC205" s="211"/>
      <c r="AD205" s="211"/>
      <c r="AE205" s="211"/>
      <c r="AF205" s="84"/>
      <c r="AG205" s="146"/>
      <c r="AH205" s="211"/>
      <c r="AI205" s="211"/>
      <c r="AJ205" s="211"/>
      <c r="AK205" s="84"/>
      <c r="AL205" s="146"/>
      <c r="AM205" s="211"/>
      <c r="AN205" s="211"/>
      <c r="AO205" s="211"/>
      <c r="AP205" s="436"/>
      <c r="AQ205" s="146"/>
      <c r="AR205" s="211"/>
      <c r="AS205" s="211"/>
      <c r="AT205" s="211"/>
      <c r="AU205" s="84"/>
      <c r="AV205" s="211"/>
      <c r="AW205" s="211"/>
      <c r="AX205" s="211"/>
      <c r="AY205" s="211"/>
      <c r="AZ205" s="84"/>
      <c r="BA205" s="211"/>
      <c r="BB205" s="211"/>
      <c r="BC205" s="211"/>
      <c r="BD205" s="211"/>
      <c r="BE205" s="84"/>
      <c r="BF205" s="211"/>
      <c r="BG205" s="451"/>
    </row>
    <row r="206" spans="1:59" ht="12.75">
      <c r="A206" s="211"/>
      <c r="B206" s="449"/>
      <c r="C206" s="450"/>
      <c r="D206" s="211"/>
      <c r="E206" s="211"/>
      <c r="F206" s="211"/>
      <c r="G206" s="84"/>
      <c r="H206" s="211"/>
      <c r="I206" s="211"/>
      <c r="J206" s="211"/>
      <c r="K206" s="211"/>
      <c r="L206" s="84"/>
      <c r="M206" s="211"/>
      <c r="N206" s="211"/>
      <c r="O206" s="211"/>
      <c r="P206" s="211"/>
      <c r="Q206" s="84"/>
      <c r="R206" s="211"/>
      <c r="S206" s="211"/>
      <c r="T206" s="211"/>
      <c r="U206" s="211"/>
      <c r="V206" s="84"/>
      <c r="W206" s="211"/>
      <c r="X206" s="211"/>
      <c r="Y206" s="211"/>
      <c r="Z206" s="211"/>
      <c r="AA206" s="84"/>
      <c r="AB206" s="146"/>
      <c r="AC206" s="211"/>
      <c r="AD206" s="211"/>
      <c r="AE206" s="211"/>
      <c r="AF206" s="84"/>
      <c r="AG206" s="146"/>
      <c r="AH206" s="211"/>
      <c r="AI206" s="211"/>
      <c r="AJ206" s="211"/>
      <c r="AK206" s="84"/>
      <c r="AL206" s="146"/>
      <c r="AM206" s="211"/>
      <c r="AN206" s="211"/>
      <c r="AO206" s="211"/>
      <c r="AP206" s="436"/>
      <c r="AQ206" s="146"/>
      <c r="AR206" s="211"/>
      <c r="AS206" s="211"/>
      <c r="AT206" s="211"/>
      <c r="AU206" s="84"/>
      <c r="AV206" s="211"/>
      <c r="AW206" s="211"/>
      <c r="AX206" s="211"/>
      <c r="AY206" s="211"/>
      <c r="AZ206" s="84"/>
      <c r="BA206" s="211"/>
      <c r="BB206" s="211"/>
      <c r="BC206" s="211"/>
      <c r="BD206" s="211"/>
      <c r="BE206" s="84"/>
      <c r="BF206" s="211"/>
      <c r="BG206" s="451"/>
    </row>
    <row r="207" spans="1:59" ht="12.75">
      <c r="A207" s="211"/>
      <c r="B207" s="449"/>
      <c r="C207" s="450"/>
      <c r="D207" s="211"/>
      <c r="E207" s="211"/>
      <c r="F207" s="211"/>
      <c r="G207" s="84"/>
      <c r="H207" s="211"/>
      <c r="I207" s="211"/>
      <c r="J207" s="211"/>
      <c r="K207" s="211"/>
      <c r="L207" s="84"/>
      <c r="M207" s="211"/>
      <c r="N207" s="211"/>
      <c r="O207" s="211"/>
      <c r="P207" s="211"/>
      <c r="Q207" s="84"/>
      <c r="R207" s="211"/>
      <c r="S207" s="211"/>
      <c r="T207" s="211"/>
      <c r="U207" s="211"/>
      <c r="V207" s="84"/>
      <c r="W207" s="211"/>
      <c r="X207" s="211"/>
      <c r="Y207" s="211"/>
      <c r="Z207" s="211"/>
      <c r="AA207" s="84"/>
      <c r="AB207" s="146"/>
      <c r="AC207" s="211"/>
      <c r="AD207" s="211"/>
      <c r="AE207" s="211"/>
      <c r="AF207" s="84"/>
      <c r="AG207" s="146"/>
      <c r="AH207" s="211"/>
      <c r="AI207" s="211"/>
      <c r="AJ207" s="211"/>
      <c r="AK207" s="84"/>
      <c r="AL207" s="146"/>
      <c r="AM207" s="211"/>
      <c r="AN207" s="211"/>
      <c r="AO207" s="211"/>
      <c r="AP207" s="436"/>
      <c r="AQ207" s="146"/>
      <c r="AR207" s="211"/>
      <c r="AS207" s="211"/>
      <c r="AT207" s="211"/>
      <c r="AU207" s="84"/>
      <c r="AV207" s="211"/>
      <c r="AW207" s="211"/>
      <c r="AX207" s="211"/>
      <c r="AY207" s="211"/>
      <c r="AZ207" s="84"/>
      <c r="BA207" s="211"/>
      <c r="BB207" s="211"/>
      <c r="BC207" s="211"/>
      <c r="BD207" s="211"/>
      <c r="BE207" s="84"/>
      <c r="BF207" s="211"/>
      <c r="BG207" s="451"/>
    </row>
    <row r="208" spans="1:59" ht="12.75">
      <c r="A208" s="211"/>
      <c r="B208" s="449"/>
      <c r="C208" s="450"/>
      <c r="D208" s="211"/>
      <c r="E208" s="211"/>
      <c r="F208" s="211"/>
      <c r="G208" s="84"/>
      <c r="H208" s="211"/>
      <c r="I208" s="211"/>
      <c r="J208" s="211"/>
      <c r="K208" s="211"/>
      <c r="L208" s="84"/>
      <c r="M208" s="211"/>
      <c r="N208" s="211"/>
      <c r="O208" s="211"/>
      <c r="P208" s="211"/>
      <c r="Q208" s="84"/>
      <c r="R208" s="211"/>
      <c r="S208" s="211"/>
      <c r="T208" s="211"/>
      <c r="U208" s="211"/>
      <c r="V208" s="84"/>
      <c r="W208" s="211"/>
      <c r="X208" s="211"/>
      <c r="Y208" s="211"/>
      <c r="Z208" s="211"/>
      <c r="AA208" s="84"/>
      <c r="AB208" s="146"/>
      <c r="AC208" s="211"/>
      <c r="AD208" s="211"/>
      <c r="AE208" s="211"/>
      <c r="AF208" s="84"/>
      <c r="AG208" s="146"/>
      <c r="AH208" s="211"/>
      <c r="AI208" s="211"/>
      <c r="AJ208" s="211"/>
      <c r="AK208" s="84"/>
      <c r="AL208" s="146"/>
      <c r="AM208" s="211"/>
      <c r="AN208" s="211"/>
      <c r="AO208" s="211"/>
      <c r="AP208" s="436"/>
      <c r="AQ208" s="146"/>
      <c r="AR208" s="211"/>
      <c r="AS208" s="211"/>
      <c r="AT208" s="211"/>
      <c r="AU208" s="84"/>
      <c r="AV208" s="211"/>
      <c r="AW208" s="211"/>
      <c r="AX208" s="211"/>
      <c r="AY208" s="211"/>
      <c r="AZ208" s="84"/>
      <c r="BA208" s="211"/>
      <c r="BB208" s="211"/>
      <c r="BC208" s="211"/>
      <c r="BD208" s="211"/>
      <c r="BE208" s="84"/>
      <c r="BF208" s="211"/>
      <c r="BG208" s="451"/>
    </row>
    <row r="209" spans="1:59" ht="12.75">
      <c r="A209" s="211"/>
      <c r="B209" s="449"/>
      <c r="C209" s="450"/>
      <c r="D209" s="211"/>
      <c r="E209" s="211"/>
      <c r="F209" s="211"/>
      <c r="G209" s="84"/>
      <c r="H209" s="211"/>
      <c r="I209" s="211"/>
      <c r="J209" s="211"/>
      <c r="K209" s="211"/>
      <c r="L209" s="84"/>
      <c r="M209" s="211"/>
      <c r="N209" s="211"/>
      <c r="O209" s="211"/>
      <c r="P209" s="211"/>
      <c r="Q209" s="84"/>
      <c r="R209" s="211"/>
      <c r="S209" s="211"/>
      <c r="T209" s="211"/>
      <c r="U209" s="211"/>
      <c r="V209" s="84"/>
      <c r="W209" s="211"/>
      <c r="X209" s="211"/>
      <c r="Y209" s="211"/>
      <c r="Z209" s="211"/>
      <c r="AA209" s="84"/>
      <c r="AB209" s="146"/>
      <c r="AC209" s="211"/>
      <c r="AD209" s="211"/>
      <c r="AE209" s="211"/>
      <c r="AF209" s="84"/>
      <c r="AG209" s="146"/>
      <c r="AH209" s="211"/>
      <c r="AI209" s="211"/>
      <c r="AJ209" s="211"/>
      <c r="AK209" s="84"/>
      <c r="AL209" s="146"/>
      <c r="AM209" s="211"/>
      <c r="AN209" s="211"/>
      <c r="AO209" s="211"/>
      <c r="AP209" s="436"/>
      <c r="AQ209" s="146"/>
      <c r="AR209" s="211"/>
      <c r="AS209" s="211"/>
      <c r="AT209" s="211"/>
      <c r="AU209" s="84"/>
      <c r="AV209" s="211"/>
      <c r="AW209" s="211"/>
      <c r="AX209" s="211"/>
      <c r="AY209" s="211"/>
      <c r="AZ209" s="84"/>
      <c r="BA209" s="211"/>
      <c r="BB209" s="211"/>
      <c r="BC209" s="211"/>
      <c r="BD209" s="211"/>
      <c r="BE209" s="84"/>
      <c r="BF209" s="211"/>
      <c r="BG209" s="451"/>
    </row>
    <row r="210" spans="1:59" ht="12.75">
      <c r="A210" s="211"/>
      <c r="B210" s="449"/>
      <c r="C210" s="450"/>
      <c r="D210" s="211"/>
      <c r="E210" s="211"/>
      <c r="F210" s="211"/>
      <c r="G210" s="84"/>
      <c r="H210" s="211"/>
      <c r="I210" s="211"/>
      <c r="J210" s="211"/>
      <c r="K210" s="211"/>
      <c r="L210" s="84"/>
      <c r="M210" s="211"/>
      <c r="N210" s="211"/>
      <c r="O210" s="211"/>
      <c r="P210" s="211"/>
      <c r="Q210" s="84"/>
      <c r="R210" s="211"/>
      <c r="S210" s="211"/>
      <c r="T210" s="211"/>
      <c r="U210" s="211"/>
      <c r="V210" s="84"/>
      <c r="W210" s="211"/>
      <c r="X210" s="211"/>
      <c r="Y210" s="211"/>
      <c r="Z210" s="211"/>
      <c r="AA210" s="84"/>
      <c r="AB210" s="146"/>
      <c r="AC210" s="211"/>
      <c r="AD210" s="211"/>
      <c r="AE210" s="211"/>
      <c r="AF210" s="84"/>
      <c r="AG210" s="146"/>
      <c r="AH210" s="211"/>
      <c r="AI210" s="211"/>
      <c r="AJ210" s="211"/>
      <c r="AK210" s="84"/>
      <c r="AL210" s="146"/>
      <c r="AM210" s="211"/>
      <c r="AN210" s="211"/>
      <c r="AO210" s="211"/>
      <c r="AP210" s="436"/>
      <c r="AQ210" s="146"/>
      <c r="AR210" s="211"/>
      <c r="AS210" s="211"/>
      <c r="AT210" s="211"/>
      <c r="AU210" s="84"/>
      <c r="AV210" s="211"/>
      <c r="AW210" s="211"/>
      <c r="AX210" s="211"/>
      <c r="AY210" s="211"/>
      <c r="AZ210" s="84"/>
      <c r="BA210" s="211"/>
      <c r="BB210" s="211"/>
      <c r="BC210" s="211"/>
      <c r="BD210" s="211"/>
      <c r="BE210" s="84"/>
      <c r="BF210" s="211"/>
      <c r="BG210" s="451"/>
    </row>
    <row r="211" spans="1:59" ht="12.75">
      <c r="A211" s="211"/>
      <c r="B211" s="449"/>
      <c r="C211" s="450"/>
      <c r="D211" s="211"/>
      <c r="E211" s="211"/>
      <c r="F211" s="211"/>
      <c r="G211" s="84"/>
      <c r="H211" s="211"/>
      <c r="I211" s="211"/>
      <c r="J211" s="211"/>
      <c r="K211" s="211"/>
      <c r="L211" s="84"/>
      <c r="M211" s="211"/>
      <c r="N211" s="211"/>
      <c r="O211" s="211"/>
      <c r="P211" s="211"/>
      <c r="Q211" s="84"/>
      <c r="R211" s="211"/>
      <c r="S211" s="211"/>
      <c r="T211" s="211"/>
      <c r="U211" s="211"/>
      <c r="V211" s="84"/>
      <c r="W211" s="211"/>
      <c r="X211" s="211"/>
      <c r="Y211" s="211"/>
      <c r="Z211" s="211"/>
      <c r="AA211" s="84"/>
      <c r="AB211" s="146"/>
      <c r="AC211" s="211"/>
      <c r="AD211" s="211"/>
      <c r="AE211" s="211"/>
      <c r="AF211" s="84"/>
      <c r="AG211" s="146"/>
      <c r="AH211" s="211"/>
      <c r="AI211" s="211"/>
      <c r="AJ211" s="211"/>
      <c r="AK211" s="84"/>
      <c r="AL211" s="146"/>
      <c r="AM211" s="211"/>
      <c r="AN211" s="211"/>
      <c r="AO211" s="211"/>
      <c r="AP211" s="436"/>
      <c r="AQ211" s="146"/>
      <c r="AR211" s="211"/>
      <c r="AS211" s="211"/>
      <c r="AT211" s="211"/>
      <c r="AU211" s="84"/>
      <c r="AV211" s="211"/>
      <c r="AW211" s="211"/>
      <c r="AX211" s="211"/>
      <c r="AY211" s="211"/>
      <c r="AZ211" s="84"/>
      <c r="BA211" s="211"/>
      <c r="BB211" s="211"/>
      <c r="BC211" s="211"/>
      <c r="BD211" s="211"/>
      <c r="BE211" s="84"/>
      <c r="BF211" s="211"/>
      <c r="BG211" s="451"/>
    </row>
    <row r="212" spans="1:59" ht="12.75">
      <c r="A212" s="211"/>
      <c r="B212" s="449"/>
      <c r="C212" s="450"/>
      <c r="D212" s="211"/>
      <c r="E212" s="211"/>
      <c r="F212" s="211"/>
      <c r="G212" s="84"/>
      <c r="H212" s="211"/>
      <c r="I212" s="211"/>
      <c r="J212" s="211"/>
      <c r="K212" s="211"/>
      <c r="L212" s="84"/>
      <c r="M212" s="211"/>
      <c r="N212" s="211"/>
      <c r="O212" s="211"/>
      <c r="P212" s="211"/>
      <c r="Q212" s="84"/>
      <c r="R212" s="211"/>
      <c r="S212" s="211"/>
      <c r="T212" s="211"/>
      <c r="U212" s="211"/>
      <c r="V212" s="84"/>
      <c r="W212" s="211"/>
      <c r="X212" s="211"/>
      <c r="Y212" s="211"/>
      <c r="Z212" s="211"/>
      <c r="AA212" s="84"/>
      <c r="AB212" s="146"/>
      <c r="AC212" s="211"/>
      <c r="AD212" s="211"/>
      <c r="AE212" s="211"/>
      <c r="AF212" s="84"/>
      <c r="AG212" s="146"/>
      <c r="AH212" s="211"/>
      <c r="AI212" s="211"/>
      <c r="AJ212" s="211"/>
      <c r="AK212" s="84"/>
      <c r="AL212" s="146"/>
      <c r="AM212" s="211"/>
      <c r="AN212" s="211"/>
      <c r="AO212" s="211"/>
      <c r="AP212" s="436"/>
      <c r="AQ212" s="146"/>
      <c r="AR212" s="211"/>
      <c r="AS212" s="211"/>
      <c r="AT212" s="211"/>
      <c r="AU212" s="84"/>
      <c r="AV212" s="211"/>
      <c r="AW212" s="211"/>
      <c r="AX212" s="211"/>
      <c r="AY212" s="211"/>
      <c r="AZ212" s="84"/>
      <c r="BA212" s="211"/>
      <c r="BB212" s="211"/>
      <c r="BC212" s="211"/>
      <c r="BD212" s="211"/>
      <c r="BE212" s="84"/>
      <c r="BF212" s="211"/>
      <c r="BG212" s="451"/>
    </row>
    <row r="213" spans="1:59" ht="12.75">
      <c r="A213" s="211"/>
      <c r="B213" s="449"/>
      <c r="C213" s="450"/>
      <c r="D213" s="211"/>
      <c r="E213" s="211"/>
      <c r="F213" s="211"/>
      <c r="G213" s="84"/>
      <c r="H213" s="211"/>
      <c r="I213" s="211"/>
      <c r="J213" s="211"/>
      <c r="K213" s="211"/>
      <c r="L213" s="84"/>
      <c r="M213" s="211"/>
      <c r="N213" s="211"/>
      <c r="O213" s="211"/>
      <c r="P213" s="211"/>
      <c r="Q213" s="84"/>
      <c r="R213" s="211"/>
      <c r="S213" s="211"/>
      <c r="T213" s="211"/>
      <c r="U213" s="211"/>
      <c r="V213" s="84"/>
      <c r="W213" s="211"/>
      <c r="X213" s="211"/>
      <c r="Y213" s="211"/>
      <c r="Z213" s="211"/>
      <c r="AA213" s="84"/>
      <c r="AB213" s="146"/>
      <c r="AC213" s="211"/>
      <c r="AD213" s="211"/>
      <c r="AE213" s="211"/>
      <c r="AF213" s="84"/>
      <c r="AG213" s="146"/>
      <c r="AH213" s="211"/>
      <c r="AI213" s="211"/>
      <c r="AJ213" s="211"/>
      <c r="AK213" s="84"/>
      <c r="AL213" s="146"/>
      <c r="AM213" s="211"/>
      <c r="AN213" s="211"/>
      <c r="AO213" s="211"/>
      <c r="AP213" s="436"/>
      <c r="AQ213" s="146"/>
      <c r="AR213" s="211"/>
      <c r="AS213" s="211"/>
      <c r="AT213" s="211"/>
      <c r="AU213" s="84"/>
      <c r="AV213" s="211"/>
      <c r="AW213" s="211"/>
      <c r="AX213" s="211"/>
      <c r="AY213" s="211"/>
      <c r="AZ213" s="84"/>
      <c r="BA213" s="211"/>
      <c r="BB213" s="211"/>
      <c r="BC213" s="211"/>
      <c r="BD213" s="211"/>
      <c r="BE213" s="84"/>
      <c r="BF213" s="211"/>
      <c r="BG213" s="451"/>
    </row>
    <row r="214" spans="1:59" ht="12.75">
      <c r="A214" s="211"/>
      <c r="B214" s="449"/>
      <c r="C214" s="450"/>
      <c r="D214" s="211"/>
      <c r="E214" s="211"/>
      <c r="F214" s="211"/>
      <c r="G214" s="84"/>
      <c r="H214" s="211"/>
      <c r="I214" s="211"/>
      <c r="J214" s="211"/>
      <c r="K214" s="211"/>
      <c r="L214" s="84"/>
      <c r="M214" s="211"/>
      <c r="N214" s="211"/>
      <c r="O214" s="211"/>
      <c r="P214" s="211"/>
      <c r="Q214" s="84"/>
      <c r="R214" s="211"/>
      <c r="S214" s="211"/>
      <c r="T214" s="211"/>
      <c r="U214" s="211"/>
      <c r="V214" s="84"/>
      <c r="W214" s="211"/>
      <c r="X214" s="211"/>
      <c r="Y214" s="211"/>
      <c r="Z214" s="211"/>
      <c r="AA214" s="84"/>
      <c r="AB214" s="146"/>
      <c r="AC214" s="211"/>
      <c r="AD214" s="211"/>
      <c r="AE214" s="211"/>
      <c r="AF214" s="84"/>
      <c r="AG214" s="146"/>
      <c r="AH214" s="211"/>
      <c r="AI214" s="211"/>
      <c r="AJ214" s="211"/>
      <c r="AK214" s="84"/>
      <c r="AL214" s="146"/>
      <c r="AM214" s="211"/>
      <c r="AN214" s="211"/>
      <c r="AO214" s="211"/>
      <c r="AP214" s="436"/>
      <c r="AQ214" s="146"/>
      <c r="AR214" s="211"/>
      <c r="AS214" s="211"/>
      <c r="AT214" s="211"/>
      <c r="AU214" s="84"/>
      <c r="AV214" s="211"/>
      <c r="AW214" s="211"/>
      <c r="AX214" s="211"/>
      <c r="AY214" s="211"/>
      <c r="AZ214" s="84"/>
      <c r="BA214" s="211"/>
      <c r="BB214" s="211"/>
      <c r="BC214" s="211"/>
      <c r="BD214" s="211"/>
      <c r="BE214" s="84"/>
      <c r="BF214" s="211"/>
      <c r="BG214" s="451"/>
    </row>
    <row r="215" spans="1:59" ht="12.75">
      <c r="A215" s="211"/>
      <c r="B215" s="449"/>
      <c r="C215" s="450"/>
      <c r="D215" s="211"/>
      <c r="E215" s="211"/>
      <c r="F215" s="211"/>
      <c r="G215" s="84"/>
      <c r="H215" s="211"/>
      <c r="I215" s="211"/>
      <c r="J215" s="211"/>
      <c r="K215" s="211"/>
      <c r="L215" s="84"/>
      <c r="M215" s="211"/>
      <c r="N215" s="211"/>
      <c r="O215" s="211"/>
      <c r="P215" s="211"/>
      <c r="Q215" s="84"/>
      <c r="R215" s="211"/>
      <c r="S215" s="211"/>
      <c r="T215" s="211"/>
      <c r="U215" s="211"/>
      <c r="V215" s="84"/>
      <c r="W215" s="211"/>
      <c r="X215" s="211"/>
      <c r="Y215" s="211"/>
      <c r="Z215" s="211"/>
      <c r="AA215" s="84"/>
      <c r="AB215" s="146"/>
      <c r="AC215" s="211"/>
      <c r="AD215" s="211"/>
      <c r="AE215" s="211"/>
      <c r="AF215" s="84"/>
      <c r="AG215" s="146"/>
      <c r="AH215" s="211"/>
      <c r="AI215" s="211"/>
      <c r="AJ215" s="211"/>
      <c r="AK215" s="84"/>
      <c r="AL215" s="146"/>
      <c r="AM215" s="211"/>
      <c r="AN215" s="211"/>
      <c r="AO215" s="211"/>
      <c r="AP215" s="436"/>
      <c r="AQ215" s="146"/>
      <c r="AR215" s="211"/>
      <c r="AS215" s="211"/>
      <c r="AT215" s="211"/>
      <c r="AU215" s="84"/>
      <c r="AV215" s="211"/>
      <c r="AW215" s="211"/>
      <c r="AX215" s="211"/>
      <c r="AY215" s="211"/>
      <c r="AZ215" s="84"/>
      <c r="BA215" s="211"/>
      <c r="BB215" s="211"/>
      <c r="BC215" s="211"/>
      <c r="BD215" s="211"/>
      <c r="BE215" s="84"/>
      <c r="BF215" s="211"/>
      <c r="BG215" s="451"/>
    </row>
    <row r="216" spans="1:59" ht="12.75">
      <c r="A216" s="211"/>
      <c r="B216" s="449"/>
      <c r="C216" s="450"/>
      <c r="D216" s="211"/>
      <c r="E216" s="211"/>
      <c r="F216" s="211"/>
      <c r="G216" s="84"/>
      <c r="H216" s="211"/>
      <c r="I216" s="211"/>
      <c r="J216" s="211"/>
      <c r="K216" s="211"/>
      <c r="L216" s="84"/>
      <c r="M216" s="211"/>
      <c r="N216" s="211"/>
      <c r="O216" s="211"/>
      <c r="P216" s="211"/>
      <c r="Q216" s="84"/>
      <c r="R216" s="211"/>
      <c r="S216" s="211"/>
      <c r="T216" s="211"/>
      <c r="U216" s="211"/>
      <c r="V216" s="84"/>
      <c r="W216" s="211"/>
      <c r="X216" s="211"/>
      <c r="Y216" s="211"/>
      <c r="Z216" s="211"/>
      <c r="AA216" s="84"/>
      <c r="AB216" s="146"/>
      <c r="AC216" s="211"/>
      <c r="AD216" s="211"/>
      <c r="AE216" s="211"/>
      <c r="AF216" s="84"/>
      <c r="AG216" s="146"/>
      <c r="AH216" s="211"/>
      <c r="AI216" s="211"/>
      <c r="AJ216" s="211"/>
      <c r="AK216" s="84"/>
      <c r="AL216" s="146"/>
      <c r="AM216" s="211"/>
      <c r="AN216" s="211"/>
      <c r="AO216" s="211"/>
      <c r="AP216" s="436"/>
      <c r="AQ216" s="146"/>
      <c r="AR216" s="211"/>
      <c r="AS216" s="211"/>
      <c r="AT216" s="211"/>
      <c r="AU216" s="84"/>
      <c r="AV216" s="211"/>
      <c r="AW216" s="211"/>
      <c r="AX216" s="211"/>
      <c r="AY216" s="211"/>
      <c r="AZ216" s="84"/>
      <c r="BA216" s="211"/>
      <c r="BB216" s="211"/>
      <c r="BC216" s="211"/>
      <c r="BD216" s="211"/>
      <c r="BE216" s="84"/>
      <c r="BF216" s="211"/>
      <c r="BG216" s="451"/>
    </row>
    <row r="217" spans="1:59" ht="12.75">
      <c r="A217" s="211"/>
      <c r="B217" s="449"/>
      <c r="C217" s="450"/>
      <c r="D217" s="211"/>
      <c r="E217" s="211"/>
      <c r="F217" s="211"/>
      <c r="G217" s="84"/>
      <c r="H217" s="211"/>
      <c r="I217" s="211"/>
      <c r="J217" s="211"/>
      <c r="K217" s="211"/>
      <c r="L217" s="84"/>
      <c r="M217" s="211"/>
      <c r="N217" s="211"/>
      <c r="O217" s="211"/>
      <c r="P217" s="211"/>
      <c r="Q217" s="84"/>
      <c r="R217" s="211"/>
      <c r="S217" s="211"/>
      <c r="T217" s="211"/>
      <c r="U217" s="211"/>
      <c r="V217" s="84"/>
      <c r="W217" s="211"/>
      <c r="X217" s="211"/>
      <c r="Y217" s="211"/>
      <c r="Z217" s="211"/>
      <c r="AA217" s="84"/>
      <c r="AB217" s="146"/>
      <c r="AC217" s="211"/>
      <c r="AD217" s="211"/>
      <c r="AE217" s="211"/>
      <c r="AF217" s="84"/>
      <c r="AG217" s="146"/>
      <c r="AH217" s="211"/>
      <c r="AI217" s="211"/>
      <c r="AJ217" s="211"/>
      <c r="AK217" s="84"/>
      <c r="AL217" s="146"/>
      <c r="AM217" s="211"/>
      <c r="AN217" s="211"/>
      <c r="AO217" s="211"/>
      <c r="AP217" s="436"/>
      <c r="AQ217" s="146"/>
      <c r="AR217" s="211"/>
      <c r="AS217" s="211"/>
      <c r="AT217" s="211"/>
      <c r="AU217" s="84"/>
      <c r="AV217" s="211"/>
      <c r="AW217" s="211"/>
      <c r="AX217" s="211"/>
      <c r="AY217" s="211"/>
      <c r="AZ217" s="84"/>
      <c r="BA217" s="211"/>
      <c r="BB217" s="211"/>
      <c r="BC217" s="211"/>
      <c r="BD217" s="211"/>
      <c r="BE217" s="84"/>
      <c r="BF217" s="211"/>
      <c r="BG217" s="451"/>
    </row>
    <row r="218" spans="1:59" ht="12.75">
      <c r="A218" s="211"/>
      <c r="B218" s="449"/>
      <c r="C218" s="450"/>
      <c r="D218" s="211"/>
      <c r="E218" s="211"/>
      <c r="F218" s="211"/>
      <c r="G218" s="84"/>
      <c r="H218" s="211"/>
      <c r="I218" s="211"/>
      <c r="J218" s="211"/>
      <c r="K218" s="211"/>
      <c r="L218" s="84"/>
      <c r="M218" s="211"/>
      <c r="N218" s="211"/>
      <c r="O218" s="211"/>
      <c r="P218" s="211"/>
      <c r="Q218" s="84"/>
      <c r="R218" s="211"/>
      <c r="S218" s="211"/>
      <c r="T218" s="211"/>
      <c r="U218" s="211"/>
      <c r="V218" s="84"/>
      <c r="W218" s="211"/>
      <c r="X218" s="211"/>
      <c r="Y218" s="211"/>
      <c r="Z218" s="211"/>
      <c r="AA218" s="84"/>
      <c r="AB218" s="146"/>
      <c r="AC218" s="211"/>
      <c r="AD218" s="211"/>
      <c r="AE218" s="211"/>
      <c r="AF218" s="84"/>
      <c r="AG218" s="146"/>
      <c r="AH218" s="211"/>
      <c r="AI218" s="211"/>
      <c r="AJ218" s="211"/>
      <c r="AK218" s="84"/>
      <c r="AL218" s="146"/>
      <c r="AM218" s="211"/>
      <c r="AN218" s="211"/>
      <c r="AO218" s="211"/>
      <c r="AP218" s="436"/>
      <c r="AQ218" s="146"/>
      <c r="AR218" s="211"/>
      <c r="AS218" s="211"/>
      <c r="AT218" s="211"/>
      <c r="AU218" s="84"/>
      <c r="AV218" s="211"/>
      <c r="AW218" s="211"/>
      <c r="AX218" s="211"/>
      <c r="AY218" s="211"/>
      <c r="AZ218" s="84"/>
      <c r="BA218" s="211"/>
      <c r="BB218" s="211"/>
      <c r="BC218" s="211"/>
      <c r="BD218" s="211"/>
      <c r="BE218" s="84"/>
      <c r="BF218" s="211"/>
      <c r="BG218" s="451"/>
    </row>
    <row r="219" spans="1:59" ht="12.75">
      <c r="A219" s="211"/>
      <c r="B219" s="449"/>
      <c r="C219" s="450"/>
      <c r="D219" s="211"/>
      <c r="E219" s="211"/>
      <c r="F219" s="211"/>
      <c r="G219" s="84"/>
      <c r="H219" s="211"/>
      <c r="I219" s="211"/>
      <c r="J219" s="211"/>
      <c r="K219" s="211"/>
      <c r="L219" s="84"/>
      <c r="M219" s="211"/>
      <c r="N219" s="211"/>
      <c r="O219" s="211"/>
      <c r="P219" s="211"/>
      <c r="Q219" s="84"/>
      <c r="R219" s="211"/>
      <c r="S219" s="211"/>
      <c r="T219" s="211"/>
      <c r="U219" s="211"/>
      <c r="V219" s="84"/>
      <c r="W219" s="211"/>
      <c r="X219" s="211"/>
      <c r="Y219" s="211"/>
      <c r="Z219" s="211"/>
      <c r="AA219" s="84"/>
      <c r="AB219" s="146"/>
      <c r="AC219" s="211"/>
      <c r="AD219" s="211"/>
      <c r="AE219" s="211"/>
      <c r="AF219" s="84"/>
      <c r="AG219" s="146"/>
      <c r="AH219" s="211"/>
      <c r="AI219" s="211"/>
      <c r="AJ219" s="211"/>
      <c r="AK219" s="84"/>
      <c r="AL219" s="146"/>
      <c r="AM219" s="211"/>
      <c r="AN219" s="211"/>
      <c r="AO219" s="211"/>
      <c r="AP219" s="436"/>
      <c r="AQ219" s="146"/>
      <c r="AR219" s="211"/>
      <c r="AS219" s="211"/>
      <c r="AT219" s="211"/>
      <c r="AU219" s="84"/>
      <c r="AV219" s="211"/>
      <c r="AW219" s="211"/>
      <c r="AX219" s="211"/>
      <c r="AY219" s="211"/>
      <c r="AZ219" s="84"/>
      <c r="BA219" s="211"/>
      <c r="BB219" s="211"/>
      <c r="BC219" s="211"/>
      <c r="BD219" s="211"/>
      <c r="BE219" s="84"/>
      <c r="BF219" s="211"/>
      <c r="BG219" s="451"/>
    </row>
    <row r="220" spans="1:59" ht="12.75">
      <c r="A220" s="211"/>
      <c r="B220" s="449"/>
      <c r="C220" s="450"/>
      <c r="D220" s="211"/>
      <c r="E220" s="211"/>
      <c r="F220" s="211"/>
      <c r="G220" s="84"/>
      <c r="H220" s="211"/>
      <c r="I220" s="211"/>
      <c r="J220" s="211"/>
      <c r="K220" s="211"/>
      <c r="L220" s="84"/>
      <c r="M220" s="211"/>
      <c r="N220" s="211"/>
      <c r="O220" s="211"/>
      <c r="P220" s="211"/>
      <c r="Q220" s="84"/>
      <c r="R220" s="211"/>
      <c r="S220" s="211"/>
      <c r="T220" s="211"/>
      <c r="U220" s="211"/>
      <c r="V220" s="84"/>
      <c r="W220" s="211"/>
      <c r="X220" s="211"/>
      <c r="Y220" s="211"/>
      <c r="Z220" s="211"/>
      <c r="AA220" s="84"/>
      <c r="AB220" s="146"/>
      <c r="AC220" s="211"/>
      <c r="AD220" s="211"/>
      <c r="AE220" s="211"/>
      <c r="AF220" s="84"/>
      <c r="AG220" s="146"/>
      <c r="AH220" s="211"/>
      <c r="AI220" s="211"/>
      <c r="AJ220" s="211"/>
      <c r="AK220" s="84"/>
      <c r="AL220" s="146"/>
      <c r="AM220" s="211"/>
      <c r="AN220" s="211"/>
      <c r="AO220" s="211"/>
      <c r="AP220" s="436"/>
      <c r="AQ220" s="146"/>
      <c r="AR220" s="211"/>
      <c r="AS220" s="211"/>
      <c r="AT220" s="211"/>
      <c r="AU220" s="84"/>
      <c r="AV220" s="211"/>
      <c r="AW220" s="211"/>
      <c r="AX220" s="211"/>
      <c r="AY220" s="211"/>
      <c r="AZ220" s="84"/>
      <c r="BA220" s="211"/>
      <c r="BB220" s="211"/>
      <c r="BC220" s="211"/>
      <c r="BD220" s="211"/>
      <c r="BE220" s="84"/>
      <c r="BF220" s="211"/>
      <c r="BG220" s="451"/>
    </row>
    <row r="221" spans="1:59" ht="12.75">
      <c r="A221" s="211"/>
      <c r="B221" s="449"/>
      <c r="C221" s="450"/>
      <c r="D221" s="211"/>
      <c r="E221" s="211"/>
      <c r="F221" s="211"/>
      <c r="G221" s="84"/>
      <c r="H221" s="211"/>
      <c r="I221" s="211"/>
      <c r="J221" s="211"/>
      <c r="K221" s="211"/>
      <c r="L221" s="84"/>
      <c r="M221" s="211"/>
      <c r="N221" s="211"/>
      <c r="O221" s="211"/>
      <c r="P221" s="211"/>
      <c r="Q221" s="84"/>
      <c r="R221" s="211"/>
      <c r="S221" s="211"/>
      <c r="T221" s="211"/>
      <c r="U221" s="211"/>
      <c r="V221" s="84"/>
      <c r="W221" s="211"/>
      <c r="X221" s="211"/>
      <c r="Y221" s="211"/>
      <c r="Z221" s="211"/>
      <c r="AA221" s="84"/>
      <c r="AB221" s="146"/>
      <c r="AC221" s="211"/>
      <c r="AD221" s="211"/>
      <c r="AE221" s="211"/>
      <c r="AF221" s="84"/>
      <c r="AG221" s="146"/>
      <c r="AH221" s="211"/>
      <c r="AI221" s="211"/>
      <c r="AJ221" s="211"/>
      <c r="AK221" s="84"/>
      <c r="AL221" s="146"/>
      <c r="AM221" s="211"/>
      <c r="AN221" s="211"/>
      <c r="AO221" s="211"/>
      <c r="AP221" s="436"/>
      <c r="AQ221" s="146"/>
      <c r="AR221" s="211"/>
      <c r="AS221" s="211"/>
      <c r="AT221" s="211"/>
      <c r="AU221" s="84"/>
      <c r="AV221" s="211"/>
      <c r="AW221" s="211"/>
      <c r="AX221" s="211"/>
      <c r="AY221" s="211"/>
      <c r="AZ221" s="84"/>
      <c r="BA221" s="211"/>
      <c r="BB221" s="211"/>
      <c r="BC221" s="211"/>
      <c r="BD221" s="211"/>
      <c r="BE221" s="84"/>
      <c r="BF221" s="211"/>
      <c r="BG221" s="451"/>
    </row>
    <row r="222" spans="1:59" ht="12.75">
      <c r="A222" s="211"/>
      <c r="B222" s="449"/>
      <c r="C222" s="450"/>
      <c r="D222" s="211"/>
      <c r="E222" s="211"/>
      <c r="F222" s="211"/>
      <c r="G222" s="84"/>
      <c r="H222" s="211"/>
      <c r="I222" s="211"/>
      <c r="J222" s="211"/>
      <c r="K222" s="211"/>
      <c r="L222" s="84"/>
      <c r="M222" s="211"/>
      <c r="N222" s="211"/>
      <c r="O222" s="211"/>
      <c r="P222" s="211"/>
      <c r="Q222" s="84"/>
      <c r="R222" s="211"/>
      <c r="S222" s="211"/>
      <c r="T222" s="211"/>
      <c r="U222" s="211"/>
      <c r="V222" s="84"/>
      <c r="W222" s="211"/>
      <c r="X222" s="211"/>
      <c r="Y222" s="211"/>
      <c r="Z222" s="211"/>
      <c r="AA222" s="84"/>
      <c r="AB222" s="146"/>
      <c r="AC222" s="211"/>
      <c r="AD222" s="211"/>
      <c r="AE222" s="211"/>
      <c r="AF222" s="84"/>
      <c r="AG222" s="146"/>
      <c r="AH222" s="211"/>
      <c r="AI222" s="211"/>
      <c r="AJ222" s="211"/>
      <c r="AK222" s="84"/>
      <c r="AL222" s="146"/>
      <c r="AM222" s="211"/>
      <c r="AN222" s="211"/>
      <c r="AO222" s="211"/>
      <c r="AP222" s="436"/>
      <c r="AQ222" s="146"/>
      <c r="AR222" s="211"/>
      <c r="AS222" s="211"/>
      <c r="AT222" s="211"/>
      <c r="AU222" s="84"/>
      <c r="AV222" s="211"/>
      <c r="AW222" s="211"/>
      <c r="AX222" s="211"/>
      <c r="AY222" s="211"/>
      <c r="AZ222" s="84"/>
      <c r="BA222" s="211"/>
      <c r="BB222" s="211"/>
      <c r="BC222" s="211"/>
      <c r="BD222" s="211"/>
      <c r="BE222" s="84"/>
      <c r="BF222" s="211"/>
      <c r="BG222" s="451"/>
    </row>
    <row r="223" spans="1:59" ht="12.75">
      <c r="A223" s="211"/>
      <c r="B223" s="449"/>
      <c r="C223" s="450"/>
      <c r="D223" s="211"/>
      <c r="E223" s="211"/>
      <c r="F223" s="211"/>
      <c r="G223" s="84"/>
      <c r="H223" s="211"/>
      <c r="I223" s="211"/>
      <c r="J223" s="211"/>
      <c r="K223" s="211"/>
      <c r="L223" s="84"/>
      <c r="M223" s="211"/>
      <c r="N223" s="211"/>
      <c r="O223" s="211"/>
      <c r="P223" s="211"/>
      <c r="Q223" s="84"/>
      <c r="R223" s="211"/>
      <c r="S223" s="211"/>
      <c r="T223" s="211"/>
      <c r="U223" s="211"/>
      <c r="V223" s="84"/>
      <c r="W223" s="211"/>
      <c r="X223" s="211"/>
      <c r="Y223" s="211"/>
      <c r="Z223" s="211"/>
      <c r="AA223" s="84"/>
      <c r="AB223" s="146"/>
      <c r="AC223" s="211"/>
      <c r="AD223" s="211"/>
      <c r="AE223" s="211"/>
      <c r="AF223" s="84"/>
      <c r="AG223" s="146"/>
      <c r="AH223" s="211"/>
      <c r="AI223" s="211"/>
      <c r="AJ223" s="211"/>
      <c r="AK223" s="84"/>
      <c r="AL223" s="146"/>
      <c r="AM223" s="211"/>
      <c r="AN223" s="211"/>
      <c r="AO223" s="211"/>
      <c r="AP223" s="436"/>
      <c r="AQ223" s="146"/>
      <c r="AR223" s="211"/>
      <c r="AS223" s="211"/>
      <c r="AT223" s="211"/>
      <c r="AU223" s="84"/>
      <c r="AV223" s="211"/>
      <c r="AW223" s="211"/>
      <c r="AX223" s="211"/>
      <c r="AY223" s="211"/>
      <c r="AZ223" s="84"/>
      <c r="BA223" s="211"/>
      <c r="BB223" s="211"/>
      <c r="BC223" s="211"/>
      <c r="BD223" s="211"/>
      <c r="BE223" s="84"/>
      <c r="BF223" s="211"/>
      <c r="BG223" s="451"/>
    </row>
    <row r="224" spans="1:59" ht="12.75">
      <c r="A224" s="211"/>
      <c r="B224" s="449"/>
      <c r="C224" s="450"/>
      <c r="D224" s="211"/>
      <c r="E224" s="211"/>
      <c r="F224" s="211"/>
      <c r="G224" s="84"/>
      <c r="H224" s="211"/>
      <c r="I224" s="211"/>
      <c r="J224" s="211"/>
      <c r="K224" s="211"/>
      <c r="L224" s="84"/>
      <c r="M224" s="211"/>
      <c r="N224" s="211"/>
      <c r="O224" s="211"/>
      <c r="P224" s="211"/>
      <c r="Q224" s="84"/>
      <c r="R224" s="211"/>
      <c r="S224" s="211"/>
      <c r="T224" s="211"/>
      <c r="U224" s="211"/>
      <c r="V224" s="84"/>
      <c r="W224" s="211"/>
      <c r="X224" s="211"/>
      <c r="Y224" s="211"/>
      <c r="Z224" s="211"/>
      <c r="AA224" s="84"/>
      <c r="AB224" s="146"/>
      <c r="AC224" s="211"/>
      <c r="AD224" s="211"/>
      <c r="AE224" s="211"/>
      <c r="AF224" s="84"/>
      <c r="AG224" s="146"/>
      <c r="AH224" s="211"/>
      <c r="AI224" s="211"/>
      <c r="AJ224" s="211"/>
      <c r="AK224" s="84"/>
      <c r="AL224" s="146"/>
      <c r="AM224" s="211"/>
      <c r="AN224" s="211"/>
      <c r="AO224" s="211"/>
      <c r="AP224" s="436"/>
      <c r="AQ224" s="146"/>
      <c r="AR224" s="211"/>
      <c r="AS224" s="211"/>
      <c r="AT224" s="211"/>
      <c r="AU224" s="84"/>
      <c r="AV224" s="211"/>
      <c r="AW224" s="211"/>
      <c r="AX224" s="211"/>
      <c r="AY224" s="211"/>
      <c r="AZ224" s="84"/>
      <c r="BA224" s="211"/>
      <c r="BB224" s="211"/>
      <c r="BC224" s="211"/>
      <c r="BD224" s="211"/>
      <c r="BE224" s="84"/>
      <c r="BF224" s="211"/>
      <c r="BG224" s="451"/>
    </row>
    <row r="225" spans="1:59" ht="12.75">
      <c r="A225" s="211"/>
      <c r="B225" s="449"/>
      <c r="C225" s="450"/>
      <c r="D225" s="211"/>
      <c r="E225" s="211"/>
      <c r="F225" s="211"/>
      <c r="G225" s="84"/>
      <c r="H225" s="211"/>
      <c r="I225" s="211"/>
      <c r="J225" s="211"/>
      <c r="K225" s="211"/>
      <c r="L225" s="84"/>
      <c r="M225" s="211"/>
      <c r="N225" s="211"/>
      <c r="O225" s="211"/>
      <c r="P225" s="211"/>
      <c r="Q225" s="84"/>
      <c r="R225" s="211"/>
      <c r="S225" s="211"/>
      <c r="T225" s="211"/>
      <c r="U225" s="211"/>
      <c r="V225" s="84"/>
      <c r="W225" s="211"/>
      <c r="X225" s="211"/>
      <c r="Y225" s="211"/>
      <c r="Z225" s="211"/>
      <c r="AA225" s="84"/>
      <c r="AB225" s="146"/>
      <c r="AC225" s="211"/>
      <c r="AD225" s="211"/>
      <c r="AE225" s="211"/>
      <c r="AF225" s="84"/>
      <c r="AG225" s="146"/>
      <c r="AH225" s="211"/>
      <c r="AI225" s="211"/>
      <c r="AJ225" s="211"/>
      <c r="AK225" s="84"/>
      <c r="AL225" s="146"/>
      <c r="AM225" s="211"/>
      <c r="AN225" s="211"/>
      <c r="AO225" s="211"/>
      <c r="AP225" s="436"/>
      <c r="AQ225" s="146"/>
      <c r="AR225" s="211"/>
      <c r="AS225" s="211"/>
      <c r="AT225" s="211"/>
      <c r="AU225" s="84"/>
      <c r="AV225" s="211"/>
      <c r="AW225" s="211"/>
      <c r="AX225" s="211"/>
      <c r="AY225" s="211"/>
      <c r="AZ225" s="84"/>
      <c r="BA225" s="211"/>
      <c r="BB225" s="211"/>
      <c r="BC225" s="211"/>
      <c r="BD225" s="211"/>
      <c r="BE225" s="84"/>
      <c r="BF225" s="211"/>
      <c r="BG225" s="451"/>
    </row>
    <row r="226" spans="1:59" ht="12.75">
      <c r="A226" s="211"/>
      <c r="B226" s="449"/>
      <c r="C226" s="450"/>
      <c r="D226" s="211"/>
      <c r="E226" s="211"/>
      <c r="F226" s="211"/>
      <c r="G226" s="84"/>
      <c r="H226" s="211"/>
      <c r="I226" s="211"/>
      <c r="J226" s="211"/>
      <c r="K226" s="211"/>
      <c r="L226" s="84"/>
      <c r="M226" s="211"/>
      <c r="N226" s="211"/>
      <c r="O226" s="211"/>
      <c r="P226" s="211"/>
      <c r="Q226" s="84"/>
      <c r="R226" s="211"/>
      <c r="S226" s="211"/>
      <c r="T226" s="211"/>
      <c r="U226" s="211"/>
      <c r="V226" s="84"/>
      <c r="W226" s="211"/>
      <c r="X226" s="211"/>
      <c r="Y226" s="211"/>
      <c r="Z226" s="211"/>
      <c r="AA226" s="84"/>
      <c r="AB226" s="146"/>
      <c r="AC226" s="211"/>
      <c r="AD226" s="211"/>
      <c r="AE226" s="211"/>
      <c r="AF226" s="84"/>
      <c r="AG226" s="146"/>
      <c r="AH226" s="211"/>
      <c r="AI226" s="211"/>
      <c r="AJ226" s="211"/>
      <c r="AK226" s="84"/>
      <c r="AL226" s="146"/>
      <c r="AM226" s="211"/>
      <c r="AN226" s="211"/>
      <c r="AO226" s="211"/>
      <c r="AP226" s="436"/>
      <c r="AQ226" s="146"/>
      <c r="AR226" s="211"/>
      <c r="AS226" s="211"/>
      <c r="AT226" s="211"/>
      <c r="AU226" s="84"/>
      <c r="AV226" s="211"/>
      <c r="AW226" s="211"/>
      <c r="AX226" s="211"/>
      <c r="AY226" s="211"/>
      <c r="AZ226" s="84"/>
      <c r="BA226" s="211"/>
      <c r="BB226" s="211"/>
      <c r="BC226" s="211"/>
      <c r="BD226" s="211"/>
      <c r="BE226" s="84"/>
      <c r="BF226" s="211"/>
      <c r="BG226" s="451"/>
    </row>
    <row r="227" spans="1:59" ht="12.75">
      <c r="A227" s="211"/>
      <c r="B227" s="449"/>
      <c r="C227" s="450"/>
      <c r="D227" s="211"/>
      <c r="E227" s="211"/>
      <c r="F227" s="211"/>
      <c r="G227" s="84"/>
      <c r="H227" s="211"/>
      <c r="I227" s="211"/>
      <c r="J227" s="211"/>
      <c r="K227" s="211"/>
      <c r="L227" s="84"/>
      <c r="M227" s="211"/>
      <c r="N227" s="211"/>
      <c r="O227" s="211"/>
      <c r="P227" s="211"/>
      <c r="Q227" s="84"/>
      <c r="R227" s="211"/>
      <c r="S227" s="211"/>
      <c r="T227" s="211"/>
      <c r="U227" s="211"/>
      <c r="V227" s="84"/>
      <c r="W227" s="211"/>
      <c r="X227" s="211"/>
      <c r="Y227" s="211"/>
      <c r="Z227" s="211"/>
      <c r="AA227" s="84"/>
      <c r="AB227" s="146"/>
      <c r="AC227" s="211"/>
      <c r="AD227" s="211"/>
      <c r="AE227" s="211"/>
      <c r="AF227" s="84"/>
      <c r="AG227" s="146"/>
      <c r="AH227" s="211"/>
      <c r="AI227" s="211"/>
      <c r="AJ227" s="211"/>
      <c r="AK227" s="84"/>
      <c r="AL227" s="146"/>
      <c r="AM227" s="211"/>
      <c r="AN227" s="211"/>
      <c r="AO227" s="211"/>
      <c r="AP227" s="436"/>
      <c r="AQ227" s="146"/>
      <c r="AR227" s="211"/>
      <c r="AS227" s="211"/>
      <c r="AT227" s="211"/>
      <c r="AU227" s="84"/>
      <c r="AV227" s="211"/>
      <c r="AW227" s="211"/>
      <c r="AX227" s="211"/>
      <c r="AY227" s="211"/>
      <c r="AZ227" s="84"/>
      <c r="BA227" s="211"/>
      <c r="BB227" s="211"/>
      <c r="BC227" s="211"/>
      <c r="BD227" s="211"/>
      <c r="BE227" s="84"/>
      <c r="BF227" s="211"/>
      <c r="BG227" s="451"/>
    </row>
    <row r="228" spans="1:59" ht="12.75">
      <c r="A228" s="211"/>
      <c r="B228" s="449"/>
      <c r="C228" s="450"/>
      <c r="D228" s="211"/>
      <c r="E228" s="211"/>
      <c r="F228" s="211"/>
      <c r="G228" s="84"/>
      <c r="H228" s="211"/>
      <c r="I228" s="211"/>
      <c r="J228" s="211"/>
      <c r="K228" s="211"/>
      <c r="L228" s="84"/>
      <c r="M228" s="211"/>
      <c r="N228" s="211"/>
      <c r="O228" s="211"/>
      <c r="P228" s="211"/>
      <c r="Q228" s="84"/>
      <c r="R228" s="211"/>
      <c r="S228" s="211"/>
      <c r="T228" s="211"/>
      <c r="U228" s="211"/>
      <c r="V228" s="84"/>
      <c r="W228" s="211"/>
      <c r="X228" s="211"/>
      <c r="Y228" s="211"/>
      <c r="Z228" s="211"/>
      <c r="AA228" s="84"/>
      <c r="AB228" s="146"/>
      <c r="AC228" s="211"/>
      <c r="AD228" s="211"/>
      <c r="AE228" s="211"/>
      <c r="AF228" s="84"/>
      <c r="AG228" s="146"/>
      <c r="AH228" s="211"/>
      <c r="AI228" s="211"/>
      <c r="AJ228" s="211"/>
      <c r="AK228" s="84"/>
      <c r="AL228" s="146"/>
      <c r="AM228" s="211"/>
      <c r="AN228" s="211"/>
      <c r="AO228" s="211"/>
      <c r="AP228" s="436"/>
      <c r="AQ228" s="146"/>
      <c r="AR228" s="211"/>
      <c r="AS228" s="211"/>
      <c r="AT228" s="211"/>
      <c r="AU228" s="84"/>
      <c r="AV228" s="211"/>
      <c r="AW228" s="211"/>
      <c r="AX228" s="211"/>
      <c r="AY228" s="211"/>
      <c r="AZ228" s="84"/>
      <c r="BA228" s="211"/>
      <c r="BB228" s="211"/>
      <c r="BC228" s="211"/>
      <c r="BD228" s="211"/>
      <c r="BE228" s="84"/>
      <c r="BF228" s="211"/>
      <c r="BG228" s="451"/>
    </row>
    <row r="229" spans="1:59" ht="12.75">
      <c r="A229" s="211"/>
      <c r="B229" s="449"/>
      <c r="C229" s="450"/>
      <c r="D229" s="211"/>
      <c r="E229" s="211"/>
      <c r="F229" s="211"/>
      <c r="G229" s="84"/>
      <c r="H229" s="211"/>
      <c r="I229" s="211"/>
      <c r="J229" s="211"/>
      <c r="K229" s="211"/>
      <c r="L229" s="84"/>
      <c r="M229" s="211"/>
      <c r="N229" s="211"/>
      <c r="O229" s="211"/>
      <c r="P229" s="211"/>
      <c r="Q229" s="84"/>
      <c r="R229" s="211"/>
      <c r="S229" s="211"/>
      <c r="T229" s="211"/>
      <c r="U229" s="211"/>
      <c r="V229" s="84"/>
      <c r="W229" s="211"/>
      <c r="X229" s="211"/>
      <c r="Y229" s="211"/>
      <c r="Z229" s="211"/>
      <c r="AA229" s="84"/>
      <c r="AB229" s="146"/>
      <c r="AC229" s="211"/>
      <c r="AD229" s="211"/>
      <c r="AE229" s="211"/>
      <c r="AF229" s="84"/>
      <c r="AG229" s="146"/>
      <c r="AH229" s="211"/>
      <c r="AI229" s="211"/>
      <c r="AJ229" s="211"/>
      <c r="AK229" s="84"/>
      <c r="AL229" s="146"/>
      <c r="AM229" s="211"/>
      <c r="AN229" s="211"/>
      <c r="AO229" s="211"/>
      <c r="AP229" s="436"/>
      <c r="AQ229" s="146"/>
      <c r="AR229" s="211"/>
      <c r="AS229" s="211"/>
      <c r="AT229" s="211"/>
      <c r="AU229" s="84"/>
      <c r="AV229" s="211"/>
      <c r="AW229" s="211"/>
      <c r="AX229" s="211"/>
      <c r="AY229" s="211"/>
      <c r="AZ229" s="84"/>
      <c r="BA229" s="211"/>
      <c r="BB229" s="211"/>
      <c r="BC229" s="211"/>
      <c r="BD229" s="211"/>
      <c r="BE229" s="84"/>
      <c r="BF229" s="211"/>
      <c r="BG229" s="451"/>
    </row>
    <row r="230" spans="1:59" ht="12.75">
      <c r="A230" s="211"/>
      <c r="B230" s="449"/>
      <c r="C230" s="450"/>
      <c r="D230" s="211"/>
      <c r="E230" s="211"/>
      <c r="F230" s="211"/>
      <c r="G230" s="84"/>
      <c r="H230" s="211"/>
      <c r="I230" s="211"/>
      <c r="J230" s="211"/>
      <c r="K230" s="211"/>
      <c r="L230" s="84"/>
      <c r="M230" s="211"/>
      <c r="N230" s="211"/>
      <c r="O230" s="211"/>
      <c r="P230" s="211"/>
      <c r="Q230" s="84"/>
      <c r="R230" s="211"/>
      <c r="S230" s="211"/>
      <c r="T230" s="211"/>
      <c r="U230" s="211"/>
      <c r="V230" s="84"/>
      <c r="W230" s="211"/>
      <c r="X230" s="211"/>
      <c r="Y230" s="211"/>
      <c r="Z230" s="211"/>
      <c r="AA230" s="84"/>
      <c r="AB230" s="146"/>
      <c r="AC230" s="211"/>
      <c r="AD230" s="211"/>
      <c r="AE230" s="211"/>
      <c r="AF230" s="84"/>
      <c r="AG230" s="146"/>
      <c r="AH230" s="211"/>
      <c r="AI230" s="211"/>
      <c r="AJ230" s="211"/>
      <c r="AK230" s="84"/>
      <c r="AL230" s="146"/>
      <c r="AM230" s="211"/>
      <c r="AN230" s="211"/>
      <c r="AO230" s="211"/>
      <c r="AP230" s="436"/>
      <c r="AQ230" s="146"/>
      <c r="AR230" s="211"/>
      <c r="AS230" s="211"/>
      <c r="AT230" s="211"/>
      <c r="AU230" s="84"/>
      <c r="AV230" s="211"/>
      <c r="AW230" s="211"/>
      <c r="AX230" s="211"/>
      <c r="AY230" s="211"/>
      <c r="AZ230" s="84"/>
      <c r="BA230" s="211"/>
      <c r="BB230" s="211"/>
      <c r="BC230" s="211"/>
      <c r="BD230" s="211"/>
      <c r="BE230" s="84"/>
      <c r="BF230" s="211"/>
      <c r="BG230" s="451"/>
    </row>
    <row r="231" spans="1:59" ht="12.75">
      <c r="A231" s="211"/>
      <c r="B231" s="449"/>
      <c r="C231" s="450"/>
      <c r="D231" s="211"/>
      <c r="E231" s="211"/>
      <c r="F231" s="211"/>
      <c r="G231" s="84"/>
      <c r="H231" s="211"/>
      <c r="I231" s="211"/>
      <c r="J231" s="211"/>
      <c r="K231" s="211"/>
      <c r="L231" s="84"/>
      <c r="M231" s="211"/>
      <c r="N231" s="211"/>
      <c r="O231" s="211"/>
      <c r="P231" s="211"/>
      <c r="Q231" s="84"/>
      <c r="R231" s="211"/>
      <c r="S231" s="211"/>
      <c r="T231" s="211"/>
      <c r="U231" s="211"/>
      <c r="V231" s="84"/>
      <c r="W231" s="211"/>
      <c r="X231" s="211"/>
      <c r="Y231" s="211"/>
      <c r="Z231" s="211"/>
      <c r="AA231" s="84"/>
      <c r="AB231" s="146"/>
      <c r="AC231" s="211"/>
      <c r="AD231" s="211"/>
      <c r="AE231" s="211"/>
      <c r="AF231" s="84"/>
      <c r="AG231" s="146"/>
      <c r="AH231" s="211"/>
      <c r="AI231" s="211"/>
      <c r="AJ231" s="211"/>
      <c r="AK231" s="84"/>
      <c r="AL231" s="146"/>
      <c r="AM231" s="211"/>
      <c r="AN231" s="211"/>
      <c r="AO231" s="211"/>
      <c r="AP231" s="436"/>
      <c r="AQ231" s="146"/>
      <c r="AR231" s="211"/>
      <c r="AS231" s="211"/>
      <c r="AT231" s="211"/>
      <c r="AU231" s="84"/>
      <c r="AV231" s="211"/>
      <c r="AW231" s="211"/>
      <c r="AX231" s="211"/>
      <c r="AY231" s="211"/>
      <c r="AZ231" s="84"/>
      <c r="BA231" s="211"/>
      <c r="BB231" s="211"/>
      <c r="BC231" s="211"/>
      <c r="BD231" s="211"/>
      <c r="BE231" s="84"/>
      <c r="BF231" s="211"/>
      <c r="BG231" s="451"/>
    </row>
    <row r="232" spans="1:59" ht="12.75">
      <c r="A232" s="211"/>
      <c r="B232" s="449"/>
      <c r="C232" s="450"/>
      <c r="D232" s="211"/>
      <c r="E232" s="211"/>
      <c r="F232" s="211"/>
      <c r="G232" s="84"/>
      <c r="H232" s="211"/>
      <c r="I232" s="211"/>
      <c r="J232" s="211"/>
      <c r="K232" s="211"/>
      <c r="L232" s="84"/>
      <c r="M232" s="211"/>
      <c r="N232" s="211"/>
      <c r="O232" s="211"/>
      <c r="P232" s="211"/>
      <c r="Q232" s="84"/>
      <c r="R232" s="211"/>
      <c r="S232" s="211"/>
      <c r="T232" s="211"/>
      <c r="U232" s="211"/>
      <c r="V232" s="84"/>
      <c r="W232" s="211"/>
      <c r="X232" s="211"/>
      <c r="Y232" s="211"/>
      <c r="Z232" s="211"/>
      <c r="AA232" s="84"/>
      <c r="AB232" s="146"/>
      <c r="AC232" s="211"/>
      <c r="AD232" s="211"/>
      <c r="AE232" s="211"/>
      <c r="AF232" s="84"/>
      <c r="AG232" s="146"/>
      <c r="AH232" s="211"/>
      <c r="AI232" s="211"/>
      <c r="AJ232" s="211"/>
      <c r="AK232" s="84"/>
      <c r="AL232" s="146"/>
      <c r="AM232" s="211"/>
      <c r="AN232" s="211"/>
      <c r="AO232" s="211"/>
      <c r="AP232" s="436"/>
      <c r="AQ232" s="146"/>
      <c r="AR232" s="211"/>
      <c r="AS232" s="211"/>
      <c r="AT232" s="211"/>
      <c r="AU232" s="84"/>
      <c r="AV232" s="211"/>
      <c r="AW232" s="211"/>
      <c r="AX232" s="211"/>
      <c r="AY232" s="211"/>
      <c r="AZ232" s="84"/>
      <c r="BA232" s="211"/>
      <c r="BB232" s="211"/>
      <c r="BC232" s="211"/>
      <c r="BD232" s="211"/>
      <c r="BE232" s="84"/>
      <c r="BF232" s="211"/>
      <c r="BG232" s="451"/>
    </row>
    <row r="233" spans="1:59" ht="12.75">
      <c r="A233" s="211"/>
      <c r="B233" s="449"/>
      <c r="C233" s="450"/>
      <c r="D233" s="211"/>
      <c r="E233" s="211"/>
      <c r="F233" s="211"/>
      <c r="G233" s="84"/>
      <c r="H233" s="211"/>
      <c r="I233" s="211"/>
      <c r="J233" s="211"/>
      <c r="K233" s="211"/>
      <c r="L233" s="84"/>
      <c r="M233" s="211"/>
      <c r="N233" s="211"/>
      <c r="O233" s="211"/>
      <c r="P233" s="211"/>
      <c r="Q233" s="84"/>
      <c r="R233" s="211"/>
      <c r="S233" s="211"/>
      <c r="T233" s="211"/>
      <c r="U233" s="211"/>
      <c r="V233" s="84"/>
      <c r="W233" s="211"/>
      <c r="X233" s="211"/>
      <c r="Y233" s="211"/>
      <c r="Z233" s="211"/>
      <c r="AA233" s="84"/>
      <c r="AB233" s="146"/>
      <c r="AC233" s="211"/>
      <c r="AD233" s="211"/>
      <c r="AE233" s="211"/>
      <c r="AF233" s="84"/>
      <c r="AG233" s="146"/>
      <c r="AH233" s="211"/>
      <c r="AI233" s="211"/>
      <c r="AJ233" s="211"/>
      <c r="AK233" s="84"/>
      <c r="AL233" s="146"/>
      <c r="AM233" s="211"/>
      <c r="AN233" s="211"/>
      <c r="AO233" s="211"/>
      <c r="AP233" s="436"/>
      <c r="AQ233" s="146"/>
      <c r="AR233" s="211"/>
      <c r="AS233" s="211"/>
      <c r="AT233" s="211"/>
      <c r="AU233" s="84"/>
      <c r="AV233" s="211"/>
      <c r="AW233" s="211"/>
      <c r="AX233" s="211"/>
      <c r="AY233" s="211"/>
      <c r="AZ233" s="84"/>
      <c r="BA233" s="211"/>
      <c r="BB233" s="211"/>
      <c r="BC233" s="211"/>
      <c r="BD233" s="211"/>
      <c r="BE233" s="84"/>
      <c r="BF233" s="211"/>
      <c r="BG233" s="451"/>
    </row>
    <row r="234" spans="1:59" ht="12.75">
      <c r="A234" s="211"/>
      <c r="B234" s="449"/>
      <c r="C234" s="450"/>
      <c r="D234" s="211"/>
      <c r="E234" s="211"/>
      <c r="F234" s="211"/>
      <c r="G234" s="84"/>
      <c r="H234" s="211"/>
      <c r="I234" s="211"/>
      <c r="J234" s="211"/>
      <c r="K234" s="211"/>
      <c r="L234" s="84"/>
      <c r="M234" s="211"/>
      <c r="N234" s="211"/>
      <c r="O234" s="211"/>
      <c r="P234" s="211"/>
      <c r="Q234" s="84"/>
      <c r="R234" s="211"/>
      <c r="S234" s="211"/>
      <c r="T234" s="211"/>
      <c r="U234" s="211"/>
      <c r="V234" s="84"/>
      <c r="W234" s="211"/>
      <c r="X234" s="211"/>
      <c r="Y234" s="211"/>
      <c r="Z234" s="211"/>
      <c r="AA234" s="84"/>
      <c r="AB234" s="146"/>
      <c r="AC234" s="211"/>
      <c r="AD234" s="211"/>
      <c r="AE234" s="211"/>
      <c r="AF234" s="84"/>
      <c r="AG234" s="146"/>
      <c r="AH234" s="211"/>
      <c r="AI234" s="211"/>
      <c r="AJ234" s="211"/>
      <c r="AK234" s="84"/>
      <c r="AL234" s="146"/>
      <c r="AM234" s="211"/>
      <c r="AN234" s="211"/>
      <c r="AO234" s="211"/>
      <c r="AP234" s="436"/>
      <c r="AQ234" s="146"/>
      <c r="AR234" s="211"/>
      <c r="AS234" s="211"/>
      <c r="AT234" s="211"/>
      <c r="AU234" s="84"/>
      <c r="AV234" s="211"/>
      <c r="AW234" s="211"/>
      <c r="AX234" s="211"/>
      <c r="AY234" s="211"/>
      <c r="AZ234" s="84"/>
      <c r="BA234" s="211"/>
      <c r="BB234" s="211"/>
      <c r="BC234" s="211"/>
      <c r="BD234" s="211"/>
      <c r="BE234" s="84"/>
      <c r="BF234" s="211"/>
      <c r="BG234" s="451"/>
    </row>
    <row r="235" spans="1:59" ht="12.75">
      <c r="A235" s="211"/>
      <c r="B235" s="449"/>
      <c r="C235" s="450"/>
      <c r="D235" s="211"/>
      <c r="E235" s="211"/>
      <c r="F235" s="211"/>
      <c r="G235" s="84"/>
      <c r="H235" s="211"/>
      <c r="I235" s="211"/>
      <c r="J235" s="211"/>
      <c r="K235" s="211"/>
      <c r="L235" s="84"/>
      <c r="M235" s="211"/>
      <c r="N235" s="211"/>
      <c r="O235" s="211"/>
      <c r="P235" s="211"/>
      <c r="Q235" s="84"/>
      <c r="R235" s="211"/>
      <c r="S235" s="211"/>
      <c r="T235" s="211"/>
      <c r="U235" s="211"/>
      <c r="V235" s="84"/>
      <c r="W235" s="211"/>
      <c r="X235" s="211"/>
      <c r="Y235" s="211"/>
      <c r="Z235" s="211"/>
      <c r="AA235" s="84"/>
      <c r="AB235" s="146"/>
      <c r="AC235" s="211"/>
      <c r="AD235" s="211"/>
      <c r="AE235" s="211"/>
      <c r="AF235" s="84"/>
      <c r="AG235" s="146"/>
      <c r="AH235" s="211"/>
      <c r="AI235" s="211"/>
      <c r="AJ235" s="211"/>
      <c r="AK235" s="84"/>
      <c r="AL235" s="146"/>
      <c r="AM235" s="211"/>
      <c r="AN235" s="211"/>
      <c r="AO235" s="211"/>
      <c r="AP235" s="436"/>
      <c r="AQ235" s="146"/>
      <c r="AR235" s="211"/>
      <c r="AS235" s="211"/>
      <c r="AT235" s="211"/>
      <c r="AU235" s="84"/>
      <c r="AV235" s="211"/>
      <c r="AW235" s="211"/>
      <c r="AX235" s="211"/>
      <c r="AY235" s="211"/>
      <c r="AZ235" s="84"/>
      <c r="BA235" s="211"/>
      <c r="BB235" s="211"/>
      <c r="BC235" s="211"/>
      <c r="BD235" s="211"/>
      <c r="BE235" s="84"/>
      <c r="BF235" s="211"/>
      <c r="BG235" s="451"/>
    </row>
    <row r="236" spans="1:59" ht="12.75">
      <c r="A236" s="211"/>
      <c r="B236" s="449"/>
      <c r="C236" s="450"/>
      <c r="D236" s="211"/>
      <c r="E236" s="211"/>
      <c r="F236" s="211"/>
      <c r="G236" s="84"/>
      <c r="H236" s="211"/>
      <c r="I236" s="211"/>
      <c r="J236" s="211"/>
      <c r="K236" s="211"/>
      <c r="L236" s="84"/>
      <c r="M236" s="211"/>
      <c r="N236" s="211"/>
      <c r="O236" s="211"/>
      <c r="P236" s="211"/>
      <c r="Q236" s="84"/>
      <c r="R236" s="211"/>
      <c r="S236" s="211"/>
      <c r="T236" s="211"/>
      <c r="U236" s="211"/>
      <c r="V236" s="84"/>
      <c r="W236" s="211"/>
      <c r="X236" s="211"/>
      <c r="Y236" s="211"/>
      <c r="Z236" s="211"/>
      <c r="AA236" s="84"/>
      <c r="AB236" s="146"/>
      <c r="AC236" s="211"/>
      <c r="AD236" s="211"/>
      <c r="AE236" s="211"/>
      <c r="AF236" s="84"/>
      <c r="AG236" s="146"/>
      <c r="AH236" s="211"/>
      <c r="AI236" s="211"/>
      <c r="AJ236" s="211"/>
      <c r="AK236" s="84"/>
      <c r="AL236" s="146"/>
      <c r="AM236" s="211"/>
      <c r="AN236" s="211"/>
      <c r="AO236" s="211"/>
      <c r="AP236" s="436"/>
      <c r="AQ236" s="146"/>
      <c r="AR236" s="211"/>
      <c r="AS236" s="211"/>
      <c r="AT236" s="211"/>
      <c r="AU236" s="84"/>
      <c r="AV236" s="211"/>
      <c r="AW236" s="211"/>
      <c r="AX236" s="211"/>
      <c r="AY236" s="211"/>
      <c r="AZ236" s="84"/>
      <c r="BA236" s="211"/>
      <c r="BB236" s="211"/>
      <c r="BC236" s="211"/>
      <c r="BD236" s="211"/>
      <c r="BE236" s="84"/>
      <c r="BF236" s="211"/>
      <c r="BG236" s="451"/>
    </row>
    <row r="237" spans="1:59" ht="12.75">
      <c r="A237" s="211"/>
      <c r="B237" s="449"/>
      <c r="C237" s="450"/>
      <c r="D237" s="211"/>
      <c r="E237" s="211"/>
      <c r="F237" s="211"/>
      <c r="G237" s="84"/>
      <c r="H237" s="211"/>
      <c r="I237" s="211"/>
      <c r="J237" s="211"/>
      <c r="K237" s="211"/>
      <c r="L237" s="84"/>
      <c r="M237" s="211"/>
      <c r="N237" s="211"/>
      <c r="O237" s="211"/>
      <c r="P237" s="211"/>
      <c r="Q237" s="84"/>
      <c r="R237" s="211"/>
      <c r="S237" s="211"/>
      <c r="T237" s="211"/>
      <c r="U237" s="211"/>
      <c r="V237" s="84"/>
      <c r="W237" s="211"/>
      <c r="X237" s="211"/>
      <c r="Y237" s="211"/>
      <c r="Z237" s="211"/>
      <c r="AA237" s="84"/>
      <c r="AB237" s="146"/>
      <c r="AC237" s="211"/>
      <c r="AD237" s="211"/>
      <c r="AE237" s="211"/>
      <c r="AF237" s="84"/>
      <c r="AG237" s="146"/>
      <c r="AH237" s="211"/>
      <c r="AI237" s="211"/>
      <c r="AJ237" s="211"/>
      <c r="AK237" s="84"/>
      <c r="AL237" s="146"/>
      <c r="AM237" s="211"/>
      <c r="AN237" s="211"/>
      <c r="AO237" s="211"/>
      <c r="AP237" s="436"/>
      <c r="AQ237" s="146"/>
      <c r="AR237" s="211"/>
      <c r="AS237" s="211"/>
      <c r="AT237" s="211"/>
      <c r="AU237" s="84"/>
      <c r="AV237" s="211"/>
      <c r="AW237" s="211"/>
      <c r="AX237" s="211"/>
      <c r="AY237" s="211"/>
      <c r="AZ237" s="84"/>
      <c r="BA237" s="211"/>
      <c r="BB237" s="211"/>
      <c r="BC237" s="211"/>
      <c r="BD237" s="211"/>
      <c r="BE237" s="84"/>
      <c r="BF237" s="211"/>
      <c r="BG237" s="451"/>
    </row>
    <row r="238" spans="1:59" ht="12.75">
      <c r="A238" s="211"/>
      <c r="B238" s="449"/>
      <c r="C238" s="450"/>
      <c r="D238" s="211"/>
      <c r="E238" s="211"/>
      <c r="F238" s="211"/>
      <c r="G238" s="84"/>
      <c r="H238" s="211"/>
      <c r="I238" s="211"/>
      <c r="J238" s="211"/>
      <c r="K238" s="211"/>
      <c r="L238" s="84"/>
      <c r="M238" s="211"/>
      <c r="N238" s="211"/>
      <c r="O238" s="211"/>
      <c r="P238" s="211"/>
      <c r="Q238" s="84"/>
      <c r="R238" s="211"/>
      <c r="S238" s="211"/>
      <c r="T238" s="211"/>
      <c r="U238" s="211"/>
      <c r="V238" s="84"/>
      <c r="W238" s="211"/>
      <c r="X238" s="211"/>
      <c r="Y238" s="211"/>
      <c r="Z238" s="211"/>
      <c r="AA238" s="84"/>
      <c r="AB238" s="146"/>
      <c r="AC238" s="211"/>
      <c r="AD238" s="211"/>
      <c r="AE238" s="211"/>
      <c r="AF238" s="84"/>
      <c r="AG238" s="146"/>
      <c r="AH238" s="211"/>
      <c r="AI238" s="211"/>
      <c r="AJ238" s="211"/>
      <c r="AK238" s="84"/>
      <c r="AL238" s="146"/>
      <c r="AM238" s="211"/>
      <c r="AN238" s="211"/>
      <c r="AO238" s="211"/>
      <c r="AP238" s="436"/>
      <c r="AQ238" s="146"/>
      <c r="AR238" s="211"/>
      <c r="AS238" s="211"/>
      <c r="AT238" s="211"/>
      <c r="AU238" s="84"/>
      <c r="AV238" s="211"/>
      <c r="AW238" s="211"/>
      <c r="AX238" s="211"/>
      <c r="AY238" s="211"/>
      <c r="AZ238" s="84"/>
      <c r="BA238" s="211"/>
      <c r="BB238" s="211"/>
      <c r="BC238" s="211"/>
      <c r="BD238" s="211"/>
      <c r="BE238" s="84"/>
      <c r="BF238" s="211"/>
      <c r="BG238" s="451"/>
    </row>
    <row r="239" spans="1:59" ht="12.75">
      <c r="A239" s="211"/>
      <c r="B239" s="449"/>
      <c r="C239" s="450"/>
      <c r="D239" s="211"/>
      <c r="E239" s="211"/>
      <c r="F239" s="211"/>
      <c r="G239" s="84"/>
      <c r="H239" s="211"/>
      <c r="I239" s="211"/>
      <c r="J239" s="211"/>
      <c r="K239" s="211"/>
      <c r="L239" s="84"/>
      <c r="M239" s="211"/>
      <c r="N239" s="211"/>
      <c r="O239" s="211"/>
      <c r="P239" s="211"/>
      <c r="Q239" s="84"/>
      <c r="R239" s="211"/>
      <c r="S239" s="211"/>
      <c r="T239" s="211"/>
      <c r="U239" s="211"/>
      <c r="V239" s="84"/>
      <c r="W239" s="211"/>
      <c r="X239" s="211"/>
      <c r="Y239" s="211"/>
      <c r="Z239" s="211"/>
      <c r="AA239" s="84"/>
      <c r="AB239" s="146"/>
      <c r="AC239" s="211"/>
      <c r="AD239" s="211"/>
      <c r="AE239" s="211"/>
      <c r="AF239" s="84"/>
      <c r="AG239" s="146"/>
      <c r="AH239" s="211"/>
      <c r="AI239" s="211"/>
      <c r="AJ239" s="211"/>
      <c r="AK239" s="84"/>
      <c r="AL239" s="146"/>
      <c r="AM239" s="211"/>
      <c r="AN239" s="211"/>
      <c r="AO239" s="211"/>
      <c r="AP239" s="436"/>
      <c r="AQ239" s="146"/>
      <c r="AR239" s="211"/>
      <c r="AS239" s="211"/>
      <c r="AT239" s="211"/>
      <c r="AU239" s="84"/>
      <c r="AV239" s="211"/>
      <c r="AW239" s="211"/>
      <c r="AX239" s="211"/>
      <c r="AY239" s="211"/>
      <c r="AZ239" s="84"/>
      <c r="BA239" s="211"/>
      <c r="BB239" s="211"/>
      <c r="BC239" s="211"/>
      <c r="BD239" s="211"/>
      <c r="BE239" s="84"/>
      <c r="BF239" s="211"/>
      <c r="BG239" s="451"/>
    </row>
    <row r="240" spans="1:59" ht="12.75">
      <c r="A240" s="211"/>
      <c r="B240" s="449"/>
      <c r="C240" s="450"/>
      <c r="D240" s="211"/>
      <c r="E240" s="211"/>
      <c r="F240" s="211"/>
      <c r="G240" s="84"/>
      <c r="H240" s="211"/>
      <c r="I240" s="211"/>
      <c r="J240" s="211"/>
      <c r="K240" s="211"/>
      <c r="L240" s="84"/>
      <c r="M240" s="211"/>
      <c r="N240" s="211"/>
      <c r="O240" s="211"/>
      <c r="P240" s="211"/>
      <c r="Q240" s="84"/>
      <c r="R240" s="211"/>
      <c r="S240" s="211"/>
      <c r="T240" s="211"/>
      <c r="U240" s="211"/>
      <c r="V240" s="84"/>
      <c r="W240" s="211"/>
      <c r="X240" s="211"/>
      <c r="Y240" s="211"/>
      <c r="Z240" s="211"/>
      <c r="AA240" s="84"/>
      <c r="AB240" s="146"/>
      <c r="AC240" s="211"/>
      <c r="AD240" s="211"/>
      <c r="AE240" s="211"/>
      <c r="AF240" s="84"/>
      <c r="AG240" s="146"/>
      <c r="AH240" s="211"/>
      <c r="AI240" s="211"/>
      <c r="AJ240" s="211"/>
      <c r="AK240" s="84"/>
      <c r="AL240" s="146"/>
      <c r="AM240" s="211"/>
      <c r="AN240" s="211"/>
      <c r="AO240" s="211"/>
      <c r="AP240" s="436"/>
      <c r="AQ240" s="146"/>
      <c r="AR240" s="211"/>
      <c r="AS240" s="211"/>
      <c r="AT240" s="211"/>
      <c r="AU240" s="84"/>
      <c r="AV240" s="211"/>
      <c r="AW240" s="211"/>
      <c r="AX240" s="211"/>
      <c r="AY240" s="211"/>
      <c r="AZ240" s="84"/>
      <c r="BA240" s="211"/>
      <c r="BB240" s="211"/>
      <c r="BC240" s="211"/>
      <c r="BD240" s="211"/>
      <c r="BE240" s="84"/>
      <c r="BF240" s="211"/>
      <c r="BG240" s="451"/>
    </row>
    <row r="241" spans="1:59" ht="12.75">
      <c r="A241" s="211"/>
      <c r="B241" s="449"/>
      <c r="C241" s="450"/>
      <c r="D241" s="211"/>
      <c r="E241" s="211"/>
      <c r="F241" s="211"/>
      <c r="G241" s="84"/>
      <c r="H241" s="211"/>
      <c r="I241" s="211"/>
      <c r="J241" s="211"/>
      <c r="K241" s="211"/>
      <c r="L241" s="84"/>
      <c r="M241" s="211"/>
      <c r="N241" s="211"/>
      <c r="O241" s="211"/>
      <c r="P241" s="211"/>
      <c r="Q241" s="84"/>
      <c r="R241" s="211"/>
      <c r="S241" s="211"/>
      <c r="T241" s="211"/>
      <c r="U241" s="211"/>
      <c r="V241" s="84"/>
      <c r="W241" s="211"/>
      <c r="X241" s="211"/>
      <c r="Y241" s="211"/>
      <c r="Z241" s="211"/>
      <c r="AA241" s="84"/>
      <c r="AB241" s="146"/>
      <c r="AC241" s="211"/>
      <c r="AD241" s="211"/>
      <c r="AE241" s="211"/>
      <c r="AF241" s="84"/>
      <c r="AG241" s="146"/>
      <c r="AH241" s="211"/>
      <c r="AI241" s="211"/>
      <c r="AJ241" s="211"/>
      <c r="AK241" s="84"/>
      <c r="AL241" s="146"/>
      <c r="AM241" s="211"/>
      <c r="AN241" s="211"/>
      <c r="AO241" s="211"/>
      <c r="AP241" s="436"/>
      <c r="AQ241" s="146"/>
      <c r="AR241" s="211"/>
      <c r="AS241" s="211"/>
      <c r="AT241" s="211"/>
      <c r="AU241" s="84"/>
      <c r="AV241" s="211"/>
      <c r="AW241" s="211"/>
      <c r="AX241" s="211"/>
      <c r="AY241" s="211"/>
      <c r="AZ241" s="84"/>
      <c r="BA241" s="211"/>
      <c r="BB241" s="211"/>
      <c r="BC241" s="211"/>
      <c r="BD241" s="211"/>
      <c r="BE241" s="84"/>
      <c r="BF241" s="211"/>
      <c r="BG241" s="451"/>
    </row>
    <row r="242" spans="1:59" ht="12.75">
      <c r="A242" s="211"/>
      <c r="B242" s="449"/>
      <c r="C242" s="450"/>
      <c r="D242" s="211"/>
      <c r="E242" s="211"/>
      <c r="F242" s="211"/>
      <c r="G242" s="84"/>
      <c r="H242" s="211"/>
      <c r="I242" s="211"/>
      <c r="J242" s="211"/>
      <c r="K242" s="211"/>
      <c r="L242" s="84"/>
      <c r="M242" s="211"/>
      <c r="N242" s="211"/>
      <c r="O242" s="211"/>
      <c r="P242" s="211"/>
      <c r="Q242" s="84"/>
      <c r="R242" s="211"/>
      <c r="S242" s="211"/>
      <c r="T242" s="211"/>
      <c r="U242" s="211"/>
      <c r="V242" s="84"/>
      <c r="W242" s="211"/>
      <c r="X242" s="211"/>
      <c r="Y242" s="211"/>
      <c r="Z242" s="211"/>
      <c r="AA242" s="84"/>
      <c r="AB242" s="146"/>
      <c r="AC242" s="211"/>
      <c r="AD242" s="211"/>
      <c r="AE242" s="211"/>
      <c r="AF242" s="84"/>
      <c r="AG242" s="146"/>
      <c r="AH242" s="211"/>
      <c r="AI242" s="211"/>
      <c r="AJ242" s="211"/>
      <c r="AK242" s="84"/>
      <c r="AL242" s="146"/>
      <c r="AM242" s="211"/>
      <c r="AN242" s="211"/>
      <c r="AO242" s="211"/>
      <c r="AP242" s="436"/>
      <c r="AQ242" s="146"/>
      <c r="AR242" s="211"/>
      <c r="AS242" s="211"/>
      <c r="AT242" s="211"/>
      <c r="AU242" s="84"/>
      <c r="AV242" s="211"/>
      <c r="AW242" s="211"/>
      <c r="AX242" s="211"/>
      <c r="AY242" s="211"/>
      <c r="AZ242" s="84"/>
      <c r="BA242" s="211"/>
      <c r="BB242" s="211"/>
      <c r="BC242" s="211"/>
      <c r="BD242" s="211"/>
      <c r="BE242" s="84"/>
      <c r="BF242" s="211"/>
      <c r="BG242" s="451"/>
    </row>
    <row r="243" spans="1:59" ht="12.75">
      <c r="A243" s="211"/>
      <c r="B243" s="449"/>
      <c r="C243" s="450"/>
      <c r="D243" s="211"/>
      <c r="E243" s="211"/>
      <c r="F243" s="211"/>
      <c r="G243" s="84"/>
      <c r="H243" s="211"/>
      <c r="I243" s="211"/>
      <c r="J243" s="211"/>
      <c r="K243" s="211"/>
      <c r="L243" s="84"/>
      <c r="M243" s="211"/>
      <c r="N243" s="211"/>
      <c r="O243" s="211"/>
      <c r="P243" s="211"/>
      <c r="Q243" s="84"/>
      <c r="R243" s="211"/>
      <c r="S243" s="211"/>
      <c r="T243" s="211"/>
      <c r="U243" s="211"/>
      <c r="V243" s="84"/>
      <c r="W243" s="211"/>
      <c r="X243" s="211"/>
      <c r="Y243" s="211"/>
      <c r="Z243" s="211"/>
      <c r="AA243" s="84"/>
      <c r="AB243" s="146"/>
      <c r="AC243" s="211"/>
      <c r="AD243" s="211"/>
      <c r="AE243" s="211"/>
      <c r="AF243" s="84"/>
      <c r="AG243" s="146"/>
      <c r="AH243" s="211"/>
      <c r="AI243" s="211"/>
      <c r="AJ243" s="211"/>
      <c r="AK243" s="84"/>
      <c r="AL243" s="146"/>
      <c r="AM243" s="211"/>
      <c r="AN243" s="211"/>
      <c r="AO243" s="211"/>
      <c r="AP243" s="436"/>
      <c r="AQ243" s="146"/>
      <c r="AR243" s="211"/>
      <c r="AS243" s="211"/>
      <c r="AT243" s="211"/>
      <c r="AU243" s="84"/>
      <c r="AV243" s="211"/>
      <c r="AW243" s="211"/>
      <c r="AX243" s="211"/>
      <c r="AY243" s="211"/>
      <c r="AZ243" s="84"/>
      <c r="BA243" s="211"/>
      <c r="BB243" s="211"/>
      <c r="BC243" s="211"/>
      <c r="BD243" s="211"/>
      <c r="BE243" s="84"/>
      <c r="BF243" s="211"/>
      <c r="BG243" s="451"/>
    </row>
    <row r="244" spans="1:59" ht="12.75">
      <c r="A244" s="211"/>
      <c r="B244" s="449"/>
      <c r="C244" s="450"/>
      <c r="D244" s="211"/>
      <c r="E244" s="211"/>
      <c r="F244" s="211"/>
      <c r="G244" s="84"/>
      <c r="H244" s="211"/>
      <c r="I244" s="211"/>
      <c r="J244" s="211"/>
      <c r="K244" s="211"/>
      <c r="L244" s="84"/>
      <c r="M244" s="211"/>
      <c r="N244" s="211"/>
      <c r="O244" s="211"/>
      <c r="P244" s="211"/>
      <c r="Q244" s="84"/>
      <c r="R244" s="211"/>
      <c r="S244" s="211"/>
      <c r="T244" s="211"/>
      <c r="U244" s="211"/>
      <c r="V244" s="84"/>
      <c r="W244" s="211"/>
      <c r="X244" s="211"/>
      <c r="Y244" s="211"/>
      <c r="Z244" s="211"/>
      <c r="AA244" s="84"/>
      <c r="AB244" s="146"/>
      <c r="AC244" s="211"/>
      <c r="AD244" s="211"/>
      <c r="AE244" s="211"/>
      <c r="AF244" s="84"/>
      <c r="AG244" s="146"/>
      <c r="AH244" s="211"/>
      <c r="AI244" s="211"/>
      <c r="AJ244" s="211"/>
      <c r="AK244" s="84"/>
      <c r="AL244" s="146"/>
      <c r="AM244" s="211"/>
      <c r="AN244" s="211"/>
      <c r="AO244" s="211"/>
      <c r="AP244" s="436"/>
      <c r="AQ244" s="146"/>
      <c r="AR244" s="211"/>
      <c r="AS244" s="211"/>
      <c r="AT244" s="211"/>
      <c r="AU244" s="84"/>
      <c r="AV244" s="211"/>
      <c r="AW244" s="211"/>
      <c r="AX244" s="211"/>
      <c r="AY244" s="211"/>
      <c r="AZ244" s="84"/>
      <c r="BA244" s="211"/>
      <c r="BB244" s="211"/>
      <c r="BC244" s="211"/>
      <c r="BD244" s="211"/>
      <c r="BE244" s="84"/>
      <c r="BF244" s="211"/>
      <c r="BG244" s="451"/>
    </row>
    <row r="245" spans="1:59" ht="12.75">
      <c r="A245" s="211"/>
      <c r="B245" s="449"/>
      <c r="C245" s="450"/>
      <c r="D245" s="211"/>
      <c r="E245" s="211"/>
      <c r="F245" s="211"/>
      <c r="G245" s="84"/>
      <c r="H245" s="211"/>
      <c r="I245" s="211"/>
      <c r="J245" s="211"/>
      <c r="K245" s="211"/>
      <c r="L245" s="84"/>
      <c r="M245" s="211"/>
      <c r="N245" s="211"/>
      <c r="O245" s="211"/>
      <c r="P245" s="211"/>
      <c r="Q245" s="84"/>
      <c r="R245" s="211"/>
      <c r="S245" s="211"/>
      <c r="T245" s="211"/>
      <c r="U245" s="211"/>
      <c r="V245" s="84"/>
      <c r="W245" s="211"/>
      <c r="X245" s="211"/>
      <c r="Y245" s="211"/>
      <c r="Z245" s="211"/>
      <c r="AA245" s="84"/>
      <c r="AB245" s="146"/>
      <c r="AC245" s="211"/>
      <c r="AD245" s="211"/>
      <c r="AE245" s="211"/>
      <c r="AF245" s="84"/>
      <c r="AG245" s="146"/>
      <c r="AH245" s="211"/>
      <c r="AI245" s="211"/>
      <c r="AJ245" s="211"/>
      <c r="AK245" s="84"/>
      <c r="AL245" s="146"/>
      <c r="AM245" s="211"/>
      <c r="AN245" s="211"/>
      <c r="AO245" s="211"/>
      <c r="AP245" s="436"/>
      <c r="AQ245" s="146"/>
      <c r="AR245" s="211"/>
      <c r="AS245" s="211"/>
      <c r="AT245" s="211"/>
      <c r="AU245" s="84"/>
      <c r="AV245" s="211"/>
      <c r="AW245" s="211"/>
      <c r="AX245" s="211"/>
      <c r="AY245" s="211"/>
      <c r="AZ245" s="84"/>
      <c r="BA245" s="211"/>
      <c r="BB245" s="211"/>
      <c r="BC245" s="211"/>
      <c r="BD245" s="211"/>
      <c r="BE245" s="84"/>
      <c r="BF245" s="211"/>
      <c r="BG245" s="451"/>
    </row>
    <row r="246" spans="1:59" ht="12.75">
      <c r="A246" s="211"/>
      <c r="B246" s="449"/>
      <c r="C246" s="450"/>
      <c r="D246" s="211"/>
      <c r="E246" s="211"/>
      <c r="F246" s="211"/>
      <c r="G246" s="84"/>
      <c r="H246" s="211"/>
      <c r="I246" s="211"/>
      <c r="J246" s="211"/>
      <c r="K246" s="211"/>
      <c r="L246" s="84"/>
      <c r="M246" s="211"/>
      <c r="N246" s="211"/>
      <c r="O246" s="211"/>
      <c r="P246" s="211"/>
      <c r="Q246" s="84"/>
      <c r="R246" s="211"/>
      <c r="S246" s="211"/>
      <c r="T246" s="211"/>
      <c r="U246" s="211"/>
      <c r="V246" s="84"/>
      <c r="W246" s="211"/>
      <c r="X246" s="211"/>
      <c r="Y246" s="211"/>
      <c r="Z246" s="211"/>
      <c r="AA246" s="84"/>
      <c r="AB246" s="146"/>
      <c r="AC246" s="211"/>
      <c r="AD246" s="211"/>
      <c r="AE246" s="211"/>
      <c r="AF246" s="84"/>
      <c r="AG246" s="146"/>
      <c r="AH246" s="211"/>
      <c r="AI246" s="211"/>
      <c r="AJ246" s="211"/>
      <c r="AK246" s="84"/>
      <c r="AL246" s="146"/>
      <c r="AM246" s="211"/>
      <c r="AN246" s="211"/>
      <c r="AO246" s="211"/>
      <c r="AP246" s="436"/>
      <c r="AQ246" s="146"/>
      <c r="AR246" s="211"/>
      <c r="AS246" s="211"/>
      <c r="AT246" s="211"/>
      <c r="AU246" s="84"/>
      <c r="AV246" s="211"/>
      <c r="AW246" s="211"/>
      <c r="AX246" s="211"/>
      <c r="AY246" s="211"/>
      <c r="AZ246" s="84"/>
      <c r="BA246" s="211"/>
      <c r="BB246" s="211"/>
      <c r="BC246" s="211"/>
      <c r="BD246" s="211"/>
      <c r="BE246" s="84"/>
      <c r="BF246" s="211"/>
      <c r="BG246" s="451"/>
    </row>
    <row r="247" spans="1:59" ht="12.75">
      <c r="A247" s="211"/>
      <c r="B247" s="449"/>
      <c r="C247" s="450"/>
      <c r="D247" s="211"/>
      <c r="E247" s="211"/>
      <c r="F247" s="211"/>
      <c r="G247" s="84"/>
      <c r="H247" s="211"/>
      <c r="I247" s="211"/>
      <c r="J247" s="211"/>
      <c r="K247" s="211"/>
      <c r="L247" s="84"/>
      <c r="M247" s="211"/>
      <c r="N247" s="211"/>
      <c r="O247" s="211"/>
      <c r="P247" s="211"/>
      <c r="Q247" s="84"/>
      <c r="R247" s="211"/>
      <c r="S247" s="211"/>
      <c r="T247" s="211"/>
      <c r="U247" s="211"/>
      <c r="V247" s="84"/>
      <c r="W247" s="211"/>
      <c r="X247" s="211"/>
      <c r="Y247" s="211"/>
      <c r="Z247" s="211"/>
      <c r="AA247" s="84"/>
      <c r="AB247" s="146"/>
      <c r="AC247" s="211"/>
      <c r="AD247" s="211"/>
      <c r="AE247" s="211"/>
      <c r="AF247" s="84"/>
      <c r="AG247" s="146"/>
      <c r="AH247" s="211"/>
      <c r="AI247" s="211"/>
      <c r="AJ247" s="211"/>
      <c r="AK247" s="84"/>
      <c r="AL247" s="146"/>
      <c r="AM247" s="211"/>
      <c r="AN247" s="211"/>
      <c r="AO247" s="211"/>
      <c r="AP247" s="436"/>
      <c r="AQ247" s="146"/>
      <c r="AR247" s="211"/>
      <c r="AS247" s="211"/>
      <c r="AT247" s="211"/>
      <c r="AU247" s="84"/>
      <c r="AV247" s="211"/>
      <c r="AW247" s="211"/>
      <c r="AX247" s="211"/>
      <c r="AY247" s="211"/>
      <c r="AZ247" s="84"/>
      <c r="BA247" s="211"/>
      <c r="BB247" s="211"/>
      <c r="BC247" s="211"/>
      <c r="BD247" s="211"/>
      <c r="BE247" s="84"/>
      <c r="BF247" s="211"/>
      <c r="BG247" s="451"/>
    </row>
    <row r="248" spans="1:59" ht="12.75">
      <c r="A248" s="211"/>
      <c r="B248" s="449"/>
      <c r="C248" s="450"/>
      <c r="D248" s="211"/>
      <c r="E248" s="211"/>
      <c r="F248" s="211"/>
      <c r="G248" s="84"/>
      <c r="H248" s="211"/>
      <c r="I248" s="211"/>
      <c r="J248" s="211"/>
      <c r="K248" s="211"/>
      <c r="L248" s="84"/>
      <c r="M248" s="211"/>
      <c r="N248" s="211"/>
      <c r="O248" s="211"/>
      <c r="P248" s="211"/>
      <c r="Q248" s="84"/>
      <c r="R248" s="211"/>
      <c r="S248" s="211"/>
      <c r="T248" s="211"/>
      <c r="U248" s="211"/>
      <c r="V248" s="84"/>
      <c r="W248" s="211"/>
      <c r="X248" s="211"/>
      <c r="Y248" s="211"/>
      <c r="Z248" s="211"/>
      <c r="AA248" s="84"/>
      <c r="AB248" s="146"/>
      <c r="AC248" s="211"/>
      <c r="AD248" s="211"/>
      <c r="AE248" s="211"/>
      <c r="AF248" s="84"/>
      <c r="AG248" s="146"/>
      <c r="AH248" s="211"/>
      <c r="AI248" s="211"/>
      <c r="AJ248" s="211"/>
      <c r="AK248" s="84"/>
      <c r="AL248" s="146"/>
      <c r="AM248" s="211"/>
      <c r="AN248" s="211"/>
      <c r="AO248" s="211"/>
      <c r="AP248" s="436"/>
      <c r="AQ248" s="146"/>
      <c r="AR248" s="211"/>
      <c r="AS248" s="211"/>
      <c r="AT248" s="211"/>
      <c r="AU248" s="84"/>
      <c r="AV248" s="211"/>
      <c r="AW248" s="211"/>
      <c r="AX248" s="211"/>
      <c r="AY248" s="211"/>
      <c r="AZ248" s="84"/>
      <c r="BA248" s="211"/>
      <c r="BB248" s="211"/>
      <c r="BC248" s="211"/>
      <c r="BD248" s="211"/>
      <c r="BE248" s="84"/>
      <c r="BF248" s="211"/>
      <c r="BG248" s="451"/>
    </row>
    <row r="249" spans="1:59" ht="12.75">
      <c r="A249" s="211"/>
      <c r="B249" s="449"/>
      <c r="C249" s="450"/>
      <c r="D249" s="211"/>
      <c r="E249" s="211"/>
      <c r="F249" s="211"/>
      <c r="G249" s="84"/>
      <c r="H249" s="211"/>
      <c r="I249" s="211"/>
      <c r="J249" s="211"/>
      <c r="K249" s="211"/>
      <c r="L249" s="84"/>
      <c r="M249" s="211"/>
      <c r="N249" s="211"/>
      <c r="O249" s="211"/>
      <c r="P249" s="211"/>
      <c r="Q249" s="84"/>
      <c r="R249" s="211"/>
      <c r="S249" s="211"/>
      <c r="T249" s="211"/>
      <c r="U249" s="211"/>
      <c r="V249" s="84"/>
      <c r="W249" s="211"/>
      <c r="X249" s="211"/>
      <c r="Y249" s="211"/>
      <c r="Z249" s="211"/>
      <c r="AA249" s="84"/>
      <c r="AB249" s="146"/>
      <c r="AC249" s="211"/>
      <c r="AD249" s="211"/>
      <c r="AE249" s="211"/>
      <c r="AF249" s="84"/>
      <c r="AG249" s="146"/>
      <c r="AH249" s="211"/>
      <c r="AI249" s="211"/>
      <c r="AJ249" s="211"/>
      <c r="AK249" s="84"/>
      <c r="AL249" s="146"/>
      <c r="AM249" s="211"/>
      <c r="AN249" s="211"/>
      <c r="AO249" s="211"/>
      <c r="AP249" s="436"/>
      <c r="AQ249" s="146"/>
      <c r="AR249" s="211"/>
      <c r="AS249" s="211"/>
      <c r="AT249" s="211"/>
      <c r="AU249" s="84"/>
      <c r="AV249" s="211"/>
      <c r="AW249" s="211"/>
      <c r="AX249" s="211"/>
      <c r="AY249" s="211"/>
      <c r="AZ249" s="84"/>
      <c r="BA249" s="211"/>
      <c r="BB249" s="211"/>
      <c r="BC249" s="211"/>
      <c r="BD249" s="211"/>
      <c r="BE249" s="84"/>
      <c r="BF249" s="211"/>
      <c r="BG249" s="451"/>
    </row>
    <row r="250" spans="1:59" ht="12.75">
      <c r="A250" s="211"/>
      <c r="B250" s="449"/>
      <c r="C250" s="450"/>
      <c r="D250" s="211"/>
      <c r="E250" s="211"/>
      <c r="F250" s="211"/>
      <c r="G250" s="84"/>
      <c r="H250" s="211"/>
      <c r="I250" s="211"/>
      <c r="J250" s="211"/>
      <c r="K250" s="211"/>
      <c r="L250" s="84"/>
      <c r="M250" s="211"/>
      <c r="N250" s="211"/>
      <c r="O250" s="211"/>
      <c r="P250" s="211"/>
      <c r="Q250" s="84"/>
      <c r="R250" s="211"/>
      <c r="S250" s="211"/>
      <c r="T250" s="211"/>
      <c r="U250" s="211"/>
      <c r="V250" s="84"/>
      <c r="W250" s="211"/>
      <c r="X250" s="211"/>
      <c r="Y250" s="211"/>
      <c r="Z250" s="211"/>
      <c r="AA250" s="84"/>
      <c r="AB250" s="146"/>
      <c r="AC250" s="211"/>
      <c r="AD250" s="211"/>
      <c r="AE250" s="211"/>
      <c r="AF250" s="84"/>
      <c r="AG250" s="146"/>
      <c r="AH250" s="211"/>
      <c r="AI250" s="211"/>
      <c r="AJ250" s="211"/>
      <c r="AK250" s="84"/>
      <c r="AL250" s="146"/>
      <c r="AM250" s="211"/>
      <c r="AN250" s="211"/>
      <c r="AO250" s="211"/>
      <c r="AP250" s="436"/>
      <c r="AQ250" s="146"/>
      <c r="AR250" s="211"/>
      <c r="AS250" s="211"/>
      <c r="AT250" s="211"/>
      <c r="AU250" s="84"/>
      <c r="AV250" s="211"/>
      <c r="AW250" s="211"/>
      <c r="AX250" s="211"/>
      <c r="AY250" s="211"/>
      <c r="AZ250" s="84"/>
      <c r="BA250" s="211"/>
      <c r="BB250" s="211"/>
      <c r="BC250" s="211"/>
      <c r="BD250" s="211"/>
      <c r="BE250" s="84"/>
      <c r="BF250" s="211"/>
      <c r="BG250" s="451"/>
    </row>
    <row r="251" spans="1:59" ht="12.75">
      <c r="A251" s="211"/>
      <c r="B251" s="449"/>
      <c r="C251" s="450"/>
      <c r="D251" s="211"/>
      <c r="E251" s="211"/>
      <c r="F251" s="211"/>
      <c r="G251" s="84"/>
      <c r="H251" s="211"/>
      <c r="I251" s="211"/>
      <c r="J251" s="211"/>
      <c r="K251" s="211"/>
      <c r="L251" s="84"/>
      <c r="M251" s="211"/>
      <c r="N251" s="211"/>
      <c r="O251" s="211"/>
      <c r="P251" s="211"/>
      <c r="Q251" s="84"/>
      <c r="R251" s="211"/>
      <c r="S251" s="211"/>
      <c r="T251" s="211"/>
      <c r="U251" s="211"/>
      <c r="V251" s="84"/>
      <c r="W251" s="211"/>
      <c r="X251" s="211"/>
      <c r="Y251" s="211"/>
      <c r="Z251" s="211"/>
      <c r="AA251" s="84"/>
      <c r="AB251" s="146"/>
      <c r="AC251" s="211"/>
      <c r="AD251" s="211"/>
      <c r="AE251" s="211"/>
      <c r="AF251" s="84"/>
      <c r="AG251" s="146"/>
      <c r="AH251" s="211"/>
      <c r="AI251" s="211"/>
      <c r="AJ251" s="211"/>
      <c r="AK251" s="84"/>
      <c r="AL251" s="146"/>
      <c r="AM251" s="211"/>
      <c r="AN251" s="211"/>
      <c r="AO251" s="211"/>
      <c r="AP251" s="436"/>
      <c r="AQ251" s="146"/>
      <c r="AR251" s="211"/>
      <c r="AS251" s="211"/>
      <c r="AT251" s="211"/>
      <c r="AU251" s="84"/>
      <c r="AV251" s="211"/>
      <c r="AW251" s="211"/>
      <c r="AX251" s="211"/>
      <c r="AY251" s="211"/>
      <c r="AZ251" s="84"/>
      <c r="BA251" s="211"/>
      <c r="BB251" s="211"/>
      <c r="BC251" s="211"/>
      <c r="BD251" s="211"/>
      <c r="BE251" s="84"/>
      <c r="BF251" s="211"/>
      <c r="BG251" s="451"/>
    </row>
    <row r="252" spans="1:59" ht="12.75">
      <c r="A252" s="211"/>
      <c r="B252" s="449"/>
      <c r="C252" s="450"/>
      <c r="D252" s="211"/>
      <c r="E252" s="211"/>
      <c r="F252" s="211"/>
      <c r="G252" s="84"/>
      <c r="H252" s="211"/>
      <c r="I252" s="211"/>
      <c r="J252" s="211"/>
      <c r="K252" s="211"/>
      <c r="L252" s="84"/>
      <c r="M252" s="211"/>
      <c r="N252" s="211"/>
      <c r="O252" s="211"/>
      <c r="P252" s="211"/>
      <c r="Q252" s="84"/>
      <c r="R252" s="211"/>
      <c r="S252" s="211"/>
      <c r="T252" s="211"/>
      <c r="U252" s="211"/>
      <c r="V252" s="84"/>
      <c r="W252" s="211"/>
      <c r="X252" s="211"/>
      <c r="Y252" s="211"/>
      <c r="Z252" s="211"/>
      <c r="AA252" s="84"/>
      <c r="AB252" s="146"/>
      <c r="AC252" s="211"/>
      <c r="AD252" s="211"/>
      <c r="AE252" s="211"/>
      <c r="AF252" s="84"/>
      <c r="AG252" s="146"/>
      <c r="AH252" s="211"/>
      <c r="AI252" s="211"/>
      <c r="AJ252" s="211"/>
      <c r="AK252" s="84"/>
      <c r="AL252" s="146"/>
      <c r="AM252" s="211"/>
      <c r="AN252" s="211"/>
      <c r="AO252" s="211"/>
      <c r="AP252" s="436"/>
      <c r="AQ252" s="146"/>
      <c r="AR252" s="211"/>
      <c r="AS252" s="211"/>
      <c r="AT252" s="211"/>
      <c r="AU252" s="84"/>
      <c r="AV252" s="211"/>
      <c r="AW252" s="211"/>
      <c r="AX252" s="211"/>
      <c r="AY252" s="211"/>
      <c r="AZ252" s="84"/>
      <c r="BA252" s="211"/>
      <c r="BB252" s="211"/>
      <c r="BC252" s="211"/>
      <c r="BD252" s="211"/>
      <c r="BE252" s="84"/>
      <c r="BF252" s="211"/>
      <c r="BG252" s="451"/>
    </row>
    <row r="253" spans="1:59" ht="12.75">
      <c r="A253" s="211"/>
      <c r="B253" s="449"/>
      <c r="C253" s="450"/>
      <c r="D253" s="211"/>
      <c r="E253" s="211"/>
      <c r="F253" s="211"/>
      <c r="G253" s="84"/>
      <c r="H253" s="211"/>
      <c r="I253" s="211"/>
      <c r="J253" s="211"/>
      <c r="K253" s="211"/>
      <c r="L253" s="84"/>
      <c r="M253" s="211"/>
      <c r="N253" s="211"/>
      <c r="O253" s="211"/>
      <c r="P253" s="211"/>
      <c r="Q253" s="84"/>
      <c r="R253" s="211"/>
      <c r="S253" s="211"/>
      <c r="T253" s="211"/>
      <c r="U253" s="211"/>
      <c r="V253" s="84"/>
      <c r="W253" s="211"/>
      <c r="X253" s="211"/>
      <c r="Y253" s="211"/>
      <c r="Z253" s="211"/>
      <c r="AA253" s="84"/>
      <c r="AB253" s="146"/>
      <c r="AC253" s="211"/>
      <c r="AD253" s="211"/>
      <c r="AE253" s="211"/>
      <c r="AF253" s="84"/>
      <c r="AG253" s="146"/>
      <c r="AH253" s="211"/>
      <c r="AI253" s="211"/>
      <c r="AJ253" s="211"/>
      <c r="AK253" s="84"/>
      <c r="AL253" s="146"/>
      <c r="AM253" s="211"/>
      <c r="AN253" s="211"/>
      <c r="AO253" s="211"/>
      <c r="AP253" s="436"/>
      <c r="AQ253" s="146"/>
      <c r="AR253" s="211"/>
      <c r="AS253" s="211"/>
      <c r="AT253" s="211"/>
      <c r="AU253" s="84"/>
      <c r="AV253" s="211"/>
      <c r="AW253" s="211"/>
      <c r="AX253" s="211"/>
      <c r="AY253" s="211"/>
      <c r="AZ253" s="84"/>
      <c r="BA253" s="211"/>
      <c r="BB253" s="211"/>
      <c r="BC253" s="211"/>
      <c r="BD253" s="211"/>
      <c r="BE253" s="84"/>
      <c r="BF253" s="211"/>
      <c r="BG253" s="451"/>
    </row>
    <row r="254" spans="1:59" ht="12.75">
      <c r="A254" s="211"/>
      <c r="B254" s="449"/>
      <c r="C254" s="450"/>
      <c r="D254" s="211"/>
      <c r="E254" s="211"/>
      <c r="F254" s="211"/>
      <c r="G254" s="84"/>
      <c r="H254" s="211"/>
      <c r="I254" s="211"/>
      <c r="J254" s="211"/>
      <c r="K254" s="211"/>
      <c r="L254" s="84"/>
      <c r="M254" s="211"/>
      <c r="N254" s="211"/>
      <c r="O254" s="211"/>
      <c r="P254" s="211"/>
      <c r="Q254" s="84"/>
      <c r="R254" s="211"/>
      <c r="S254" s="211"/>
      <c r="T254" s="211"/>
      <c r="U254" s="211"/>
      <c r="V254" s="84"/>
      <c r="W254" s="211"/>
      <c r="X254" s="211"/>
      <c r="Y254" s="211"/>
      <c r="Z254" s="211"/>
      <c r="AA254" s="84"/>
      <c r="AB254" s="146"/>
      <c r="AC254" s="211"/>
      <c r="AD254" s="211"/>
      <c r="AE254" s="211"/>
      <c r="AF254" s="84"/>
      <c r="AG254" s="146"/>
      <c r="AH254" s="211"/>
      <c r="AI254" s="211"/>
      <c r="AJ254" s="211"/>
      <c r="AK254" s="84"/>
      <c r="AL254" s="146"/>
      <c r="AM254" s="211"/>
      <c r="AN254" s="211"/>
      <c r="AO254" s="211"/>
      <c r="AP254" s="436"/>
      <c r="AQ254" s="146"/>
      <c r="AR254" s="211"/>
      <c r="AS254" s="211"/>
      <c r="AT254" s="211"/>
      <c r="AU254" s="84"/>
      <c r="AV254" s="211"/>
      <c r="AW254" s="211"/>
      <c r="AX254" s="211"/>
      <c r="AY254" s="211"/>
      <c r="AZ254" s="84"/>
      <c r="BA254" s="211"/>
      <c r="BB254" s="211"/>
      <c r="BC254" s="211"/>
      <c r="BD254" s="211"/>
      <c r="BE254" s="84"/>
      <c r="BF254" s="211"/>
      <c r="BG254" s="451"/>
    </row>
    <row r="255" spans="1:59" ht="12.75">
      <c r="A255" s="211"/>
      <c r="B255" s="449"/>
      <c r="C255" s="450"/>
      <c r="D255" s="211"/>
      <c r="E255" s="211"/>
      <c r="F255" s="211"/>
      <c r="G255" s="84"/>
      <c r="H255" s="211"/>
      <c r="I255" s="211"/>
      <c r="J255" s="211"/>
      <c r="K255" s="211"/>
      <c r="L255" s="84"/>
      <c r="M255" s="211"/>
      <c r="N255" s="211"/>
      <c r="O255" s="211"/>
      <c r="P255" s="211"/>
      <c r="Q255" s="84"/>
      <c r="R255" s="211"/>
      <c r="S255" s="211"/>
      <c r="T255" s="211"/>
      <c r="U255" s="211"/>
      <c r="V255" s="84"/>
      <c r="W255" s="211"/>
      <c r="X255" s="211"/>
      <c r="Y255" s="211"/>
      <c r="Z255" s="211"/>
      <c r="AA255" s="84"/>
      <c r="AB255" s="146"/>
      <c r="AC255" s="211"/>
      <c r="AD255" s="211"/>
      <c r="AE255" s="211"/>
      <c r="AF255" s="84"/>
      <c r="AG255" s="146"/>
      <c r="AH255" s="211"/>
      <c r="AI255" s="211"/>
      <c r="AJ255" s="211"/>
      <c r="AK255" s="84"/>
      <c r="AL255" s="146"/>
      <c r="AM255" s="211"/>
      <c r="AN255" s="211"/>
      <c r="AO255" s="211"/>
      <c r="AP255" s="436"/>
      <c r="AQ255" s="146"/>
      <c r="AR255" s="211"/>
      <c r="AS255" s="211"/>
      <c r="AT255" s="211"/>
      <c r="AU255" s="84"/>
      <c r="AV255" s="211"/>
      <c r="AW255" s="211"/>
      <c r="AX255" s="211"/>
      <c r="AY255" s="211"/>
      <c r="AZ255" s="84"/>
      <c r="BA255" s="211"/>
      <c r="BB255" s="211"/>
      <c r="BC255" s="211"/>
      <c r="BD255" s="211"/>
      <c r="BE255" s="84"/>
      <c r="BF255" s="211"/>
      <c r="BG255" s="451"/>
    </row>
    <row r="256" spans="1:59" ht="12.75">
      <c r="A256" s="211"/>
      <c r="B256" s="449"/>
      <c r="C256" s="450"/>
      <c r="D256" s="211"/>
      <c r="E256" s="211"/>
      <c r="F256" s="211"/>
      <c r="G256" s="84"/>
      <c r="H256" s="211"/>
      <c r="I256" s="211"/>
      <c r="J256" s="211"/>
      <c r="K256" s="211"/>
      <c r="L256" s="84"/>
      <c r="M256" s="211"/>
      <c r="N256" s="211"/>
      <c r="O256" s="211"/>
      <c r="P256" s="211"/>
      <c r="Q256" s="84"/>
      <c r="R256" s="211"/>
      <c r="S256" s="211"/>
      <c r="T256" s="211"/>
      <c r="U256" s="211"/>
      <c r="V256" s="84"/>
      <c r="W256" s="211"/>
      <c r="X256" s="211"/>
      <c r="Y256" s="211"/>
      <c r="Z256" s="211"/>
      <c r="AA256" s="84"/>
      <c r="AB256" s="146"/>
      <c r="AC256" s="211"/>
      <c r="AD256" s="211"/>
      <c r="AE256" s="211"/>
      <c r="AF256" s="84"/>
      <c r="AG256" s="146"/>
      <c r="AH256" s="211"/>
      <c r="AI256" s="211"/>
      <c r="AJ256" s="211"/>
      <c r="AK256" s="84"/>
      <c r="AL256" s="146"/>
      <c r="AM256" s="211"/>
      <c r="AN256" s="211"/>
      <c r="AO256" s="211"/>
      <c r="AP256" s="436"/>
      <c r="AQ256" s="146"/>
      <c r="AR256" s="211"/>
      <c r="AS256" s="211"/>
      <c r="AT256" s="211"/>
      <c r="AU256" s="84"/>
      <c r="AV256" s="211"/>
      <c r="AW256" s="211"/>
      <c r="AX256" s="211"/>
      <c r="AY256" s="211"/>
      <c r="AZ256" s="84"/>
      <c r="BA256" s="211"/>
      <c r="BB256" s="211"/>
      <c r="BC256" s="211"/>
      <c r="BD256" s="211"/>
      <c r="BE256" s="84"/>
      <c r="BF256" s="211"/>
      <c r="BG256" s="451"/>
    </row>
    <row r="257" spans="1:59" ht="12.75">
      <c r="A257" s="211"/>
      <c r="B257" s="449"/>
      <c r="C257" s="450"/>
      <c r="D257" s="211"/>
      <c r="E257" s="211"/>
      <c r="F257" s="211"/>
      <c r="G257" s="84"/>
      <c r="H257" s="211"/>
      <c r="I257" s="211"/>
      <c r="J257" s="211"/>
      <c r="K257" s="211"/>
      <c r="L257" s="84"/>
      <c r="M257" s="211"/>
      <c r="N257" s="211"/>
      <c r="O257" s="211"/>
      <c r="P257" s="211"/>
      <c r="Q257" s="84"/>
      <c r="R257" s="211"/>
      <c r="S257" s="211"/>
      <c r="T257" s="211"/>
      <c r="U257" s="211"/>
      <c r="V257" s="84"/>
      <c r="W257" s="211"/>
      <c r="X257" s="211"/>
      <c r="Y257" s="211"/>
      <c r="Z257" s="211"/>
      <c r="AA257" s="84"/>
      <c r="AB257" s="146"/>
      <c r="AC257" s="211"/>
      <c r="AD257" s="211"/>
      <c r="AE257" s="211"/>
      <c r="AF257" s="84"/>
      <c r="AG257" s="146"/>
      <c r="AH257" s="211"/>
      <c r="AI257" s="211"/>
      <c r="AJ257" s="211"/>
      <c r="AK257" s="84"/>
      <c r="AL257" s="146"/>
      <c r="AM257" s="211"/>
      <c r="AN257" s="211"/>
      <c r="AO257" s="211"/>
      <c r="AP257" s="436"/>
      <c r="AQ257" s="146"/>
      <c r="AR257" s="211"/>
      <c r="AS257" s="211"/>
      <c r="AT257" s="211"/>
      <c r="AU257" s="84"/>
      <c r="AV257" s="211"/>
      <c r="AW257" s="211"/>
      <c r="AX257" s="211"/>
      <c r="AY257" s="211"/>
      <c r="AZ257" s="84"/>
      <c r="BA257" s="211"/>
      <c r="BB257" s="211"/>
      <c r="BC257" s="211"/>
      <c r="BD257" s="211"/>
      <c r="BE257" s="84"/>
      <c r="BF257" s="211"/>
      <c r="BG257" s="451"/>
    </row>
    <row r="258" spans="1:59" ht="12.75">
      <c r="A258" s="211"/>
      <c r="B258" s="449"/>
      <c r="C258" s="450"/>
      <c r="D258" s="211"/>
      <c r="E258" s="211"/>
      <c r="F258" s="211"/>
      <c r="G258" s="84"/>
      <c r="H258" s="211"/>
      <c r="I258" s="211"/>
      <c r="J258" s="211"/>
      <c r="K258" s="211"/>
      <c r="L258" s="84"/>
      <c r="M258" s="211"/>
      <c r="N258" s="211"/>
      <c r="O258" s="211"/>
      <c r="P258" s="211"/>
      <c r="Q258" s="84"/>
      <c r="R258" s="211"/>
      <c r="S258" s="211"/>
      <c r="T258" s="211"/>
      <c r="U258" s="211"/>
      <c r="V258" s="84"/>
      <c r="W258" s="211"/>
      <c r="X258" s="211"/>
      <c r="Y258" s="211"/>
      <c r="Z258" s="211"/>
      <c r="AA258" s="84"/>
      <c r="AB258" s="146"/>
      <c r="AC258" s="211"/>
      <c r="AD258" s="211"/>
      <c r="AE258" s="211"/>
      <c r="AF258" s="84"/>
      <c r="AG258" s="146"/>
      <c r="AH258" s="211"/>
      <c r="AI258" s="211"/>
      <c r="AJ258" s="211"/>
      <c r="AK258" s="84"/>
      <c r="AL258" s="146"/>
      <c r="AM258" s="211"/>
      <c r="AN258" s="211"/>
      <c r="AO258" s="211"/>
      <c r="AP258" s="436"/>
      <c r="AQ258" s="146"/>
      <c r="AR258" s="211"/>
      <c r="AS258" s="211"/>
      <c r="AT258" s="211"/>
      <c r="AU258" s="84"/>
      <c r="AV258" s="211"/>
      <c r="AW258" s="211"/>
      <c r="AX258" s="211"/>
      <c r="AY258" s="211"/>
      <c r="AZ258" s="84"/>
      <c r="BA258" s="211"/>
      <c r="BB258" s="211"/>
      <c r="BC258" s="211"/>
      <c r="BD258" s="211"/>
      <c r="BE258" s="84"/>
      <c r="BF258" s="211"/>
      <c r="BG258" s="451"/>
    </row>
    <row r="259" spans="1:59" ht="12.75">
      <c r="A259" s="211"/>
      <c r="B259" s="449"/>
      <c r="C259" s="450"/>
      <c r="D259" s="211"/>
      <c r="E259" s="211"/>
      <c r="F259" s="211"/>
      <c r="G259" s="84"/>
      <c r="H259" s="211"/>
      <c r="I259" s="211"/>
      <c r="J259" s="211"/>
      <c r="K259" s="211"/>
      <c r="L259" s="84"/>
      <c r="M259" s="211"/>
      <c r="N259" s="211"/>
      <c r="O259" s="211"/>
      <c r="P259" s="211"/>
      <c r="Q259" s="84"/>
      <c r="R259" s="211"/>
      <c r="S259" s="211"/>
      <c r="T259" s="211"/>
      <c r="U259" s="211"/>
      <c r="V259" s="84"/>
      <c r="W259" s="211"/>
      <c r="X259" s="211"/>
      <c r="Y259" s="211"/>
      <c r="Z259" s="211"/>
      <c r="AA259" s="84"/>
      <c r="AB259" s="146"/>
      <c r="AC259" s="211"/>
      <c r="AD259" s="211"/>
      <c r="AE259" s="211"/>
      <c r="AF259" s="84"/>
      <c r="AG259" s="146"/>
      <c r="AH259" s="211"/>
      <c r="AI259" s="211"/>
      <c r="AJ259" s="211"/>
      <c r="AK259" s="84"/>
      <c r="AL259" s="146"/>
      <c r="AM259" s="211"/>
      <c r="AN259" s="211"/>
      <c r="AO259" s="211"/>
      <c r="AP259" s="436"/>
      <c r="AQ259" s="146"/>
      <c r="AR259" s="211"/>
      <c r="AS259" s="211"/>
      <c r="AT259" s="211"/>
      <c r="AU259" s="84"/>
      <c r="AV259" s="211"/>
      <c r="AW259" s="211"/>
      <c r="AX259" s="211"/>
      <c r="AY259" s="211"/>
      <c r="AZ259" s="84"/>
      <c r="BA259" s="211"/>
      <c r="BB259" s="211"/>
      <c r="BC259" s="211"/>
      <c r="BD259" s="211"/>
      <c r="BE259" s="84"/>
      <c r="BF259" s="211"/>
      <c r="BG259" s="451"/>
    </row>
    <row r="260" spans="1:59" ht="12.75">
      <c r="A260" s="211"/>
      <c r="B260" s="449"/>
      <c r="C260" s="450"/>
      <c r="D260" s="211"/>
      <c r="E260" s="211"/>
      <c r="F260" s="211"/>
      <c r="G260" s="84"/>
      <c r="H260" s="211"/>
      <c r="I260" s="211"/>
      <c r="J260" s="211"/>
      <c r="K260" s="211"/>
      <c r="L260" s="84"/>
      <c r="M260" s="211"/>
      <c r="N260" s="211"/>
      <c r="O260" s="211"/>
      <c r="P260" s="211"/>
      <c r="Q260" s="84"/>
      <c r="R260" s="211"/>
      <c r="S260" s="211"/>
      <c r="T260" s="211"/>
      <c r="U260" s="211"/>
      <c r="V260" s="84"/>
      <c r="W260" s="211"/>
      <c r="X260" s="211"/>
      <c r="Y260" s="211"/>
      <c r="Z260" s="211"/>
      <c r="AA260" s="84"/>
      <c r="AB260" s="146"/>
      <c r="AC260" s="211"/>
      <c r="AD260" s="211"/>
      <c r="AE260" s="211"/>
      <c r="AF260" s="84"/>
      <c r="AG260" s="146"/>
      <c r="AH260" s="211"/>
      <c r="AI260" s="211"/>
      <c r="AJ260" s="211"/>
      <c r="AK260" s="84"/>
      <c r="AL260" s="146"/>
      <c r="AM260" s="211"/>
      <c r="AN260" s="211"/>
      <c r="AO260" s="211"/>
      <c r="AP260" s="436"/>
      <c r="AQ260" s="146"/>
      <c r="AR260" s="211"/>
      <c r="AS260" s="211"/>
      <c r="AT260" s="211"/>
      <c r="AU260" s="84"/>
      <c r="AV260" s="211"/>
      <c r="AW260" s="211"/>
      <c r="AX260" s="211"/>
      <c r="AY260" s="211"/>
      <c r="AZ260" s="84"/>
      <c r="BA260" s="211"/>
      <c r="BB260" s="211"/>
      <c r="BC260" s="211"/>
      <c r="BD260" s="211"/>
      <c r="BE260" s="84"/>
      <c r="BF260" s="211"/>
      <c r="BG260" s="451"/>
    </row>
    <row r="261" spans="1:59" ht="12.75">
      <c r="A261" s="211"/>
      <c r="B261" s="449"/>
      <c r="C261" s="450"/>
      <c r="D261" s="211"/>
      <c r="E261" s="211"/>
      <c r="F261" s="211"/>
      <c r="G261" s="84"/>
      <c r="H261" s="211"/>
      <c r="I261" s="211"/>
      <c r="J261" s="211"/>
      <c r="K261" s="211"/>
      <c r="L261" s="84"/>
      <c r="M261" s="211"/>
      <c r="N261" s="211"/>
      <c r="O261" s="211"/>
      <c r="P261" s="211"/>
      <c r="Q261" s="84"/>
      <c r="R261" s="211"/>
      <c r="S261" s="211"/>
      <c r="T261" s="211"/>
      <c r="U261" s="211"/>
      <c r="V261" s="84"/>
      <c r="W261" s="211"/>
      <c r="X261" s="211"/>
      <c r="Y261" s="211"/>
      <c r="Z261" s="211"/>
      <c r="AA261" s="84"/>
      <c r="AB261" s="146"/>
      <c r="AC261" s="211"/>
      <c r="AD261" s="211"/>
      <c r="AE261" s="211"/>
      <c r="AF261" s="84"/>
      <c r="AG261" s="146"/>
      <c r="AH261" s="211"/>
      <c r="AI261" s="211"/>
      <c r="AJ261" s="211"/>
      <c r="AK261" s="84"/>
      <c r="AL261" s="146"/>
      <c r="AM261" s="211"/>
      <c r="AN261" s="211"/>
      <c r="AO261" s="211"/>
      <c r="AP261" s="436"/>
      <c r="AQ261" s="146"/>
      <c r="AR261" s="211"/>
      <c r="AS261" s="211"/>
      <c r="AT261" s="211"/>
      <c r="AU261" s="84"/>
      <c r="AV261" s="211"/>
      <c r="AW261" s="211"/>
      <c r="AX261" s="211"/>
      <c r="AY261" s="211"/>
      <c r="AZ261" s="84"/>
      <c r="BA261" s="211"/>
      <c r="BB261" s="211"/>
      <c r="BC261" s="211"/>
      <c r="BD261" s="211"/>
      <c r="BE261" s="84"/>
      <c r="BF261" s="211"/>
      <c r="BG261" s="451"/>
    </row>
    <row r="262" spans="1:59" ht="12.75">
      <c r="A262" s="211"/>
      <c r="B262" s="449"/>
      <c r="C262" s="450"/>
      <c r="D262" s="211"/>
      <c r="E262" s="211"/>
      <c r="F262" s="211"/>
      <c r="G262" s="84"/>
      <c r="H262" s="211"/>
      <c r="I262" s="211"/>
      <c r="J262" s="211"/>
      <c r="K262" s="211"/>
      <c r="L262" s="84"/>
      <c r="M262" s="211"/>
      <c r="N262" s="211"/>
      <c r="O262" s="211"/>
      <c r="P262" s="211"/>
      <c r="Q262" s="84"/>
      <c r="R262" s="211"/>
      <c r="S262" s="211"/>
      <c r="T262" s="211"/>
      <c r="U262" s="211"/>
      <c r="V262" s="84"/>
      <c r="W262" s="211"/>
      <c r="X262" s="211"/>
      <c r="Y262" s="211"/>
      <c r="Z262" s="211"/>
      <c r="AA262" s="84"/>
      <c r="AB262" s="146"/>
      <c r="AC262" s="211"/>
      <c r="AD262" s="211"/>
      <c r="AE262" s="211"/>
      <c r="AF262" s="84"/>
      <c r="AG262" s="146"/>
      <c r="AH262" s="211"/>
      <c r="AI262" s="211"/>
      <c r="AJ262" s="211"/>
      <c r="AK262" s="84"/>
      <c r="AL262" s="146"/>
      <c r="AM262" s="211"/>
      <c r="AN262" s="211"/>
      <c r="AO262" s="211"/>
      <c r="AP262" s="436"/>
      <c r="AQ262" s="146"/>
      <c r="AR262" s="211"/>
      <c r="AS262" s="211"/>
      <c r="AT262" s="211"/>
      <c r="AU262" s="84"/>
      <c r="AV262" s="211"/>
      <c r="AW262" s="211"/>
      <c r="AX262" s="211"/>
      <c r="AY262" s="211"/>
      <c r="AZ262" s="84"/>
      <c r="BA262" s="211"/>
      <c r="BB262" s="211"/>
      <c r="BC262" s="211"/>
      <c r="BD262" s="211"/>
      <c r="BE262" s="84"/>
      <c r="BF262" s="211"/>
      <c r="BG262" s="451"/>
    </row>
    <row r="263" spans="1:59" ht="12.75">
      <c r="A263" s="211"/>
      <c r="B263" s="449"/>
      <c r="C263" s="450"/>
      <c r="D263" s="211"/>
      <c r="E263" s="211"/>
      <c r="F263" s="211"/>
      <c r="G263" s="84"/>
      <c r="H263" s="211"/>
      <c r="I263" s="211"/>
      <c r="J263" s="211"/>
      <c r="K263" s="211"/>
      <c r="L263" s="84"/>
      <c r="M263" s="211"/>
      <c r="N263" s="211"/>
      <c r="O263" s="211"/>
      <c r="P263" s="211"/>
      <c r="Q263" s="84"/>
      <c r="R263" s="211"/>
      <c r="S263" s="211"/>
      <c r="T263" s="211"/>
      <c r="U263" s="211"/>
      <c r="V263" s="84"/>
      <c r="W263" s="211"/>
      <c r="X263" s="211"/>
      <c r="Y263" s="211"/>
      <c r="Z263" s="211"/>
      <c r="AA263" s="84"/>
      <c r="AB263" s="146"/>
      <c r="AC263" s="211"/>
      <c r="AD263" s="211"/>
      <c r="AE263" s="211"/>
      <c r="AF263" s="84"/>
      <c r="AG263" s="146"/>
      <c r="AH263" s="211"/>
      <c r="AI263" s="211"/>
      <c r="AJ263" s="211"/>
      <c r="AK263" s="84"/>
      <c r="AL263" s="146"/>
      <c r="AM263" s="211"/>
      <c r="AN263" s="211"/>
      <c r="AO263" s="211"/>
      <c r="AP263" s="436"/>
      <c r="AQ263" s="146"/>
      <c r="AR263" s="211"/>
      <c r="AS263" s="211"/>
      <c r="AT263" s="211"/>
      <c r="AU263" s="84"/>
      <c r="AV263" s="211"/>
      <c r="AW263" s="211"/>
      <c r="AX263" s="211"/>
      <c r="AY263" s="211"/>
      <c r="AZ263" s="84"/>
      <c r="BA263" s="211"/>
      <c r="BB263" s="211"/>
      <c r="BC263" s="211"/>
      <c r="BD263" s="211"/>
      <c r="BE263" s="84"/>
      <c r="BF263" s="211"/>
      <c r="BG263" s="451"/>
    </row>
    <row r="264" spans="1:59" ht="12.75">
      <c r="A264" s="211"/>
      <c r="B264" s="449"/>
      <c r="C264" s="450"/>
      <c r="D264" s="211"/>
      <c r="E264" s="211"/>
      <c r="F264" s="211"/>
      <c r="G264" s="84"/>
      <c r="H264" s="211"/>
      <c r="I264" s="211"/>
      <c r="J264" s="211"/>
      <c r="K264" s="211"/>
      <c r="L264" s="84"/>
      <c r="M264" s="211"/>
      <c r="N264" s="211"/>
      <c r="O264" s="211"/>
      <c r="P264" s="211"/>
      <c r="Q264" s="84"/>
      <c r="R264" s="211"/>
      <c r="S264" s="211"/>
      <c r="T264" s="211"/>
      <c r="U264" s="211"/>
      <c r="V264" s="84"/>
      <c r="W264" s="211"/>
      <c r="X264" s="211"/>
      <c r="Y264" s="211"/>
      <c r="Z264" s="211"/>
      <c r="AA264" s="84"/>
      <c r="AB264" s="146"/>
      <c r="AC264" s="211"/>
      <c r="AD264" s="211"/>
      <c r="AE264" s="211"/>
      <c r="AF264" s="84"/>
      <c r="AG264" s="146"/>
      <c r="AH264" s="211"/>
      <c r="AI264" s="211"/>
      <c r="AJ264" s="211"/>
      <c r="AK264" s="84"/>
      <c r="AL264" s="146"/>
      <c r="AM264" s="211"/>
      <c r="AN264" s="211"/>
      <c r="AO264" s="211"/>
      <c r="AP264" s="436"/>
      <c r="AQ264" s="146"/>
      <c r="AR264" s="211"/>
      <c r="AS264" s="211"/>
      <c r="AT264" s="211"/>
      <c r="AU264" s="84"/>
      <c r="AV264" s="211"/>
      <c r="AW264" s="211"/>
      <c r="AX264" s="211"/>
      <c r="AY264" s="211"/>
      <c r="AZ264" s="84"/>
      <c r="BA264" s="211"/>
      <c r="BB264" s="211"/>
      <c r="BC264" s="211"/>
      <c r="BD264" s="211"/>
      <c r="BE264" s="84"/>
      <c r="BF264" s="211"/>
      <c r="BG264" s="451"/>
    </row>
    <row r="265" spans="1:59" ht="12.75">
      <c r="A265" s="211"/>
      <c r="B265" s="449"/>
      <c r="C265" s="450"/>
      <c r="D265" s="211"/>
      <c r="E265" s="211"/>
      <c r="F265" s="211"/>
      <c r="G265" s="84"/>
      <c r="H265" s="211"/>
      <c r="I265" s="211"/>
      <c r="J265" s="211"/>
      <c r="K265" s="211"/>
      <c r="L265" s="84"/>
      <c r="M265" s="211"/>
      <c r="N265" s="211"/>
      <c r="O265" s="211"/>
      <c r="P265" s="211"/>
      <c r="Q265" s="84"/>
      <c r="R265" s="211"/>
      <c r="S265" s="211"/>
      <c r="T265" s="211"/>
      <c r="U265" s="211"/>
      <c r="V265" s="84"/>
      <c r="W265" s="211"/>
      <c r="X265" s="211"/>
      <c r="Y265" s="211"/>
      <c r="Z265" s="211"/>
      <c r="AA265" s="84"/>
      <c r="AB265" s="146"/>
      <c r="AC265" s="211"/>
      <c r="AD265" s="211"/>
      <c r="AE265" s="211"/>
      <c r="AF265" s="84"/>
      <c r="AG265" s="146"/>
      <c r="AH265" s="211"/>
      <c r="AI265" s="211"/>
      <c r="AJ265" s="211"/>
      <c r="AK265" s="84"/>
      <c r="AL265" s="146"/>
      <c r="AM265" s="211"/>
      <c r="AN265" s="211"/>
      <c r="AO265" s="211"/>
      <c r="AP265" s="436"/>
      <c r="AQ265" s="146"/>
      <c r="AR265" s="211"/>
      <c r="AS265" s="211"/>
      <c r="AT265" s="211"/>
      <c r="AU265" s="84"/>
      <c r="AV265" s="211"/>
      <c r="AW265" s="211"/>
      <c r="AX265" s="211"/>
      <c r="AY265" s="211"/>
      <c r="AZ265" s="84"/>
      <c r="BA265" s="211"/>
      <c r="BB265" s="211"/>
      <c r="BC265" s="211"/>
      <c r="BD265" s="211"/>
      <c r="BE265" s="84"/>
      <c r="BF265" s="211"/>
      <c r="BG265" s="451"/>
    </row>
    <row r="266" spans="1:59" ht="12.75">
      <c r="A266" s="211"/>
      <c r="B266" s="449"/>
      <c r="C266" s="450"/>
      <c r="D266" s="211"/>
      <c r="E266" s="211"/>
      <c r="F266" s="211"/>
      <c r="G266" s="84"/>
      <c r="H266" s="211"/>
      <c r="I266" s="211"/>
      <c r="J266" s="211"/>
      <c r="K266" s="211"/>
      <c r="L266" s="84"/>
      <c r="M266" s="211"/>
      <c r="N266" s="211"/>
      <c r="O266" s="211"/>
      <c r="P266" s="211"/>
      <c r="Q266" s="84"/>
      <c r="R266" s="211"/>
      <c r="S266" s="211"/>
      <c r="T266" s="211"/>
      <c r="U266" s="211"/>
      <c r="V266" s="84"/>
      <c r="W266" s="211"/>
      <c r="X266" s="211"/>
      <c r="Y266" s="211"/>
      <c r="Z266" s="211"/>
      <c r="AA266" s="84"/>
      <c r="AB266" s="146"/>
      <c r="AC266" s="211"/>
      <c r="AD266" s="211"/>
      <c r="AE266" s="211"/>
      <c r="AF266" s="84"/>
      <c r="AG266" s="146"/>
      <c r="AH266" s="211"/>
      <c r="AI266" s="211"/>
      <c r="AJ266" s="211"/>
      <c r="AK266" s="84"/>
      <c r="AL266" s="146"/>
      <c r="AM266" s="211"/>
      <c r="AN266" s="211"/>
      <c r="AO266" s="211"/>
      <c r="AP266" s="436"/>
      <c r="AQ266" s="146"/>
      <c r="AR266" s="211"/>
      <c r="AS266" s="211"/>
      <c r="AT266" s="211"/>
      <c r="AU266" s="84"/>
      <c r="AV266" s="211"/>
      <c r="AW266" s="211"/>
      <c r="AX266" s="211"/>
      <c r="AY266" s="211"/>
      <c r="AZ266" s="84"/>
      <c r="BA266" s="211"/>
      <c r="BB266" s="211"/>
      <c r="BC266" s="211"/>
      <c r="BD266" s="211"/>
      <c r="BE266" s="84"/>
      <c r="BF266" s="211"/>
      <c r="BG266" s="451"/>
    </row>
    <row r="267" spans="1:59" ht="12.75">
      <c r="A267" s="211"/>
      <c r="B267" s="449"/>
      <c r="C267" s="450"/>
      <c r="D267" s="211"/>
      <c r="E267" s="211"/>
      <c r="F267" s="211"/>
      <c r="G267" s="84"/>
      <c r="H267" s="211"/>
      <c r="I267" s="211"/>
      <c r="J267" s="211"/>
      <c r="K267" s="211"/>
      <c r="L267" s="84"/>
      <c r="M267" s="211"/>
      <c r="N267" s="211"/>
      <c r="O267" s="211"/>
      <c r="P267" s="211"/>
      <c r="Q267" s="84"/>
      <c r="R267" s="211"/>
      <c r="S267" s="211"/>
      <c r="T267" s="211"/>
      <c r="U267" s="211"/>
      <c r="V267" s="84"/>
      <c r="W267" s="211"/>
      <c r="X267" s="211"/>
      <c r="Y267" s="211"/>
      <c r="Z267" s="211"/>
      <c r="AA267" s="84"/>
      <c r="AB267" s="146"/>
      <c r="AC267" s="211"/>
      <c r="AD267" s="211"/>
      <c r="AE267" s="211"/>
      <c r="AF267" s="84"/>
      <c r="AG267" s="146"/>
      <c r="AH267" s="211"/>
      <c r="AI267" s="211"/>
      <c r="AJ267" s="211"/>
      <c r="AK267" s="84"/>
      <c r="AL267" s="146"/>
      <c r="AM267" s="211"/>
      <c r="AN267" s="211"/>
      <c r="AO267" s="211"/>
      <c r="AP267" s="436"/>
      <c r="AQ267" s="146"/>
      <c r="AR267" s="211"/>
      <c r="AS267" s="211"/>
      <c r="AT267" s="211"/>
      <c r="AU267" s="84"/>
      <c r="AV267" s="211"/>
      <c r="AW267" s="211"/>
      <c r="AX267" s="211"/>
      <c r="AY267" s="211"/>
      <c r="AZ267" s="84"/>
      <c r="BA267" s="211"/>
      <c r="BB267" s="211"/>
      <c r="BC267" s="211"/>
      <c r="BD267" s="211"/>
      <c r="BE267" s="84"/>
      <c r="BF267" s="211"/>
      <c r="BG267" s="451"/>
    </row>
    <row r="268" spans="1:59" ht="12.75">
      <c r="A268" s="211"/>
      <c r="B268" s="449"/>
      <c r="C268" s="450"/>
      <c r="D268" s="211"/>
      <c r="E268" s="211"/>
      <c r="F268" s="211"/>
      <c r="G268" s="84"/>
      <c r="H268" s="211"/>
      <c r="I268" s="211"/>
      <c r="J268" s="211"/>
      <c r="K268" s="211"/>
      <c r="L268" s="84"/>
      <c r="M268" s="211"/>
      <c r="N268" s="211"/>
      <c r="O268" s="211"/>
      <c r="P268" s="211"/>
      <c r="Q268" s="84"/>
      <c r="R268" s="211"/>
      <c r="S268" s="211"/>
      <c r="T268" s="211"/>
      <c r="U268" s="211"/>
      <c r="V268" s="84"/>
      <c r="W268" s="211"/>
      <c r="X268" s="211"/>
      <c r="Y268" s="211"/>
      <c r="Z268" s="211"/>
      <c r="AA268" s="84"/>
      <c r="AB268" s="146"/>
      <c r="AC268" s="211"/>
      <c r="AD268" s="211"/>
      <c r="AE268" s="211"/>
      <c r="AF268" s="84"/>
      <c r="AG268" s="146"/>
      <c r="AH268" s="211"/>
      <c r="AI268" s="211"/>
      <c r="AJ268" s="211"/>
      <c r="AK268" s="84"/>
      <c r="AL268" s="146"/>
      <c r="AM268" s="211"/>
      <c r="AN268" s="211"/>
      <c r="AO268" s="211"/>
      <c r="AP268" s="436"/>
      <c r="AQ268" s="146"/>
      <c r="AR268" s="211"/>
      <c r="AS268" s="211"/>
      <c r="AT268" s="211"/>
      <c r="AU268" s="84"/>
      <c r="AV268" s="211"/>
      <c r="AW268" s="211"/>
      <c r="AX268" s="211"/>
      <c r="AY268" s="211"/>
      <c r="AZ268" s="84"/>
      <c r="BA268" s="211"/>
      <c r="BB268" s="211"/>
      <c r="BC268" s="211"/>
      <c r="BD268" s="211"/>
      <c r="BE268" s="84"/>
      <c r="BF268" s="211"/>
      <c r="BG268" s="451"/>
    </row>
    <row r="269" spans="1:59" ht="12.75">
      <c r="A269" s="211"/>
      <c r="B269" s="449"/>
      <c r="C269" s="450"/>
      <c r="D269" s="211"/>
      <c r="E269" s="211"/>
      <c r="F269" s="211"/>
      <c r="G269" s="84"/>
      <c r="H269" s="211"/>
      <c r="I269" s="211"/>
      <c r="J269" s="211"/>
      <c r="K269" s="211"/>
      <c r="L269" s="84"/>
      <c r="M269" s="211"/>
      <c r="N269" s="211"/>
      <c r="O269" s="211"/>
      <c r="P269" s="211"/>
      <c r="Q269" s="84"/>
      <c r="R269" s="211"/>
      <c r="S269" s="211"/>
      <c r="T269" s="211"/>
      <c r="U269" s="211"/>
      <c r="V269" s="84"/>
      <c r="W269" s="211"/>
      <c r="X269" s="211"/>
      <c r="Y269" s="211"/>
      <c r="Z269" s="211"/>
      <c r="AA269" s="84"/>
      <c r="AB269" s="146"/>
      <c r="AC269" s="211"/>
      <c r="AD269" s="211"/>
      <c r="AE269" s="211"/>
      <c r="AF269" s="84"/>
      <c r="AG269" s="146"/>
      <c r="AH269" s="211"/>
      <c r="AI269" s="211"/>
      <c r="AJ269" s="211"/>
      <c r="AK269" s="84"/>
      <c r="AL269" s="146"/>
      <c r="AM269" s="211"/>
      <c r="AN269" s="211"/>
      <c r="AO269" s="211"/>
      <c r="AP269" s="436"/>
      <c r="AQ269" s="146"/>
      <c r="AR269" s="211"/>
      <c r="AS269" s="211"/>
      <c r="AT269" s="211"/>
      <c r="AU269" s="84"/>
      <c r="AV269" s="211"/>
      <c r="AW269" s="211"/>
      <c r="AX269" s="211"/>
      <c r="AY269" s="211"/>
      <c r="AZ269" s="84"/>
      <c r="BA269" s="211"/>
      <c r="BB269" s="211"/>
      <c r="BC269" s="211"/>
      <c r="BD269" s="211"/>
      <c r="BE269" s="84"/>
      <c r="BF269" s="211"/>
      <c r="BG269" s="451"/>
    </row>
    <row r="270" spans="1:59" ht="12.75">
      <c r="A270" s="211"/>
      <c r="B270" s="449"/>
      <c r="C270" s="450"/>
      <c r="D270" s="211"/>
      <c r="E270" s="211"/>
      <c r="F270" s="211"/>
      <c r="G270" s="84"/>
      <c r="H270" s="211"/>
      <c r="I270" s="211"/>
      <c r="J270" s="211"/>
      <c r="K270" s="211"/>
      <c r="L270" s="84"/>
      <c r="M270" s="211"/>
      <c r="N270" s="211"/>
      <c r="O270" s="211"/>
      <c r="P270" s="211"/>
      <c r="Q270" s="84"/>
      <c r="R270" s="211"/>
      <c r="S270" s="211"/>
      <c r="T270" s="211"/>
      <c r="U270" s="211"/>
      <c r="V270" s="84"/>
      <c r="W270" s="211"/>
      <c r="X270" s="211"/>
      <c r="Y270" s="211"/>
      <c r="Z270" s="211"/>
      <c r="AA270" s="84"/>
      <c r="AB270" s="146"/>
      <c r="AC270" s="211"/>
      <c r="AD270" s="211"/>
      <c r="AE270" s="211"/>
      <c r="AF270" s="84"/>
      <c r="AG270" s="146"/>
      <c r="AH270" s="211"/>
      <c r="AI270" s="211"/>
      <c r="AJ270" s="211"/>
      <c r="AK270" s="84"/>
      <c r="AL270" s="146"/>
      <c r="AM270" s="211"/>
      <c r="AN270" s="211"/>
      <c r="AO270" s="211"/>
      <c r="AP270" s="436"/>
      <c r="AQ270" s="146"/>
      <c r="AR270" s="211"/>
      <c r="AS270" s="211"/>
      <c r="AT270" s="211"/>
      <c r="AU270" s="84"/>
      <c r="AV270" s="211"/>
      <c r="AW270" s="211"/>
      <c r="AX270" s="211"/>
      <c r="AY270" s="211"/>
      <c r="AZ270" s="84"/>
      <c r="BA270" s="211"/>
      <c r="BB270" s="211"/>
      <c r="BC270" s="211"/>
      <c r="BD270" s="211"/>
      <c r="BE270" s="84"/>
      <c r="BF270" s="211"/>
      <c r="BG270" s="451"/>
    </row>
    <row r="271" spans="1:59" ht="12.75">
      <c r="A271" s="211"/>
      <c r="B271" s="449"/>
      <c r="C271" s="450"/>
      <c r="D271" s="211"/>
      <c r="E271" s="211"/>
      <c r="F271" s="211"/>
      <c r="G271" s="84"/>
      <c r="H271" s="211"/>
      <c r="I271" s="211"/>
      <c r="J271" s="211"/>
      <c r="K271" s="211"/>
      <c r="L271" s="84"/>
      <c r="M271" s="211"/>
      <c r="N271" s="211"/>
      <c r="O271" s="211"/>
      <c r="P271" s="211"/>
      <c r="Q271" s="84"/>
      <c r="R271" s="211"/>
      <c r="S271" s="211"/>
      <c r="T271" s="211"/>
      <c r="U271" s="211"/>
      <c r="V271" s="84"/>
      <c r="W271" s="211"/>
      <c r="X271" s="211"/>
      <c r="Y271" s="211"/>
      <c r="Z271" s="211"/>
      <c r="AA271" s="84"/>
      <c r="AB271" s="146"/>
      <c r="AC271" s="211"/>
      <c r="AD271" s="211"/>
      <c r="AE271" s="211"/>
      <c r="AF271" s="84"/>
      <c r="AG271" s="146"/>
      <c r="AH271" s="211"/>
      <c r="AI271" s="211"/>
      <c r="AJ271" s="211"/>
      <c r="AK271" s="84"/>
      <c r="AL271" s="146"/>
      <c r="AM271" s="211"/>
      <c r="AN271" s="211"/>
      <c r="AO271" s="211"/>
      <c r="AP271" s="436"/>
      <c r="AQ271" s="146"/>
      <c r="AR271" s="211"/>
      <c r="AS271" s="211"/>
      <c r="AT271" s="211"/>
      <c r="AU271" s="84"/>
      <c r="AV271" s="211"/>
      <c r="AW271" s="211"/>
      <c r="AX271" s="211"/>
      <c r="AY271" s="211"/>
      <c r="AZ271" s="84"/>
      <c r="BA271" s="211"/>
      <c r="BB271" s="211"/>
      <c r="BC271" s="211"/>
      <c r="BD271" s="211"/>
      <c r="BE271" s="84"/>
      <c r="BF271" s="211"/>
      <c r="BG271" s="451"/>
    </row>
    <row r="272" spans="1:59" ht="12.75">
      <c r="A272" s="211"/>
      <c r="B272" s="449"/>
      <c r="C272" s="450"/>
      <c r="D272" s="211"/>
      <c r="E272" s="211"/>
      <c r="F272" s="211"/>
      <c r="G272" s="84"/>
      <c r="H272" s="211"/>
      <c r="I272" s="211"/>
      <c r="J272" s="211"/>
      <c r="K272" s="211"/>
      <c r="L272" s="84"/>
      <c r="M272" s="211"/>
      <c r="N272" s="211"/>
      <c r="O272" s="211"/>
      <c r="P272" s="211"/>
      <c r="Q272" s="84"/>
      <c r="R272" s="211"/>
      <c r="S272" s="211"/>
      <c r="T272" s="211"/>
      <c r="U272" s="211"/>
      <c r="V272" s="84"/>
      <c r="W272" s="211"/>
      <c r="X272" s="211"/>
      <c r="Y272" s="211"/>
      <c r="Z272" s="211"/>
      <c r="AA272" s="84"/>
      <c r="AB272" s="146"/>
      <c r="AC272" s="211"/>
      <c r="AD272" s="211"/>
      <c r="AE272" s="211"/>
      <c r="AF272" s="84"/>
      <c r="AG272" s="146"/>
      <c r="AH272" s="211"/>
      <c r="AI272" s="211"/>
      <c r="AJ272" s="211"/>
      <c r="AK272" s="84"/>
      <c r="AL272" s="146"/>
      <c r="AM272" s="211"/>
      <c r="AN272" s="211"/>
      <c r="AO272" s="211"/>
      <c r="AP272" s="436"/>
      <c r="AQ272" s="146"/>
      <c r="AR272" s="211"/>
      <c r="AS272" s="211"/>
      <c r="AT272" s="211"/>
      <c r="AU272" s="84"/>
      <c r="AV272" s="211"/>
      <c r="AW272" s="211"/>
      <c r="AX272" s="211"/>
      <c r="AY272" s="211"/>
      <c r="AZ272" s="84"/>
      <c r="BA272" s="211"/>
      <c r="BB272" s="211"/>
      <c r="BC272" s="211"/>
      <c r="BD272" s="211"/>
      <c r="BE272" s="84"/>
      <c r="BF272" s="211"/>
      <c r="BG272" s="451"/>
    </row>
    <row r="273" spans="1:59" ht="12.75">
      <c r="A273" s="211"/>
      <c r="B273" s="449"/>
      <c r="C273" s="450"/>
      <c r="D273" s="211"/>
      <c r="E273" s="211"/>
      <c r="F273" s="211"/>
      <c r="G273" s="84"/>
      <c r="H273" s="211"/>
      <c r="I273" s="211"/>
      <c r="J273" s="211"/>
      <c r="K273" s="211"/>
      <c r="L273" s="84"/>
      <c r="M273" s="211"/>
      <c r="N273" s="211"/>
      <c r="O273" s="211"/>
      <c r="P273" s="211"/>
      <c r="Q273" s="84"/>
      <c r="R273" s="211"/>
      <c r="S273" s="211"/>
      <c r="T273" s="211"/>
      <c r="U273" s="211"/>
      <c r="V273" s="84"/>
      <c r="W273" s="211"/>
      <c r="X273" s="211"/>
      <c r="Y273" s="211"/>
      <c r="Z273" s="211"/>
      <c r="AA273" s="84"/>
      <c r="AB273" s="146"/>
      <c r="AC273" s="211"/>
      <c r="AD273" s="211"/>
      <c r="AE273" s="211"/>
      <c r="AF273" s="84"/>
      <c r="AG273" s="146"/>
      <c r="AH273" s="211"/>
      <c r="AI273" s="211"/>
      <c r="AJ273" s="211"/>
      <c r="AK273" s="84"/>
      <c r="AL273" s="146"/>
      <c r="AM273" s="211"/>
      <c r="AN273" s="211"/>
      <c r="AO273" s="211"/>
      <c r="AP273" s="436"/>
      <c r="AQ273" s="146"/>
      <c r="AR273" s="211"/>
      <c r="AS273" s="211"/>
      <c r="AT273" s="211"/>
      <c r="AU273" s="84"/>
      <c r="AV273" s="211"/>
      <c r="AW273" s="211"/>
      <c r="AX273" s="211"/>
      <c r="AY273" s="211"/>
      <c r="AZ273" s="84"/>
      <c r="BA273" s="211"/>
      <c r="BB273" s="211"/>
      <c r="BC273" s="211"/>
      <c r="BD273" s="211"/>
      <c r="BE273" s="84"/>
      <c r="BF273" s="211"/>
      <c r="BG273" s="451"/>
    </row>
    <row r="274" spans="1:59" ht="12.75">
      <c r="A274" s="211"/>
      <c r="B274" s="449"/>
      <c r="C274" s="450"/>
      <c r="D274" s="211"/>
      <c r="E274" s="211"/>
      <c r="F274" s="211"/>
      <c r="G274" s="84"/>
      <c r="H274" s="211"/>
      <c r="I274" s="211"/>
      <c r="J274" s="211"/>
      <c r="K274" s="211"/>
      <c r="L274" s="84"/>
      <c r="M274" s="211"/>
      <c r="N274" s="211"/>
      <c r="O274" s="211"/>
      <c r="P274" s="211"/>
      <c r="Q274" s="84"/>
      <c r="R274" s="211"/>
      <c r="S274" s="211"/>
      <c r="T274" s="211"/>
      <c r="U274" s="211"/>
      <c r="V274" s="84"/>
      <c r="W274" s="211"/>
      <c r="X274" s="211"/>
      <c r="Y274" s="211"/>
      <c r="Z274" s="211"/>
      <c r="AA274" s="84"/>
      <c r="AB274" s="146"/>
      <c r="AC274" s="211"/>
      <c r="AD274" s="211"/>
      <c r="AE274" s="211"/>
      <c r="AF274" s="84"/>
      <c r="AG274" s="146"/>
      <c r="AH274" s="211"/>
      <c r="AI274" s="211"/>
      <c r="AJ274" s="211"/>
      <c r="AK274" s="84"/>
      <c r="AL274" s="146"/>
      <c r="AM274" s="211"/>
      <c r="AN274" s="211"/>
      <c r="AO274" s="211"/>
      <c r="AP274" s="436"/>
      <c r="AQ274" s="146"/>
      <c r="AR274" s="211"/>
      <c r="AS274" s="211"/>
      <c r="AT274" s="211"/>
      <c r="AU274" s="84"/>
      <c r="AV274" s="211"/>
      <c r="AW274" s="211"/>
      <c r="AX274" s="211"/>
      <c r="AY274" s="211"/>
      <c r="AZ274" s="84"/>
      <c r="BA274" s="211"/>
      <c r="BB274" s="211"/>
      <c r="BC274" s="211"/>
      <c r="BD274" s="211"/>
      <c r="BE274" s="84"/>
      <c r="BF274" s="211"/>
      <c r="BG274" s="451"/>
    </row>
    <row r="275" spans="1:59" ht="12.75">
      <c r="A275" s="211"/>
      <c r="B275" s="449"/>
      <c r="C275" s="450"/>
      <c r="D275" s="211"/>
      <c r="E275" s="211"/>
      <c r="F275" s="211"/>
      <c r="G275" s="84"/>
      <c r="H275" s="211"/>
      <c r="I275" s="211"/>
      <c r="J275" s="211"/>
      <c r="K275" s="211"/>
      <c r="L275" s="84"/>
      <c r="M275" s="211"/>
      <c r="N275" s="211"/>
      <c r="O275" s="211"/>
      <c r="P275" s="211"/>
      <c r="Q275" s="84"/>
      <c r="R275" s="211"/>
      <c r="S275" s="211"/>
      <c r="T275" s="211"/>
      <c r="U275" s="211"/>
      <c r="V275" s="84"/>
      <c r="W275" s="211"/>
      <c r="X275" s="211"/>
      <c r="Y275" s="211"/>
      <c r="Z275" s="211"/>
      <c r="AA275" s="84"/>
      <c r="AB275" s="146"/>
      <c r="AC275" s="211"/>
      <c r="AD275" s="211"/>
      <c r="AE275" s="211"/>
      <c r="AF275" s="84"/>
      <c r="AG275" s="146"/>
      <c r="AH275" s="211"/>
      <c r="AI275" s="211"/>
      <c r="AJ275" s="211"/>
      <c r="AK275" s="84"/>
      <c r="AL275" s="146"/>
      <c r="AM275" s="211"/>
      <c r="AN275" s="211"/>
      <c r="AO275" s="211"/>
      <c r="AP275" s="436"/>
      <c r="AQ275" s="146"/>
      <c r="AR275" s="211"/>
      <c r="AS275" s="211"/>
      <c r="AT275" s="211"/>
      <c r="AU275" s="84"/>
      <c r="AV275" s="211"/>
      <c r="AW275" s="211"/>
      <c r="AX275" s="211"/>
      <c r="AY275" s="211"/>
      <c r="AZ275" s="84"/>
      <c r="BA275" s="211"/>
      <c r="BB275" s="211"/>
      <c r="BC275" s="211"/>
      <c r="BD275" s="211"/>
      <c r="BE275" s="84"/>
      <c r="BF275" s="211"/>
      <c r="BG275" s="451"/>
    </row>
    <row r="276" spans="1:59" ht="12.75">
      <c r="A276" s="211"/>
      <c r="B276" s="449"/>
      <c r="C276" s="450"/>
      <c r="D276" s="211"/>
      <c r="E276" s="211"/>
      <c r="F276" s="211"/>
      <c r="G276" s="84"/>
      <c r="H276" s="211"/>
      <c r="I276" s="211"/>
      <c r="J276" s="211"/>
      <c r="K276" s="211"/>
      <c r="L276" s="84"/>
      <c r="M276" s="211"/>
      <c r="N276" s="211"/>
      <c r="O276" s="211"/>
      <c r="P276" s="211"/>
      <c r="Q276" s="84"/>
      <c r="R276" s="211"/>
      <c r="S276" s="211"/>
      <c r="T276" s="211"/>
      <c r="U276" s="211"/>
      <c r="V276" s="84"/>
      <c r="W276" s="211"/>
      <c r="X276" s="211"/>
      <c r="Y276" s="211"/>
      <c r="Z276" s="211"/>
      <c r="AA276" s="84"/>
      <c r="AB276" s="146"/>
      <c r="AC276" s="211"/>
      <c r="AD276" s="211"/>
      <c r="AE276" s="211"/>
      <c r="AF276" s="84"/>
      <c r="AG276" s="146"/>
      <c r="AH276" s="211"/>
      <c r="AI276" s="211"/>
      <c r="AJ276" s="211"/>
      <c r="AK276" s="84"/>
      <c r="AL276" s="146"/>
      <c r="AM276" s="211"/>
      <c r="AN276" s="211"/>
      <c r="AO276" s="211"/>
      <c r="AP276" s="436"/>
      <c r="AQ276" s="146"/>
      <c r="AR276" s="211"/>
      <c r="AS276" s="211"/>
      <c r="AT276" s="211"/>
      <c r="AU276" s="84"/>
      <c r="AV276" s="211"/>
      <c r="AW276" s="211"/>
      <c r="AX276" s="211"/>
      <c r="AY276" s="211"/>
      <c r="AZ276" s="84"/>
      <c r="BA276" s="211"/>
      <c r="BB276" s="211"/>
      <c r="BC276" s="211"/>
      <c r="BD276" s="211"/>
      <c r="BE276" s="84"/>
      <c r="BF276" s="211"/>
      <c r="BG276" s="451"/>
    </row>
    <row r="277" spans="1:59" ht="12.75">
      <c r="A277" s="211"/>
      <c r="B277" s="449"/>
      <c r="C277" s="450"/>
      <c r="D277" s="211"/>
      <c r="E277" s="211"/>
      <c r="F277" s="211"/>
      <c r="G277" s="84"/>
      <c r="H277" s="211"/>
      <c r="I277" s="211"/>
      <c r="J277" s="211"/>
      <c r="K277" s="211"/>
      <c r="L277" s="84"/>
      <c r="M277" s="211"/>
      <c r="N277" s="211"/>
      <c r="O277" s="211"/>
      <c r="P277" s="211"/>
      <c r="Q277" s="84"/>
      <c r="R277" s="211"/>
      <c r="S277" s="211"/>
      <c r="T277" s="211"/>
      <c r="U277" s="211"/>
      <c r="V277" s="84"/>
      <c r="W277" s="211"/>
      <c r="X277" s="211"/>
      <c r="Y277" s="211"/>
      <c r="Z277" s="211"/>
      <c r="AA277" s="84"/>
      <c r="AB277" s="146"/>
      <c r="AC277" s="211"/>
      <c r="AD277" s="211"/>
      <c r="AE277" s="211"/>
      <c r="AF277" s="84"/>
      <c r="AG277" s="146"/>
      <c r="AH277" s="211"/>
      <c r="AI277" s="211"/>
      <c r="AJ277" s="211"/>
      <c r="AK277" s="84"/>
      <c r="AL277" s="146"/>
      <c r="AM277" s="211"/>
      <c r="AN277" s="211"/>
      <c r="AO277" s="211"/>
      <c r="AP277" s="436"/>
      <c r="AQ277" s="146"/>
      <c r="AR277" s="211"/>
      <c r="AS277" s="211"/>
      <c r="AT277" s="211"/>
      <c r="AU277" s="84"/>
      <c r="AV277" s="211"/>
      <c r="AW277" s="211"/>
      <c r="AX277" s="211"/>
      <c r="AY277" s="211"/>
      <c r="AZ277" s="84"/>
      <c r="BA277" s="211"/>
      <c r="BB277" s="211"/>
      <c r="BC277" s="211"/>
      <c r="BD277" s="211"/>
      <c r="BE277" s="84"/>
      <c r="BF277" s="211"/>
      <c r="BG277" s="451"/>
    </row>
    <row r="278" spans="1:59" ht="12.75">
      <c r="A278" s="211"/>
      <c r="B278" s="449"/>
      <c r="C278" s="450"/>
      <c r="D278" s="211"/>
      <c r="E278" s="211"/>
      <c r="F278" s="211"/>
      <c r="G278" s="84"/>
      <c r="H278" s="211"/>
      <c r="I278" s="211"/>
      <c r="J278" s="211"/>
      <c r="K278" s="211"/>
      <c r="L278" s="84"/>
      <c r="M278" s="211"/>
      <c r="N278" s="211"/>
      <c r="O278" s="211"/>
      <c r="P278" s="211"/>
      <c r="Q278" s="84"/>
      <c r="R278" s="211"/>
      <c r="S278" s="211"/>
      <c r="T278" s="211"/>
      <c r="U278" s="211"/>
      <c r="V278" s="84"/>
      <c r="W278" s="211"/>
      <c r="X278" s="211"/>
      <c r="Y278" s="211"/>
      <c r="Z278" s="211"/>
      <c r="AA278" s="84"/>
      <c r="AB278" s="146"/>
      <c r="AC278" s="211"/>
      <c r="AD278" s="211"/>
      <c r="AE278" s="211"/>
      <c r="AF278" s="84"/>
      <c r="AG278" s="146"/>
      <c r="AH278" s="211"/>
      <c r="AI278" s="211"/>
      <c r="AJ278" s="211"/>
      <c r="AK278" s="84"/>
      <c r="AL278" s="146"/>
      <c r="AM278" s="211"/>
      <c r="AN278" s="211"/>
      <c r="AO278" s="211"/>
      <c r="AP278" s="436"/>
      <c r="AQ278" s="146"/>
      <c r="AR278" s="211"/>
      <c r="AS278" s="211"/>
      <c r="AT278" s="211"/>
      <c r="AU278" s="84"/>
      <c r="AV278" s="211"/>
      <c r="AW278" s="211"/>
      <c r="AX278" s="211"/>
      <c r="AY278" s="211"/>
      <c r="AZ278" s="84"/>
      <c r="BA278" s="211"/>
      <c r="BB278" s="211"/>
      <c r="BC278" s="211"/>
      <c r="BD278" s="211"/>
      <c r="BE278" s="84"/>
      <c r="BF278" s="211"/>
      <c r="BG278" s="451"/>
    </row>
    <row r="279" spans="1:59" ht="12.75">
      <c r="A279" s="211"/>
      <c r="B279" s="449"/>
      <c r="C279" s="450"/>
      <c r="D279" s="211"/>
      <c r="E279" s="211"/>
      <c r="F279" s="211"/>
      <c r="G279" s="84"/>
      <c r="H279" s="211"/>
      <c r="I279" s="211"/>
      <c r="J279" s="211"/>
      <c r="K279" s="211"/>
      <c r="L279" s="84"/>
      <c r="M279" s="211"/>
      <c r="N279" s="211"/>
      <c r="O279" s="211"/>
      <c r="P279" s="211"/>
      <c r="Q279" s="84"/>
      <c r="R279" s="211"/>
      <c r="S279" s="211"/>
      <c r="T279" s="211"/>
      <c r="U279" s="211"/>
      <c r="V279" s="84"/>
      <c r="W279" s="211"/>
      <c r="X279" s="211"/>
      <c r="Y279" s="211"/>
      <c r="Z279" s="211"/>
      <c r="AA279" s="84"/>
      <c r="AB279" s="146"/>
      <c r="AC279" s="211"/>
      <c r="AD279" s="211"/>
      <c r="AE279" s="211"/>
      <c r="AF279" s="84"/>
      <c r="AG279" s="146"/>
      <c r="AH279" s="211"/>
      <c r="AI279" s="211"/>
      <c r="AJ279" s="211"/>
      <c r="AK279" s="84"/>
      <c r="AL279" s="146"/>
      <c r="AM279" s="211"/>
      <c r="AN279" s="211"/>
      <c r="AO279" s="211"/>
      <c r="AP279" s="436"/>
      <c r="AQ279" s="146"/>
      <c r="AR279" s="211"/>
      <c r="AS279" s="211"/>
      <c r="AT279" s="211"/>
      <c r="AU279" s="84"/>
      <c r="AV279" s="211"/>
      <c r="AW279" s="211"/>
      <c r="AX279" s="211"/>
      <c r="AY279" s="211"/>
      <c r="AZ279" s="84"/>
      <c r="BA279" s="211"/>
      <c r="BB279" s="211"/>
      <c r="BC279" s="211"/>
      <c r="BD279" s="211"/>
      <c r="BE279" s="84"/>
      <c r="BF279" s="211"/>
      <c r="BG279" s="451"/>
    </row>
    <row r="280" spans="1:59" ht="12.75">
      <c r="A280" s="211"/>
      <c r="B280" s="449"/>
      <c r="C280" s="450"/>
      <c r="D280" s="211"/>
      <c r="E280" s="211"/>
      <c r="F280" s="211"/>
      <c r="G280" s="84"/>
      <c r="H280" s="211"/>
      <c r="I280" s="211"/>
      <c r="J280" s="211"/>
      <c r="K280" s="211"/>
      <c r="L280" s="84"/>
      <c r="M280" s="211"/>
      <c r="N280" s="211"/>
      <c r="O280" s="211"/>
      <c r="P280" s="211"/>
      <c r="Q280" s="84"/>
      <c r="R280" s="211"/>
      <c r="S280" s="211"/>
      <c r="T280" s="211"/>
      <c r="U280" s="211"/>
      <c r="V280" s="84"/>
      <c r="W280" s="211"/>
      <c r="X280" s="211"/>
      <c r="Y280" s="211"/>
      <c r="Z280" s="211"/>
      <c r="AA280" s="84"/>
      <c r="AB280" s="146"/>
      <c r="AC280" s="211"/>
      <c r="AD280" s="211"/>
      <c r="AE280" s="211"/>
      <c r="AF280" s="84"/>
      <c r="AG280" s="146"/>
      <c r="AH280" s="211"/>
      <c r="AI280" s="211"/>
      <c r="AJ280" s="211"/>
      <c r="AK280" s="84"/>
      <c r="AL280" s="146"/>
      <c r="AM280" s="211"/>
      <c r="AN280" s="211"/>
      <c r="AO280" s="211"/>
      <c r="AP280" s="436"/>
      <c r="AQ280" s="146"/>
      <c r="AR280" s="211"/>
      <c r="AS280" s="211"/>
      <c r="AT280" s="211"/>
      <c r="AU280" s="84"/>
      <c r="AV280" s="211"/>
      <c r="AW280" s="211"/>
      <c r="AX280" s="211"/>
      <c r="AY280" s="211"/>
      <c r="AZ280" s="84"/>
      <c r="BA280" s="211"/>
      <c r="BB280" s="211"/>
      <c r="BC280" s="211"/>
      <c r="BD280" s="211"/>
      <c r="BE280" s="84"/>
      <c r="BF280" s="211"/>
      <c r="BG280" s="451"/>
    </row>
    <row r="281" spans="1:59" ht="12.75">
      <c r="A281" s="211"/>
      <c r="B281" s="449"/>
      <c r="C281" s="450"/>
      <c r="D281" s="211"/>
      <c r="E281" s="211"/>
      <c r="F281" s="211"/>
      <c r="G281" s="84"/>
      <c r="H281" s="211"/>
      <c r="I281" s="211"/>
      <c r="J281" s="211"/>
      <c r="K281" s="211"/>
      <c r="L281" s="84"/>
      <c r="M281" s="211"/>
      <c r="N281" s="211"/>
      <c r="O281" s="211"/>
      <c r="P281" s="211"/>
      <c r="Q281" s="84"/>
      <c r="R281" s="211"/>
      <c r="S281" s="211"/>
      <c r="T281" s="211"/>
      <c r="U281" s="211"/>
      <c r="V281" s="84"/>
      <c r="W281" s="211"/>
      <c r="X281" s="211"/>
      <c r="Y281" s="211"/>
      <c r="Z281" s="211"/>
      <c r="AA281" s="84"/>
      <c r="AB281" s="146"/>
      <c r="AC281" s="211"/>
      <c r="AD281" s="211"/>
      <c r="AE281" s="211"/>
      <c r="AF281" s="84"/>
      <c r="AG281" s="146"/>
      <c r="AH281" s="211"/>
      <c r="AI281" s="211"/>
      <c r="AJ281" s="211"/>
      <c r="AK281" s="84"/>
      <c r="AL281" s="146"/>
      <c r="AM281" s="211"/>
      <c r="AN281" s="211"/>
      <c r="AO281" s="211"/>
      <c r="AP281" s="436"/>
      <c r="AQ281" s="146"/>
      <c r="AR281" s="211"/>
      <c r="AS281" s="211"/>
      <c r="AT281" s="211"/>
      <c r="AU281" s="84"/>
      <c r="AV281" s="211"/>
      <c r="AW281" s="211"/>
      <c r="AX281" s="211"/>
      <c r="AY281" s="211"/>
      <c r="AZ281" s="84"/>
      <c r="BA281" s="211"/>
      <c r="BB281" s="211"/>
      <c r="BC281" s="211"/>
      <c r="BD281" s="211"/>
      <c r="BE281" s="84"/>
      <c r="BF281" s="211"/>
      <c r="BG281" s="451"/>
    </row>
    <row r="282" spans="1:59" ht="12.75">
      <c r="A282" s="211"/>
      <c r="B282" s="449"/>
      <c r="C282" s="450"/>
      <c r="D282" s="211"/>
      <c r="E282" s="211"/>
      <c r="F282" s="211"/>
      <c r="G282" s="84"/>
      <c r="H282" s="211"/>
      <c r="I282" s="211"/>
      <c r="J282" s="211"/>
      <c r="K282" s="211"/>
      <c r="L282" s="84"/>
      <c r="M282" s="211"/>
      <c r="N282" s="211"/>
      <c r="O282" s="211"/>
      <c r="P282" s="211"/>
      <c r="Q282" s="84"/>
      <c r="R282" s="211"/>
      <c r="S282" s="211"/>
      <c r="T282" s="211"/>
      <c r="U282" s="211"/>
      <c r="V282" s="84"/>
      <c r="W282" s="211"/>
      <c r="X282" s="211"/>
      <c r="Y282" s="211"/>
      <c r="Z282" s="211"/>
      <c r="AA282" s="84"/>
      <c r="AB282" s="146"/>
      <c r="AC282" s="211"/>
      <c r="AD282" s="211"/>
      <c r="AE282" s="211"/>
      <c r="AF282" s="84"/>
      <c r="AG282" s="146"/>
      <c r="AH282" s="211"/>
      <c r="AI282" s="211"/>
      <c r="AJ282" s="211"/>
      <c r="AK282" s="84"/>
      <c r="AL282" s="146"/>
      <c r="AM282" s="211"/>
      <c r="AN282" s="211"/>
      <c r="AO282" s="211"/>
      <c r="AP282" s="436"/>
      <c r="AQ282" s="146"/>
      <c r="AR282" s="211"/>
      <c r="AS282" s="211"/>
      <c r="AT282" s="211"/>
      <c r="AU282" s="84"/>
      <c r="AV282" s="211"/>
      <c r="AW282" s="211"/>
      <c r="AX282" s="211"/>
      <c r="AY282" s="211"/>
      <c r="AZ282" s="84"/>
      <c r="BA282" s="211"/>
      <c r="BB282" s="211"/>
      <c r="BC282" s="211"/>
      <c r="BD282" s="211"/>
      <c r="BE282" s="84"/>
      <c r="BF282" s="211"/>
      <c r="BG282" s="451"/>
    </row>
    <row r="283" spans="1:59" ht="12.75">
      <c r="A283" s="211"/>
      <c r="B283" s="449"/>
      <c r="C283" s="450"/>
      <c r="D283" s="211"/>
      <c r="E283" s="211"/>
      <c r="F283" s="211"/>
      <c r="G283" s="84"/>
      <c r="H283" s="211"/>
      <c r="I283" s="211"/>
      <c r="J283" s="211"/>
      <c r="K283" s="211"/>
      <c r="L283" s="84"/>
      <c r="M283" s="211"/>
      <c r="N283" s="211"/>
      <c r="O283" s="211"/>
      <c r="P283" s="211"/>
      <c r="Q283" s="84"/>
      <c r="R283" s="211"/>
      <c r="S283" s="211"/>
      <c r="T283" s="211"/>
      <c r="U283" s="211"/>
      <c r="V283" s="84"/>
      <c r="W283" s="211"/>
      <c r="X283" s="211"/>
      <c r="Y283" s="211"/>
      <c r="Z283" s="211"/>
      <c r="AA283" s="84"/>
      <c r="AB283" s="146"/>
      <c r="AC283" s="211"/>
      <c r="AD283" s="211"/>
      <c r="AE283" s="211"/>
      <c r="AF283" s="84"/>
      <c r="AG283" s="146"/>
      <c r="AH283" s="211"/>
      <c r="AI283" s="211"/>
      <c r="AJ283" s="211"/>
      <c r="AK283" s="84"/>
      <c r="AL283" s="146"/>
      <c r="AM283" s="211"/>
      <c r="AN283" s="211"/>
      <c r="AO283" s="211"/>
      <c r="AP283" s="436"/>
      <c r="AQ283" s="146"/>
      <c r="AR283" s="211"/>
      <c r="AS283" s="211"/>
      <c r="AT283" s="211"/>
      <c r="AU283" s="84"/>
      <c r="AV283" s="211"/>
      <c r="AW283" s="211"/>
      <c r="AX283" s="211"/>
      <c r="AY283" s="211"/>
      <c r="AZ283" s="84"/>
      <c r="BA283" s="211"/>
      <c r="BB283" s="211"/>
      <c r="BC283" s="211"/>
      <c r="BD283" s="211"/>
      <c r="BE283" s="84"/>
      <c r="BF283" s="211"/>
      <c r="BG283" s="451"/>
    </row>
    <row r="284" spans="1:59" ht="12.75">
      <c r="A284" s="211"/>
      <c r="B284" s="449"/>
      <c r="C284" s="450"/>
      <c r="D284" s="211"/>
      <c r="E284" s="211"/>
      <c r="F284" s="211"/>
      <c r="G284" s="84"/>
      <c r="H284" s="211"/>
      <c r="I284" s="211"/>
      <c r="J284" s="211"/>
      <c r="K284" s="211"/>
      <c r="L284" s="84"/>
      <c r="M284" s="211"/>
      <c r="N284" s="211"/>
      <c r="O284" s="211"/>
      <c r="P284" s="211"/>
      <c r="Q284" s="84"/>
      <c r="R284" s="211"/>
      <c r="S284" s="211"/>
      <c r="T284" s="211"/>
      <c r="U284" s="211"/>
      <c r="V284" s="84"/>
      <c r="W284" s="211"/>
      <c r="X284" s="211"/>
      <c r="Y284" s="211"/>
      <c r="Z284" s="211"/>
      <c r="AA284" s="84"/>
      <c r="AB284" s="146"/>
      <c r="AC284" s="211"/>
      <c r="AD284" s="211"/>
      <c r="AE284" s="211"/>
      <c r="AF284" s="84"/>
      <c r="AG284" s="146"/>
      <c r="AH284" s="211"/>
      <c r="AI284" s="211"/>
      <c r="AJ284" s="211"/>
      <c r="AK284" s="84"/>
      <c r="AL284" s="146"/>
      <c r="AM284" s="211"/>
      <c r="AN284" s="211"/>
      <c r="AO284" s="211"/>
      <c r="AP284" s="436"/>
      <c r="AQ284" s="146"/>
      <c r="AR284" s="211"/>
      <c r="AS284" s="211"/>
      <c r="AT284" s="211"/>
      <c r="AU284" s="84"/>
      <c r="AV284" s="211"/>
      <c r="AW284" s="211"/>
      <c r="AX284" s="211"/>
      <c r="AY284" s="211"/>
      <c r="AZ284" s="84"/>
      <c r="BA284" s="211"/>
      <c r="BB284" s="211"/>
      <c r="BC284" s="211"/>
      <c r="BD284" s="211"/>
      <c r="BE284" s="84"/>
      <c r="BF284" s="211"/>
      <c r="BG284" s="451"/>
    </row>
    <row r="285" spans="1:59" ht="12.75">
      <c r="A285" s="211"/>
      <c r="B285" s="449"/>
      <c r="C285" s="450"/>
      <c r="D285" s="211"/>
      <c r="E285" s="211"/>
      <c r="F285" s="211"/>
      <c r="G285" s="84"/>
      <c r="H285" s="211"/>
      <c r="I285" s="211"/>
      <c r="J285" s="211"/>
      <c r="K285" s="211"/>
      <c r="L285" s="84"/>
      <c r="M285" s="211"/>
      <c r="N285" s="211"/>
      <c r="O285" s="211"/>
      <c r="P285" s="211"/>
      <c r="Q285" s="84"/>
      <c r="R285" s="211"/>
      <c r="S285" s="211"/>
      <c r="T285" s="211"/>
      <c r="U285" s="211"/>
      <c r="V285" s="84"/>
      <c r="W285" s="211"/>
      <c r="X285" s="211"/>
      <c r="Y285" s="211"/>
      <c r="Z285" s="211"/>
      <c r="AA285" s="84"/>
      <c r="AB285" s="146"/>
      <c r="AC285" s="211"/>
      <c r="AD285" s="211"/>
      <c r="AE285" s="211"/>
      <c r="AF285" s="84"/>
      <c r="AG285" s="146"/>
      <c r="AH285" s="211"/>
      <c r="AI285" s="211"/>
      <c r="AJ285" s="211"/>
      <c r="AK285" s="84"/>
      <c r="AL285" s="146"/>
      <c r="AM285" s="211"/>
      <c r="AN285" s="211"/>
      <c r="AO285" s="211"/>
      <c r="AP285" s="436"/>
      <c r="AQ285" s="146"/>
      <c r="AR285" s="211"/>
      <c r="AS285" s="211"/>
      <c r="AT285" s="211"/>
      <c r="AU285" s="84"/>
      <c r="AV285" s="211"/>
      <c r="AW285" s="211"/>
      <c r="AX285" s="211"/>
      <c r="AY285" s="211"/>
      <c r="AZ285" s="84"/>
      <c r="BA285" s="211"/>
      <c r="BB285" s="211"/>
      <c r="BC285" s="211"/>
      <c r="BD285" s="211"/>
      <c r="BE285" s="84"/>
      <c r="BF285" s="211"/>
      <c r="BG285" s="451"/>
    </row>
    <row r="286" spans="1:59" ht="12.75">
      <c r="A286" s="211"/>
      <c r="B286" s="449"/>
      <c r="C286" s="450"/>
      <c r="D286" s="211"/>
      <c r="E286" s="211"/>
      <c r="F286" s="211"/>
      <c r="G286" s="84"/>
      <c r="H286" s="211"/>
      <c r="I286" s="211"/>
      <c r="J286" s="211"/>
      <c r="K286" s="211"/>
      <c r="L286" s="84"/>
      <c r="M286" s="211"/>
      <c r="N286" s="211"/>
      <c r="O286" s="211"/>
      <c r="P286" s="211"/>
      <c r="Q286" s="84"/>
      <c r="R286" s="211"/>
      <c r="S286" s="211"/>
      <c r="T286" s="211"/>
      <c r="U286" s="211"/>
      <c r="V286" s="84"/>
      <c r="W286" s="211"/>
      <c r="X286" s="211"/>
      <c r="Y286" s="211"/>
      <c r="Z286" s="211"/>
      <c r="AA286" s="84"/>
      <c r="AB286" s="146"/>
      <c r="AC286" s="211"/>
      <c r="AD286" s="211"/>
      <c r="AE286" s="211"/>
      <c r="AF286" s="84"/>
      <c r="AG286" s="146"/>
      <c r="AH286" s="211"/>
      <c r="AI286" s="211"/>
      <c r="AJ286" s="211"/>
      <c r="AK286" s="84"/>
      <c r="AL286" s="146"/>
      <c r="AM286" s="211"/>
      <c r="AN286" s="211"/>
      <c r="AO286" s="211"/>
      <c r="AP286" s="436"/>
      <c r="AQ286" s="146"/>
      <c r="AR286" s="211"/>
      <c r="AS286" s="211"/>
      <c r="AT286" s="211"/>
      <c r="AU286" s="84"/>
      <c r="AV286" s="211"/>
      <c r="AW286" s="211"/>
      <c r="AX286" s="211"/>
      <c r="AY286" s="211"/>
      <c r="AZ286" s="84"/>
      <c r="BA286" s="211"/>
      <c r="BB286" s="211"/>
      <c r="BC286" s="211"/>
      <c r="BD286" s="211"/>
      <c r="BE286" s="84"/>
      <c r="BF286" s="211"/>
      <c r="BG286" s="451"/>
    </row>
    <row r="287" spans="1:59" ht="12.75">
      <c r="A287" s="211"/>
      <c r="B287" s="449"/>
      <c r="C287" s="450"/>
      <c r="D287" s="211"/>
      <c r="E287" s="211"/>
      <c r="F287" s="211"/>
      <c r="G287" s="84"/>
      <c r="H287" s="211"/>
      <c r="I287" s="211"/>
      <c r="J287" s="211"/>
      <c r="K287" s="211"/>
      <c r="L287" s="84"/>
      <c r="M287" s="211"/>
      <c r="N287" s="211"/>
      <c r="O287" s="211"/>
      <c r="P287" s="211"/>
      <c r="Q287" s="84"/>
      <c r="R287" s="211"/>
      <c r="S287" s="211"/>
      <c r="T287" s="211"/>
      <c r="U287" s="211"/>
      <c r="V287" s="84"/>
      <c r="W287" s="211"/>
      <c r="X287" s="211"/>
      <c r="Y287" s="211"/>
      <c r="Z287" s="211"/>
      <c r="AA287" s="84"/>
      <c r="AB287" s="146"/>
      <c r="AC287" s="211"/>
      <c r="AD287" s="211"/>
      <c r="AE287" s="211"/>
      <c r="AF287" s="84"/>
      <c r="AG287" s="146"/>
      <c r="AH287" s="211"/>
      <c r="AI287" s="211"/>
      <c r="AJ287" s="211"/>
      <c r="AK287" s="84"/>
      <c r="AL287" s="146"/>
      <c r="AM287" s="211"/>
      <c r="AN287" s="211"/>
      <c r="AO287" s="211"/>
      <c r="AP287" s="436"/>
      <c r="AQ287" s="146"/>
      <c r="AR287" s="211"/>
      <c r="AS287" s="211"/>
      <c r="AT287" s="211"/>
      <c r="AU287" s="84"/>
      <c r="AV287" s="211"/>
      <c r="AW287" s="211"/>
      <c r="AX287" s="211"/>
      <c r="AY287" s="211"/>
      <c r="AZ287" s="84"/>
      <c r="BA287" s="211"/>
      <c r="BB287" s="211"/>
      <c r="BC287" s="211"/>
      <c r="BD287" s="211"/>
      <c r="BE287" s="84"/>
      <c r="BF287" s="211"/>
      <c r="BG287" s="451"/>
    </row>
    <row r="288" spans="1:59" ht="12.75">
      <c r="A288" s="211"/>
      <c r="B288" s="449"/>
      <c r="C288" s="450"/>
      <c r="D288" s="211"/>
      <c r="E288" s="211"/>
      <c r="F288" s="211"/>
      <c r="G288" s="84"/>
      <c r="H288" s="211"/>
      <c r="I288" s="211"/>
      <c r="J288" s="211"/>
      <c r="K288" s="211"/>
      <c r="L288" s="84"/>
      <c r="M288" s="211"/>
      <c r="N288" s="211"/>
      <c r="O288" s="211"/>
      <c r="P288" s="211"/>
      <c r="Q288" s="84"/>
      <c r="R288" s="211"/>
      <c r="S288" s="211"/>
      <c r="T288" s="211"/>
      <c r="U288" s="211"/>
      <c r="V288" s="84"/>
      <c r="W288" s="211"/>
      <c r="X288" s="211"/>
      <c r="Y288" s="211"/>
      <c r="Z288" s="211"/>
      <c r="AA288" s="84"/>
      <c r="AB288" s="146"/>
      <c r="AC288" s="211"/>
      <c r="AD288" s="211"/>
      <c r="AE288" s="211"/>
      <c r="AF288" s="84"/>
      <c r="AG288" s="146"/>
      <c r="AH288" s="211"/>
      <c r="AI288" s="211"/>
      <c r="AJ288" s="211"/>
      <c r="AK288" s="84"/>
      <c r="AL288" s="146"/>
      <c r="AM288" s="211"/>
      <c r="AN288" s="211"/>
      <c r="AO288" s="211"/>
      <c r="AP288" s="436"/>
      <c r="AQ288" s="146"/>
      <c r="AR288" s="211"/>
      <c r="AS288" s="211"/>
      <c r="AT288" s="211"/>
      <c r="AU288" s="84"/>
      <c r="AV288" s="211"/>
      <c r="AW288" s="211"/>
      <c r="AX288" s="211"/>
      <c r="AY288" s="211"/>
      <c r="AZ288" s="84"/>
      <c r="BA288" s="211"/>
      <c r="BB288" s="211"/>
      <c r="BC288" s="211"/>
      <c r="BD288" s="211"/>
      <c r="BE288" s="84"/>
      <c r="BF288" s="211"/>
      <c r="BG288" s="451"/>
    </row>
    <row r="289" spans="1:59" ht="12.75">
      <c r="A289" s="211"/>
      <c r="B289" s="449"/>
      <c r="C289" s="450"/>
      <c r="D289" s="211"/>
      <c r="E289" s="211"/>
      <c r="F289" s="211"/>
      <c r="G289" s="84"/>
      <c r="H289" s="211"/>
      <c r="I289" s="211"/>
      <c r="J289" s="211"/>
      <c r="K289" s="211"/>
      <c r="L289" s="84"/>
      <c r="M289" s="211"/>
      <c r="N289" s="211"/>
      <c r="O289" s="211"/>
      <c r="P289" s="211"/>
      <c r="Q289" s="84"/>
      <c r="R289" s="211"/>
      <c r="S289" s="211"/>
      <c r="T289" s="211"/>
      <c r="U289" s="211"/>
      <c r="V289" s="84"/>
      <c r="W289" s="211"/>
      <c r="X289" s="211"/>
      <c r="Y289" s="211"/>
      <c r="Z289" s="211"/>
      <c r="AA289" s="84"/>
      <c r="AB289" s="146"/>
      <c r="AC289" s="211"/>
      <c r="AD289" s="211"/>
      <c r="AE289" s="211"/>
      <c r="AF289" s="84"/>
      <c r="AG289" s="146"/>
      <c r="AH289" s="211"/>
      <c r="AI289" s="211"/>
      <c r="AJ289" s="211"/>
      <c r="AK289" s="84"/>
      <c r="AL289" s="146"/>
      <c r="AM289" s="211"/>
      <c r="AN289" s="211"/>
      <c r="AO289" s="211"/>
      <c r="AP289" s="436"/>
      <c r="AQ289" s="146"/>
      <c r="AR289" s="211"/>
      <c r="AS289" s="211"/>
      <c r="AT289" s="211"/>
      <c r="AU289" s="84"/>
      <c r="AV289" s="211"/>
      <c r="AW289" s="211"/>
      <c r="AX289" s="211"/>
      <c r="AY289" s="211"/>
      <c r="AZ289" s="84"/>
      <c r="BA289" s="211"/>
      <c r="BB289" s="211"/>
      <c r="BC289" s="211"/>
      <c r="BD289" s="211"/>
      <c r="BE289" s="84"/>
      <c r="BF289" s="211"/>
      <c r="BG289" s="451"/>
    </row>
    <row r="290" spans="1:59" ht="12.75">
      <c r="A290" s="211"/>
      <c r="B290" s="449"/>
      <c r="C290" s="450"/>
      <c r="D290" s="211"/>
      <c r="E290" s="211"/>
      <c r="F290" s="211"/>
      <c r="G290" s="84"/>
      <c r="H290" s="211"/>
      <c r="I290" s="211"/>
      <c r="J290" s="211"/>
      <c r="K290" s="211"/>
      <c r="L290" s="84"/>
      <c r="M290" s="211"/>
      <c r="N290" s="211"/>
      <c r="O290" s="211"/>
      <c r="P290" s="211"/>
      <c r="Q290" s="84"/>
      <c r="R290" s="211"/>
      <c r="S290" s="211"/>
      <c r="T290" s="211"/>
      <c r="U290" s="211"/>
      <c r="V290" s="84"/>
      <c r="W290" s="211"/>
      <c r="X290" s="211"/>
      <c r="Y290" s="211"/>
      <c r="Z290" s="211"/>
      <c r="AA290" s="84"/>
      <c r="AB290" s="146"/>
      <c r="AC290" s="211"/>
      <c r="AD290" s="211"/>
      <c r="AE290" s="211"/>
      <c r="AF290" s="84"/>
      <c r="AG290" s="146"/>
      <c r="AH290" s="211"/>
      <c r="AI290" s="211"/>
      <c r="AJ290" s="211"/>
      <c r="AK290" s="84"/>
      <c r="AL290" s="146"/>
      <c r="AM290" s="211"/>
      <c r="AN290" s="211"/>
      <c r="AO290" s="211"/>
      <c r="AP290" s="436"/>
      <c r="AQ290" s="146"/>
      <c r="AR290" s="211"/>
      <c r="AS290" s="211"/>
      <c r="AT290" s="211"/>
      <c r="AU290" s="84"/>
      <c r="AV290" s="211"/>
      <c r="AW290" s="211"/>
      <c r="AX290" s="211"/>
      <c r="AY290" s="211"/>
      <c r="AZ290" s="84"/>
      <c r="BA290" s="211"/>
      <c r="BB290" s="211"/>
      <c r="BC290" s="211"/>
      <c r="BD290" s="211"/>
      <c r="BE290" s="84"/>
      <c r="BF290" s="211"/>
      <c r="BG290" s="451"/>
    </row>
    <row r="291" spans="1:59" ht="12.75">
      <c r="A291" s="211"/>
      <c r="B291" s="449"/>
      <c r="C291" s="450"/>
      <c r="D291" s="211"/>
      <c r="E291" s="211"/>
      <c r="F291" s="211"/>
      <c r="G291" s="84"/>
      <c r="H291" s="211"/>
      <c r="I291" s="211"/>
      <c r="J291" s="211"/>
      <c r="K291" s="211"/>
      <c r="L291" s="84"/>
      <c r="M291" s="211"/>
      <c r="N291" s="211"/>
      <c r="O291" s="211"/>
      <c r="P291" s="211"/>
      <c r="Q291" s="84"/>
      <c r="R291" s="211"/>
      <c r="S291" s="211"/>
      <c r="T291" s="211"/>
      <c r="U291" s="211"/>
      <c r="V291" s="84"/>
      <c r="W291" s="211"/>
      <c r="X291" s="211"/>
      <c r="Y291" s="211"/>
      <c r="Z291" s="211"/>
      <c r="AA291" s="84"/>
      <c r="AB291" s="146"/>
      <c r="AC291" s="211"/>
      <c r="AD291" s="211"/>
      <c r="AE291" s="211"/>
      <c r="AF291" s="84"/>
      <c r="AG291" s="146"/>
      <c r="AH291" s="211"/>
      <c r="AI291" s="211"/>
      <c r="AJ291" s="211"/>
      <c r="AK291" s="84"/>
      <c r="AL291" s="146"/>
      <c r="AM291" s="211"/>
      <c r="AN291" s="211"/>
      <c r="AO291" s="211"/>
      <c r="AP291" s="436"/>
      <c r="AQ291" s="146"/>
      <c r="AR291" s="211"/>
      <c r="AS291" s="211"/>
      <c r="AT291" s="211"/>
      <c r="AU291" s="84"/>
      <c r="AV291" s="211"/>
      <c r="AW291" s="211"/>
      <c r="AX291" s="211"/>
      <c r="AY291" s="211"/>
      <c r="AZ291" s="84"/>
      <c r="BA291" s="211"/>
      <c r="BB291" s="211"/>
      <c r="BC291" s="211"/>
      <c r="BD291" s="211"/>
      <c r="BE291" s="84"/>
      <c r="BF291" s="211"/>
      <c r="BG291" s="451"/>
    </row>
    <row r="292" spans="1:59" ht="12.75">
      <c r="A292" s="211"/>
      <c r="B292" s="449"/>
      <c r="C292" s="450"/>
      <c r="D292" s="211"/>
      <c r="E292" s="211"/>
      <c r="F292" s="211"/>
      <c r="G292" s="84"/>
      <c r="H292" s="211"/>
      <c r="I292" s="211"/>
      <c r="J292" s="211"/>
      <c r="K292" s="211"/>
      <c r="L292" s="84"/>
      <c r="M292" s="211"/>
      <c r="N292" s="211"/>
      <c r="O292" s="211"/>
      <c r="P292" s="211"/>
      <c r="Q292" s="84"/>
      <c r="R292" s="211"/>
      <c r="S292" s="211"/>
      <c r="T292" s="211"/>
      <c r="U292" s="211"/>
      <c r="V292" s="84"/>
      <c r="W292" s="211"/>
      <c r="X292" s="211"/>
      <c r="Y292" s="211"/>
      <c r="Z292" s="211"/>
      <c r="AA292" s="84"/>
      <c r="AB292" s="146"/>
      <c r="AC292" s="211"/>
      <c r="AD292" s="211"/>
      <c r="AE292" s="211"/>
      <c r="AF292" s="84"/>
      <c r="AG292" s="146"/>
      <c r="AH292" s="211"/>
      <c r="AI292" s="211"/>
      <c r="AJ292" s="211"/>
      <c r="AK292" s="84"/>
      <c r="AL292" s="146"/>
      <c r="AM292" s="211"/>
      <c r="AN292" s="211"/>
      <c r="AO292" s="211"/>
      <c r="AP292" s="436"/>
      <c r="AQ292" s="146"/>
      <c r="AR292" s="211"/>
      <c r="AS292" s="211"/>
      <c r="AT292" s="211"/>
      <c r="AU292" s="84"/>
      <c r="AV292" s="211"/>
      <c r="AW292" s="211"/>
      <c r="AX292" s="211"/>
      <c r="AY292" s="211"/>
      <c r="AZ292" s="84"/>
      <c r="BA292" s="211"/>
      <c r="BB292" s="211"/>
      <c r="BC292" s="211"/>
      <c r="BD292" s="211"/>
      <c r="BE292" s="84"/>
      <c r="BF292" s="211"/>
      <c r="BG292" s="451"/>
    </row>
    <row r="293" spans="1:59" ht="12.75">
      <c r="A293" s="211"/>
      <c r="B293" s="449"/>
      <c r="C293" s="450"/>
      <c r="D293" s="211"/>
      <c r="E293" s="211"/>
      <c r="F293" s="211"/>
      <c r="G293" s="84"/>
      <c r="H293" s="211"/>
      <c r="I293" s="211"/>
      <c r="J293" s="211"/>
      <c r="K293" s="211"/>
      <c r="L293" s="84"/>
      <c r="M293" s="211"/>
      <c r="N293" s="211"/>
      <c r="O293" s="211"/>
      <c r="P293" s="211"/>
      <c r="Q293" s="84"/>
      <c r="R293" s="211"/>
      <c r="S293" s="211"/>
      <c r="T293" s="211"/>
      <c r="U293" s="211"/>
      <c r="V293" s="84"/>
      <c r="W293" s="211"/>
      <c r="X293" s="211"/>
      <c r="Y293" s="211"/>
      <c r="Z293" s="211"/>
      <c r="AA293" s="84"/>
      <c r="AB293" s="146"/>
      <c r="AC293" s="211"/>
      <c r="AD293" s="211"/>
      <c r="AE293" s="211"/>
      <c r="AF293" s="84"/>
      <c r="AG293" s="146"/>
      <c r="AH293" s="211"/>
      <c r="AI293" s="211"/>
      <c r="AJ293" s="211"/>
      <c r="AK293" s="84"/>
      <c r="AL293" s="146"/>
      <c r="AM293" s="211"/>
      <c r="AN293" s="211"/>
      <c r="AO293" s="211"/>
      <c r="AP293" s="436"/>
      <c r="AQ293" s="146"/>
      <c r="AR293" s="211"/>
      <c r="AS293" s="211"/>
      <c r="AT293" s="211"/>
      <c r="AU293" s="84"/>
      <c r="AV293" s="211"/>
      <c r="AW293" s="211"/>
      <c r="AX293" s="211"/>
      <c r="AY293" s="211"/>
      <c r="AZ293" s="84"/>
      <c r="BA293" s="211"/>
      <c r="BB293" s="211"/>
      <c r="BC293" s="211"/>
      <c r="BD293" s="211"/>
      <c r="BE293" s="84"/>
      <c r="BF293" s="211"/>
      <c r="BG293" s="451"/>
    </row>
    <row r="294" spans="1:59" ht="12.75">
      <c r="A294" s="211"/>
      <c r="B294" s="449"/>
      <c r="C294" s="450"/>
      <c r="D294" s="211"/>
      <c r="E294" s="211"/>
      <c r="F294" s="211"/>
      <c r="G294" s="84"/>
      <c r="H294" s="211"/>
      <c r="I294" s="211"/>
      <c r="J294" s="211"/>
      <c r="K294" s="211"/>
      <c r="L294" s="84"/>
      <c r="M294" s="211"/>
      <c r="N294" s="211"/>
      <c r="O294" s="211"/>
      <c r="P294" s="211"/>
      <c r="Q294" s="84"/>
      <c r="R294" s="211"/>
      <c r="S294" s="211"/>
      <c r="T294" s="211"/>
      <c r="U294" s="211"/>
      <c r="V294" s="84"/>
      <c r="W294" s="211"/>
      <c r="X294" s="211"/>
      <c r="Y294" s="211"/>
      <c r="Z294" s="211"/>
      <c r="AA294" s="84"/>
      <c r="AB294" s="146"/>
      <c r="AC294" s="211"/>
      <c r="AD294" s="211"/>
      <c r="AE294" s="211"/>
      <c r="AF294" s="84"/>
      <c r="AG294" s="146"/>
      <c r="AH294" s="211"/>
      <c r="AI294" s="211"/>
      <c r="AJ294" s="211"/>
      <c r="AK294" s="84"/>
      <c r="AL294" s="146"/>
      <c r="AM294" s="211"/>
      <c r="AN294" s="211"/>
      <c r="AO294" s="211"/>
      <c r="AP294" s="436"/>
      <c r="AQ294" s="146"/>
      <c r="AR294" s="211"/>
      <c r="AS294" s="211"/>
      <c r="AT294" s="211"/>
      <c r="AU294" s="84"/>
      <c r="AV294" s="211"/>
      <c r="AW294" s="211"/>
      <c r="AX294" s="211"/>
      <c r="AY294" s="211"/>
      <c r="AZ294" s="84"/>
      <c r="BA294" s="211"/>
      <c r="BB294" s="211"/>
      <c r="BC294" s="211"/>
      <c r="BD294" s="211"/>
      <c r="BE294" s="84"/>
      <c r="BF294" s="211"/>
      <c r="BG294" s="451"/>
    </row>
    <row r="295" spans="1:59" ht="12.75">
      <c r="A295" s="211"/>
      <c r="B295" s="449"/>
      <c r="C295" s="450"/>
      <c r="D295" s="211"/>
      <c r="E295" s="211"/>
      <c r="F295" s="211"/>
      <c r="G295" s="84"/>
      <c r="H295" s="211"/>
      <c r="I295" s="211"/>
      <c r="J295" s="211"/>
      <c r="K295" s="211"/>
      <c r="L295" s="84"/>
      <c r="M295" s="211"/>
      <c r="N295" s="211"/>
      <c r="O295" s="211"/>
      <c r="P295" s="211"/>
      <c r="Q295" s="84"/>
      <c r="R295" s="211"/>
      <c r="S295" s="211"/>
      <c r="T295" s="211"/>
      <c r="U295" s="211"/>
      <c r="V295" s="84"/>
      <c r="W295" s="211"/>
      <c r="X295" s="211"/>
      <c r="Y295" s="211"/>
      <c r="Z295" s="211"/>
      <c r="AA295" s="84"/>
      <c r="AB295" s="146"/>
      <c r="AC295" s="211"/>
      <c r="AD295" s="211"/>
      <c r="AE295" s="211"/>
      <c r="AF295" s="84"/>
      <c r="AG295" s="146"/>
      <c r="AH295" s="211"/>
      <c r="AI295" s="211"/>
      <c r="AJ295" s="211"/>
      <c r="AK295" s="84"/>
      <c r="AL295" s="146"/>
      <c r="AM295" s="211"/>
      <c r="AN295" s="211"/>
      <c r="AO295" s="211"/>
      <c r="AP295" s="436"/>
      <c r="AQ295" s="146"/>
      <c r="AR295" s="211"/>
      <c r="AS295" s="211"/>
      <c r="AT295" s="211"/>
      <c r="AU295" s="84"/>
      <c r="AV295" s="211"/>
      <c r="AW295" s="211"/>
      <c r="AX295" s="211"/>
      <c r="AY295" s="211"/>
      <c r="AZ295" s="84"/>
      <c r="BA295" s="211"/>
      <c r="BB295" s="211"/>
      <c r="BC295" s="211"/>
      <c r="BD295" s="211"/>
      <c r="BE295" s="84"/>
      <c r="BF295" s="211"/>
      <c r="BG295" s="451"/>
    </row>
    <row r="296" spans="1:59" ht="12.75">
      <c r="A296" s="211"/>
      <c r="B296" s="449"/>
      <c r="C296" s="450"/>
      <c r="D296" s="211"/>
      <c r="E296" s="211"/>
      <c r="F296" s="211"/>
      <c r="G296" s="84"/>
      <c r="H296" s="211"/>
      <c r="I296" s="211"/>
      <c r="J296" s="211"/>
      <c r="K296" s="211"/>
      <c r="L296" s="84"/>
      <c r="M296" s="211"/>
      <c r="N296" s="211"/>
      <c r="O296" s="211"/>
      <c r="P296" s="211"/>
      <c r="Q296" s="84"/>
      <c r="R296" s="211"/>
      <c r="S296" s="211"/>
      <c r="T296" s="211"/>
      <c r="U296" s="211"/>
      <c r="V296" s="84"/>
      <c r="W296" s="211"/>
      <c r="X296" s="211"/>
      <c r="Y296" s="211"/>
      <c r="Z296" s="211"/>
      <c r="AA296" s="84"/>
      <c r="AB296" s="146"/>
      <c r="AC296" s="211"/>
      <c r="AD296" s="211"/>
      <c r="AE296" s="211"/>
      <c r="AF296" s="84"/>
      <c r="AG296" s="146"/>
      <c r="AH296" s="211"/>
      <c r="AI296" s="211"/>
      <c r="AJ296" s="211"/>
      <c r="AK296" s="84"/>
      <c r="AL296" s="146"/>
      <c r="AM296" s="211"/>
      <c r="AN296" s="211"/>
      <c r="AO296" s="211"/>
      <c r="AP296" s="436"/>
      <c r="AQ296" s="146"/>
      <c r="AR296" s="211"/>
      <c r="AS296" s="211"/>
      <c r="AT296" s="211"/>
      <c r="AU296" s="84"/>
      <c r="AV296" s="211"/>
      <c r="AW296" s="211"/>
      <c r="AX296" s="211"/>
      <c r="AY296" s="211"/>
      <c r="AZ296" s="84"/>
      <c r="BA296" s="211"/>
      <c r="BB296" s="211"/>
      <c r="BC296" s="211"/>
      <c r="BD296" s="211"/>
      <c r="BE296" s="84"/>
      <c r="BF296" s="211"/>
      <c r="BG296" s="451"/>
    </row>
    <row r="297" spans="1:59" ht="12.75">
      <c r="A297" s="211"/>
      <c r="B297" s="449"/>
      <c r="C297" s="450"/>
      <c r="D297" s="211"/>
      <c r="E297" s="211"/>
      <c r="F297" s="211"/>
      <c r="G297" s="84"/>
      <c r="H297" s="211"/>
      <c r="I297" s="211"/>
      <c r="J297" s="211"/>
      <c r="K297" s="211"/>
      <c r="L297" s="84"/>
      <c r="M297" s="211"/>
      <c r="N297" s="211"/>
      <c r="O297" s="211"/>
      <c r="P297" s="211"/>
      <c r="Q297" s="84"/>
      <c r="R297" s="211"/>
      <c r="S297" s="211"/>
      <c r="T297" s="211"/>
      <c r="U297" s="211"/>
      <c r="V297" s="84"/>
      <c r="W297" s="211"/>
      <c r="X297" s="211"/>
      <c r="Y297" s="211"/>
      <c r="Z297" s="211"/>
      <c r="AA297" s="84"/>
      <c r="AB297" s="146"/>
      <c r="AC297" s="211"/>
      <c r="AD297" s="211"/>
      <c r="AE297" s="211"/>
      <c r="AF297" s="84"/>
      <c r="AG297" s="146"/>
      <c r="AH297" s="211"/>
      <c r="AI297" s="211"/>
      <c r="AJ297" s="211"/>
      <c r="AK297" s="84"/>
      <c r="AL297" s="146"/>
      <c r="AM297" s="211"/>
      <c r="AN297" s="211"/>
      <c r="AO297" s="211"/>
      <c r="AP297" s="436"/>
      <c r="AQ297" s="146"/>
      <c r="AR297" s="211"/>
      <c r="AS297" s="211"/>
      <c r="AT297" s="211"/>
      <c r="AU297" s="84"/>
      <c r="AV297" s="211"/>
      <c r="AW297" s="211"/>
      <c r="AX297" s="211"/>
      <c r="AY297" s="211"/>
      <c r="AZ297" s="84"/>
      <c r="BA297" s="211"/>
      <c r="BB297" s="211"/>
      <c r="BC297" s="211"/>
      <c r="BD297" s="211"/>
      <c r="BE297" s="84"/>
      <c r="BF297" s="211"/>
      <c r="BG297" s="451"/>
    </row>
    <row r="298" spans="1:59" ht="12.75">
      <c r="A298" s="211"/>
      <c r="B298" s="449"/>
      <c r="C298" s="450"/>
      <c r="D298" s="211"/>
      <c r="E298" s="211"/>
      <c r="F298" s="211"/>
      <c r="G298" s="84"/>
      <c r="H298" s="211"/>
      <c r="I298" s="211"/>
      <c r="J298" s="211"/>
      <c r="K298" s="211"/>
      <c r="L298" s="84"/>
      <c r="M298" s="211"/>
      <c r="N298" s="211"/>
      <c r="O298" s="211"/>
      <c r="P298" s="211"/>
      <c r="Q298" s="84"/>
      <c r="R298" s="211"/>
      <c r="S298" s="211"/>
      <c r="T298" s="211"/>
      <c r="U298" s="211"/>
      <c r="V298" s="84"/>
      <c r="W298" s="211"/>
      <c r="X298" s="211"/>
      <c r="Y298" s="211"/>
      <c r="Z298" s="211"/>
      <c r="AA298" s="84"/>
      <c r="AB298" s="146"/>
      <c r="AC298" s="211"/>
      <c r="AD298" s="211"/>
      <c r="AE298" s="211"/>
      <c r="AF298" s="84"/>
      <c r="AG298" s="146"/>
      <c r="AH298" s="211"/>
      <c r="AI298" s="211"/>
      <c r="AJ298" s="211"/>
      <c r="AK298" s="84"/>
      <c r="AL298" s="146"/>
      <c r="AM298" s="211"/>
      <c r="AN298" s="211"/>
      <c r="AO298" s="211"/>
      <c r="AP298" s="436"/>
      <c r="AQ298" s="146"/>
      <c r="AR298" s="211"/>
      <c r="AS298" s="211"/>
      <c r="AT298" s="211"/>
      <c r="AU298" s="84"/>
      <c r="AV298" s="211"/>
      <c r="AW298" s="211"/>
      <c r="AX298" s="211"/>
      <c r="AY298" s="211"/>
      <c r="AZ298" s="84"/>
      <c r="BA298" s="211"/>
      <c r="BB298" s="211"/>
      <c r="BC298" s="211"/>
      <c r="BD298" s="211"/>
      <c r="BE298" s="84"/>
      <c r="BF298" s="211"/>
      <c r="BG298" s="451"/>
    </row>
    <row r="299" spans="1:59" ht="12.75">
      <c r="A299" s="211"/>
      <c r="B299" s="449"/>
      <c r="C299" s="450"/>
      <c r="D299" s="211"/>
      <c r="E299" s="211"/>
      <c r="F299" s="211"/>
      <c r="G299" s="84"/>
      <c r="H299" s="211"/>
      <c r="I299" s="211"/>
      <c r="J299" s="211"/>
      <c r="K299" s="211"/>
      <c r="L299" s="84"/>
      <c r="M299" s="211"/>
      <c r="N299" s="211"/>
      <c r="O299" s="211"/>
      <c r="P299" s="211"/>
      <c r="Q299" s="84"/>
      <c r="R299" s="211"/>
      <c r="S299" s="211"/>
      <c r="T299" s="211"/>
      <c r="U299" s="211"/>
      <c r="V299" s="84"/>
      <c r="W299" s="211"/>
      <c r="X299" s="211"/>
      <c r="Y299" s="211"/>
      <c r="Z299" s="211"/>
      <c r="AA299" s="84"/>
      <c r="AB299" s="146"/>
      <c r="AC299" s="211"/>
      <c r="AD299" s="211"/>
      <c r="AE299" s="211"/>
      <c r="AF299" s="84"/>
      <c r="AG299" s="146"/>
      <c r="AH299" s="211"/>
      <c r="AI299" s="211"/>
      <c r="AJ299" s="211"/>
      <c r="AK299" s="84"/>
      <c r="AL299" s="146"/>
      <c r="AM299" s="211"/>
      <c r="AN299" s="211"/>
      <c r="AO299" s="211"/>
      <c r="AP299" s="436"/>
      <c r="AQ299" s="146"/>
      <c r="AR299" s="211"/>
      <c r="AS299" s="211"/>
      <c r="AT299" s="211"/>
      <c r="AU299" s="84"/>
      <c r="AV299" s="211"/>
      <c r="AW299" s="211"/>
      <c r="AX299" s="211"/>
      <c r="AY299" s="211"/>
      <c r="AZ299" s="84"/>
      <c r="BA299" s="211"/>
      <c r="BB299" s="211"/>
      <c r="BC299" s="211"/>
      <c r="BD299" s="211"/>
      <c r="BE299" s="84"/>
      <c r="BF299" s="211"/>
      <c r="BG299" s="451"/>
    </row>
    <row r="300" spans="1:59" ht="12.75">
      <c r="A300" s="211"/>
      <c r="B300" s="449"/>
      <c r="C300" s="450"/>
      <c r="D300" s="211"/>
      <c r="E300" s="211"/>
      <c r="F300" s="211"/>
      <c r="G300" s="84"/>
      <c r="H300" s="211"/>
      <c r="I300" s="211"/>
      <c r="J300" s="211"/>
      <c r="K300" s="211"/>
      <c r="L300" s="84"/>
      <c r="M300" s="211"/>
      <c r="N300" s="211"/>
      <c r="O300" s="211"/>
      <c r="P300" s="211"/>
      <c r="Q300" s="84"/>
      <c r="R300" s="211"/>
      <c r="S300" s="211"/>
      <c r="T300" s="211"/>
      <c r="U300" s="211"/>
      <c r="V300" s="84"/>
      <c r="W300" s="211"/>
      <c r="X300" s="211"/>
      <c r="Y300" s="211"/>
      <c r="Z300" s="211"/>
      <c r="AA300" s="84"/>
      <c r="AB300" s="146"/>
      <c r="AC300" s="211"/>
      <c r="AD300" s="211"/>
      <c r="AE300" s="211"/>
      <c r="AF300" s="84"/>
      <c r="AG300" s="146"/>
      <c r="AH300" s="211"/>
      <c r="AI300" s="211"/>
      <c r="AJ300" s="211"/>
      <c r="AK300" s="84"/>
      <c r="AL300" s="146"/>
      <c r="AM300" s="211"/>
      <c r="AN300" s="211"/>
      <c r="AO300" s="211"/>
      <c r="AP300" s="436"/>
      <c r="AQ300" s="146"/>
      <c r="AR300" s="211"/>
      <c r="AS300" s="211"/>
      <c r="AT300" s="211"/>
      <c r="AU300" s="84"/>
      <c r="AV300" s="211"/>
      <c r="AW300" s="211"/>
      <c r="AX300" s="211"/>
      <c r="AY300" s="211"/>
      <c r="AZ300" s="84"/>
      <c r="BA300" s="211"/>
      <c r="BB300" s="211"/>
      <c r="BC300" s="211"/>
      <c r="BD300" s="211"/>
      <c r="BE300" s="84"/>
      <c r="BF300" s="211"/>
      <c r="BG300" s="451"/>
    </row>
    <row r="301" spans="1:59" ht="12.75">
      <c r="A301" s="211"/>
      <c r="B301" s="449"/>
      <c r="C301" s="450"/>
      <c r="D301" s="211"/>
      <c r="E301" s="211"/>
      <c r="F301" s="211"/>
      <c r="G301" s="84"/>
      <c r="H301" s="211"/>
      <c r="I301" s="211"/>
      <c r="J301" s="211"/>
      <c r="K301" s="211"/>
      <c r="L301" s="84"/>
      <c r="M301" s="211"/>
      <c r="N301" s="211"/>
      <c r="O301" s="211"/>
      <c r="P301" s="211"/>
      <c r="Q301" s="84"/>
      <c r="R301" s="211"/>
      <c r="S301" s="211"/>
      <c r="T301" s="211"/>
      <c r="U301" s="211"/>
      <c r="V301" s="84"/>
      <c r="W301" s="211"/>
      <c r="X301" s="211"/>
      <c r="Y301" s="211"/>
      <c r="Z301" s="211"/>
      <c r="AA301" s="84"/>
      <c r="AB301" s="146"/>
      <c r="AC301" s="211"/>
      <c r="AD301" s="211"/>
      <c r="AE301" s="211"/>
      <c r="AF301" s="84"/>
      <c r="AG301" s="146"/>
      <c r="AH301" s="211"/>
      <c r="AI301" s="211"/>
      <c r="AJ301" s="211"/>
      <c r="AK301" s="84"/>
      <c r="AL301" s="146"/>
      <c r="AM301" s="211"/>
      <c r="AN301" s="211"/>
      <c r="AO301" s="211"/>
      <c r="AP301" s="436"/>
      <c r="AQ301" s="146"/>
      <c r="AR301" s="211"/>
      <c r="AS301" s="211"/>
      <c r="AT301" s="211"/>
      <c r="AU301" s="84"/>
      <c r="AV301" s="211"/>
      <c r="AW301" s="211"/>
      <c r="AX301" s="211"/>
      <c r="AY301" s="211"/>
      <c r="AZ301" s="84"/>
      <c r="BA301" s="211"/>
      <c r="BB301" s="211"/>
      <c r="BC301" s="211"/>
      <c r="BD301" s="211"/>
      <c r="BE301" s="84"/>
      <c r="BF301" s="211"/>
      <c r="BG301" s="451"/>
    </row>
    <row r="302" spans="1:59" ht="12.75">
      <c r="A302" s="211"/>
      <c r="B302" s="449"/>
      <c r="C302" s="450"/>
      <c r="D302" s="211"/>
      <c r="E302" s="211"/>
      <c r="F302" s="211"/>
      <c r="G302" s="84"/>
      <c r="H302" s="211"/>
      <c r="I302" s="211"/>
      <c r="J302" s="211"/>
      <c r="K302" s="211"/>
      <c r="L302" s="84"/>
      <c r="M302" s="211"/>
      <c r="N302" s="211"/>
      <c r="O302" s="211"/>
      <c r="P302" s="211"/>
      <c r="Q302" s="84"/>
      <c r="R302" s="211"/>
      <c r="S302" s="211"/>
      <c r="T302" s="211"/>
      <c r="U302" s="211"/>
      <c r="V302" s="84"/>
      <c r="W302" s="211"/>
      <c r="X302" s="211"/>
      <c r="Y302" s="211"/>
      <c r="Z302" s="211"/>
      <c r="AA302" s="84"/>
      <c r="AB302" s="146"/>
      <c r="AC302" s="211"/>
      <c r="AD302" s="211"/>
      <c r="AE302" s="211"/>
      <c r="AF302" s="84"/>
      <c r="AG302" s="146"/>
      <c r="AH302" s="211"/>
      <c r="AI302" s="211"/>
      <c r="AJ302" s="211"/>
      <c r="AK302" s="84"/>
      <c r="AL302" s="146"/>
      <c r="AM302" s="211"/>
      <c r="AN302" s="211"/>
      <c r="AO302" s="211"/>
      <c r="AP302" s="436"/>
      <c r="AQ302" s="146"/>
      <c r="AR302" s="211"/>
      <c r="AS302" s="211"/>
      <c r="AT302" s="211"/>
      <c r="AU302" s="84"/>
      <c r="AV302" s="211"/>
      <c r="AW302" s="211"/>
      <c r="AX302" s="211"/>
      <c r="AY302" s="211"/>
      <c r="AZ302" s="84"/>
      <c r="BA302" s="211"/>
      <c r="BB302" s="211"/>
      <c r="BC302" s="211"/>
      <c r="BD302" s="211"/>
      <c r="BE302" s="84"/>
      <c r="BF302" s="211"/>
      <c r="BG302" s="451"/>
    </row>
    <row r="303" spans="1:59" ht="12.75">
      <c r="A303" s="211"/>
      <c r="B303" s="449"/>
      <c r="C303" s="450"/>
      <c r="D303" s="211"/>
      <c r="E303" s="211"/>
      <c r="F303" s="211"/>
      <c r="G303" s="84"/>
      <c r="H303" s="211"/>
      <c r="I303" s="211"/>
      <c r="J303" s="211"/>
      <c r="K303" s="211"/>
      <c r="L303" s="84"/>
      <c r="M303" s="211"/>
      <c r="N303" s="211"/>
      <c r="O303" s="211"/>
      <c r="P303" s="211"/>
      <c r="Q303" s="84"/>
      <c r="R303" s="211"/>
      <c r="S303" s="211"/>
      <c r="T303" s="211"/>
      <c r="U303" s="211"/>
      <c r="V303" s="84"/>
      <c r="W303" s="211"/>
      <c r="X303" s="211"/>
      <c r="Y303" s="211"/>
      <c r="Z303" s="211"/>
      <c r="AA303" s="84"/>
      <c r="AB303" s="146"/>
      <c r="AC303" s="211"/>
      <c r="AD303" s="211"/>
      <c r="AE303" s="211"/>
      <c r="AF303" s="84"/>
      <c r="AG303" s="146"/>
      <c r="AH303" s="211"/>
      <c r="AI303" s="211"/>
      <c r="AJ303" s="211"/>
      <c r="AK303" s="84"/>
      <c r="AL303" s="146"/>
      <c r="AM303" s="211"/>
      <c r="AN303" s="211"/>
      <c r="AO303" s="211"/>
      <c r="AP303" s="436"/>
      <c r="AQ303" s="146"/>
      <c r="AR303" s="211"/>
      <c r="AS303" s="211"/>
      <c r="AT303" s="211"/>
      <c r="AU303" s="84"/>
      <c r="AV303" s="211"/>
      <c r="AW303" s="211"/>
      <c r="AX303" s="211"/>
      <c r="AY303" s="211"/>
      <c r="AZ303" s="84"/>
      <c r="BA303" s="211"/>
      <c r="BB303" s="211"/>
      <c r="BC303" s="211"/>
      <c r="BD303" s="211"/>
      <c r="BE303" s="84"/>
      <c r="BF303" s="211"/>
      <c r="BG303" s="451"/>
    </row>
    <row r="304" spans="1:59" ht="12.75">
      <c r="A304" s="211"/>
      <c r="B304" s="449"/>
      <c r="C304" s="450"/>
      <c r="D304" s="211"/>
      <c r="E304" s="211"/>
      <c r="F304" s="211"/>
      <c r="G304" s="84"/>
      <c r="H304" s="211"/>
      <c r="I304" s="211"/>
      <c r="J304" s="211"/>
      <c r="K304" s="211"/>
      <c r="L304" s="84"/>
      <c r="M304" s="211"/>
      <c r="N304" s="211"/>
      <c r="O304" s="211"/>
      <c r="P304" s="211"/>
      <c r="Q304" s="84"/>
      <c r="R304" s="211"/>
      <c r="S304" s="211"/>
      <c r="T304" s="211"/>
      <c r="U304" s="211"/>
      <c r="V304" s="84"/>
      <c r="W304" s="211"/>
      <c r="X304" s="211"/>
      <c r="Y304" s="211"/>
      <c r="Z304" s="211"/>
      <c r="AA304" s="84"/>
      <c r="AB304" s="146"/>
      <c r="AC304" s="211"/>
      <c r="AD304" s="211"/>
      <c r="AE304" s="211"/>
      <c r="AF304" s="84"/>
      <c r="AG304" s="146"/>
      <c r="AH304" s="211"/>
      <c r="AI304" s="211"/>
      <c r="AJ304" s="211"/>
      <c r="AK304" s="84"/>
      <c r="AL304" s="146"/>
      <c r="AM304" s="211"/>
      <c r="AN304" s="211"/>
      <c r="AO304" s="211"/>
      <c r="AP304" s="436"/>
      <c r="AQ304" s="146"/>
      <c r="AR304" s="211"/>
      <c r="AS304" s="211"/>
      <c r="AT304" s="211"/>
      <c r="AU304" s="84"/>
      <c r="AV304" s="211"/>
      <c r="AW304" s="211"/>
      <c r="AX304" s="211"/>
      <c r="AY304" s="211"/>
      <c r="AZ304" s="84"/>
      <c r="BA304" s="211"/>
      <c r="BB304" s="211"/>
      <c r="BC304" s="211"/>
      <c r="BD304" s="211"/>
      <c r="BE304" s="84"/>
      <c r="BF304" s="211"/>
      <c r="BG304" s="451"/>
    </row>
    <row r="305" spans="1:59" ht="12.75">
      <c r="A305" s="211"/>
      <c r="B305" s="449"/>
      <c r="C305" s="450"/>
      <c r="D305" s="211"/>
      <c r="E305" s="211"/>
      <c r="F305" s="211"/>
      <c r="G305" s="84"/>
      <c r="H305" s="211"/>
      <c r="I305" s="211"/>
      <c r="J305" s="211"/>
      <c r="K305" s="211"/>
      <c r="L305" s="84"/>
      <c r="M305" s="211"/>
      <c r="N305" s="211"/>
      <c r="O305" s="211"/>
      <c r="P305" s="211"/>
      <c r="Q305" s="84"/>
      <c r="R305" s="211"/>
      <c r="S305" s="211"/>
      <c r="T305" s="211"/>
      <c r="U305" s="211"/>
      <c r="V305" s="84"/>
      <c r="W305" s="211"/>
      <c r="X305" s="211"/>
      <c r="Y305" s="211"/>
      <c r="Z305" s="211"/>
      <c r="AA305" s="84"/>
      <c r="AB305" s="146"/>
      <c r="AC305" s="211"/>
      <c r="AD305" s="211"/>
      <c r="AE305" s="211"/>
      <c r="AF305" s="84"/>
      <c r="AG305" s="146"/>
      <c r="AH305" s="211"/>
      <c r="AI305" s="211"/>
      <c r="AJ305" s="211"/>
      <c r="AK305" s="84"/>
      <c r="AL305" s="146"/>
      <c r="AM305" s="211"/>
      <c r="AN305" s="211"/>
      <c r="AO305" s="211"/>
      <c r="AP305" s="436"/>
      <c r="AQ305" s="146"/>
      <c r="AR305" s="211"/>
      <c r="AS305" s="211"/>
      <c r="AT305" s="211"/>
      <c r="AU305" s="84"/>
      <c r="AV305" s="211"/>
      <c r="AW305" s="211"/>
      <c r="AX305" s="211"/>
      <c r="AY305" s="211"/>
      <c r="AZ305" s="84"/>
      <c r="BA305" s="211"/>
      <c r="BB305" s="211"/>
      <c r="BC305" s="211"/>
      <c r="BD305" s="211"/>
      <c r="BE305" s="84"/>
      <c r="BF305" s="211"/>
      <c r="BG305" s="451"/>
    </row>
    <row r="306" spans="1:59" ht="12.75">
      <c r="A306" s="211"/>
      <c r="B306" s="449"/>
      <c r="C306" s="450"/>
      <c r="D306" s="211"/>
      <c r="E306" s="211"/>
      <c r="F306" s="211"/>
      <c r="G306" s="84"/>
      <c r="H306" s="211"/>
      <c r="I306" s="211"/>
      <c r="J306" s="211"/>
      <c r="K306" s="211"/>
      <c r="L306" s="84"/>
      <c r="M306" s="211"/>
      <c r="N306" s="211"/>
      <c r="O306" s="211"/>
      <c r="P306" s="211"/>
      <c r="Q306" s="84"/>
      <c r="R306" s="211"/>
      <c r="S306" s="211"/>
      <c r="T306" s="211"/>
      <c r="U306" s="211"/>
      <c r="V306" s="84"/>
      <c r="W306" s="211"/>
      <c r="X306" s="211"/>
      <c r="Y306" s="211"/>
      <c r="Z306" s="211"/>
      <c r="AA306" s="84"/>
      <c r="AB306" s="146"/>
      <c r="AC306" s="211"/>
      <c r="AD306" s="211"/>
      <c r="AE306" s="211"/>
      <c r="AF306" s="84"/>
      <c r="AG306" s="146"/>
      <c r="AH306" s="211"/>
      <c r="AI306" s="211"/>
      <c r="AJ306" s="211"/>
      <c r="AK306" s="84"/>
      <c r="AL306" s="146"/>
      <c r="AM306" s="211"/>
      <c r="AN306" s="211"/>
      <c r="AO306" s="211"/>
      <c r="AP306" s="436"/>
      <c r="AQ306" s="146"/>
      <c r="AR306" s="211"/>
      <c r="AS306" s="211"/>
      <c r="AT306" s="211"/>
      <c r="AU306" s="84"/>
      <c r="AV306" s="211"/>
      <c r="AW306" s="211"/>
      <c r="AX306" s="211"/>
      <c r="AY306" s="211"/>
      <c r="AZ306" s="84"/>
      <c r="BA306" s="211"/>
      <c r="BB306" s="211"/>
      <c r="BC306" s="211"/>
      <c r="BD306" s="211"/>
      <c r="BE306" s="84"/>
      <c r="BF306" s="211"/>
      <c r="BG306" s="451"/>
    </row>
    <row r="307" spans="1:59" ht="12.75">
      <c r="A307" s="211"/>
      <c r="B307" s="449"/>
      <c r="C307" s="450"/>
      <c r="D307" s="211"/>
      <c r="E307" s="211"/>
      <c r="F307" s="211"/>
      <c r="G307" s="84"/>
      <c r="H307" s="211"/>
      <c r="I307" s="211"/>
      <c r="J307" s="211"/>
      <c r="K307" s="211"/>
      <c r="L307" s="84"/>
      <c r="M307" s="211"/>
      <c r="N307" s="211"/>
      <c r="O307" s="211"/>
      <c r="P307" s="211"/>
      <c r="Q307" s="84"/>
      <c r="R307" s="211"/>
      <c r="S307" s="211"/>
      <c r="T307" s="211"/>
      <c r="U307" s="211"/>
      <c r="V307" s="84"/>
      <c r="W307" s="211"/>
      <c r="X307" s="211"/>
      <c r="Y307" s="211"/>
      <c r="Z307" s="211"/>
      <c r="AA307" s="84"/>
      <c r="AB307" s="146"/>
      <c r="AC307" s="211"/>
      <c r="AD307" s="211"/>
      <c r="AE307" s="211"/>
      <c r="AF307" s="84"/>
      <c r="AG307" s="146"/>
      <c r="AH307" s="211"/>
      <c r="AI307" s="211"/>
      <c r="AJ307" s="211"/>
      <c r="AK307" s="84"/>
      <c r="AL307" s="146"/>
      <c r="AM307" s="211"/>
      <c r="AN307" s="211"/>
      <c r="AO307" s="211"/>
      <c r="AP307" s="436"/>
      <c r="AQ307" s="146"/>
      <c r="AR307" s="211"/>
      <c r="AS307" s="211"/>
      <c r="AT307" s="211"/>
      <c r="AU307" s="84"/>
      <c r="AV307" s="211"/>
      <c r="AW307" s="211"/>
      <c r="AX307" s="211"/>
      <c r="AY307" s="211"/>
      <c r="AZ307" s="84"/>
      <c r="BA307" s="211"/>
      <c r="BB307" s="211"/>
      <c r="BC307" s="211"/>
      <c r="BD307" s="211"/>
      <c r="BE307" s="84"/>
      <c r="BF307" s="211"/>
      <c r="BG307" s="451"/>
    </row>
    <row r="308" spans="1:59" ht="12.75">
      <c r="A308" s="211"/>
      <c r="B308" s="449"/>
      <c r="C308" s="450"/>
      <c r="D308" s="211"/>
      <c r="E308" s="211"/>
      <c r="F308" s="211"/>
      <c r="G308" s="84"/>
      <c r="H308" s="211"/>
      <c r="I308" s="211"/>
      <c r="J308" s="211"/>
      <c r="K308" s="211"/>
      <c r="L308" s="84"/>
      <c r="M308" s="211"/>
      <c r="N308" s="211"/>
      <c r="O308" s="211"/>
      <c r="P308" s="211"/>
      <c r="Q308" s="84"/>
      <c r="R308" s="211"/>
      <c r="S308" s="211"/>
      <c r="T308" s="211"/>
      <c r="U308" s="211"/>
      <c r="V308" s="84"/>
      <c r="W308" s="211"/>
      <c r="X308" s="211"/>
      <c r="Y308" s="211"/>
      <c r="Z308" s="211"/>
      <c r="AA308" s="84"/>
      <c r="AB308" s="146"/>
      <c r="AC308" s="211"/>
      <c r="AD308" s="211"/>
      <c r="AE308" s="211"/>
      <c r="AF308" s="84"/>
      <c r="AG308" s="146"/>
      <c r="AH308" s="211"/>
      <c r="AI308" s="211"/>
      <c r="AJ308" s="211"/>
      <c r="AK308" s="84"/>
      <c r="AL308" s="146"/>
      <c r="AM308" s="211"/>
      <c r="AN308" s="211"/>
      <c r="AO308" s="211"/>
      <c r="AP308" s="436"/>
      <c r="AQ308" s="146"/>
      <c r="AR308" s="211"/>
      <c r="AS308" s="211"/>
      <c r="AT308" s="211"/>
      <c r="AU308" s="84"/>
      <c r="AV308" s="211"/>
      <c r="AW308" s="211"/>
      <c r="AX308" s="211"/>
      <c r="AY308" s="211"/>
      <c r="AZ308" s="84"/>
      <c r="BA308" s="211"/>
      <c r="BB308" s="211"/>
      <c r="BC308" s="211"/>
      <c r="BD308" s="211"/>
      <c r="BE308" s="84"/>
      <c r="BF308" s="211"/>
      <c r="BG308" s="451"/>
    </row>
    <row r="309" spans="1:59" ht="12.75">
      <c r="A309" s="211"/>
      <c r="B309" s="449"/>
      <c r="C309" s="450"/>
      <c r="D309" s="211"/>
      <c r="E309" s="211"/>
      <c r="F309" s="211"/>
      <c r="G309" s="84"/>
      <c r="H309" s="211"/>
      <c r="I309" s="211"/>
      <c r="J309" s="211"/>
      <c r="K309" s="211"/>
      <c r="L309" s="84"/>
      <c r="M309" s="211"/>
      <c r="N309" s="211"/>
      <c r="O309" s="211"/>
      <c r="P309" s="211"/>
      <c r="Q309" s="84"/>
      <c r="R309" s="211"/>
      <c r="S309" s="211"/>
      <c r="T309" s="211"/>
      <c r="U309" s="211"/>
      <c r="V309" s="84"/>
      <c r="W309" s="211"/>
      <c r="X309" s="211"/>
      <c r="Y309" s="211"/>
      <c r="Z309" s="211"/>
      <c r="AA309" s="84"/>
      <c r="AB309" s="146"/>
      <c r="AC309" s="211"/>
      <c r="AD309" s="211"/>
      <c r="AE309" s="211"/>
      <c r="AF309" s="84"/>
      <c r="AG309" s="146"/>
      <c r="AH309" s="211"/>
      <c r="AI309" s="211"/>
      <c r="AJ309" s="211"/>
      <c r="AK309" s="84"/>
      <c r="AL309" s="146"/>
      <c r="AM309" s="211"/>
      <c r="AN309" s="211"/>
      <c r="AO309" s="211"/>
      <c r="AP309" s="436"/>
      <c r="AQ309" s="146"/>
      <c r="AR309" s="211"/>
      <c r="AS309" s="211"/>
      <c r="AT309" s="211"/>
      <c r="AU309" s="84"/>
      <c r="AV309" s="211"/>
      <c r="AW309" s="211"/>
      <c r="AX309" s="211"/>
      <c r="AY309" s="211"/>
      <c r="AZ309" s="84"/>
      <c r="BA309" s="211"/>
      <c r="BB309" s="211"/>
      <c r="BC309" s="211"/>
      <c r="BD309" s="211"/>
      <c r="BE309" s="84"/>
      <c r="BF309" s="211"/>
      <c r="BG309" s="451"/>
    </row>
    <row r="310" spans="1:59" ht="12.75">
      <c r="A310" s="211"/>
      <c r="B310" s="449"/>
      <c r="C310" s="450"/>
      <c r="D310" s="211"/>
      <c r="E310" s="211"/>
      <c r="F310" s="211"/>
      <c r="G310" s="84"/>
      <c r="H310" s="211"/>
      <c r="I310" s="211"/>
      <c r="J310" s="211"/>
      <c r="K310" s="211"/>
      <c r="L310" s="84"/>
      <c r="M310" s="211"/>
      <c r="N310" s="211"/>
      <c r="O310" s="211"/>
      <c r="P310" s="211"/>
      <c r="Q310" s="84"/>
      <c r="R310" s="211"/>
      <c r="S310" s="211"/>
      <c r="T310" s="211"/>
      <c r="U310" s="211"/>
      <c r="V310" s="84"/>
      <c r="W310" s="211"/>
      <c r="X310" s="211"/>
      <c r="Y310" s="211"/>
      <c r="Z310" s="211"/>
      <c r="AA310" s="84"/>
      <c r="AB310" s="146"/>
      <c r="AC310" s="211"/>
      <c r="AD310" s="211"/>
      <c r="AE310" s="211"/>
      <c r="AF310" s="84"/>
      <c r="AG310" s="146"/>
      <c r="AH310" s="211"/>
      <c r="AI310" s="211"/>
      <c r="AJ310" s="211"/>
      <c r="AK310" s="84"/>
      <c r="AL310" s="146"/>
      <c r="AM310" s="211"/>
      <c r="AN310" s="211"/>
      <c r="AO310" s="211"/>
      <c r="AP310" s="436"/>
      <c r="AQ310" s="146"/>
      <c r="AR310" s="211"/>
      <c r="AS310" s="211"/>
      <c r="AT310" s="211"/>
      <c r="AU310" s="84"/>
      <c r="AV310" s="211"/>
      <c r="AW310" s="211"/>
      <c r="AX310" s="211"/>
      <c r="AY310" s="211"/>
      <c r="AZ310" s="84"/>
      <c r="BA310" s="211"/>
      <c r="BB310" s="211"/>
      <c r="BC310" s="211"/>
      <c r="BD310" s="211"/>
      <c r="BE310" s="84"/>
      <c r="BF310" s="211"/>
      <c r="BG310" s="451"/>
    </row>
    <row r="311" spans="1:59" ht="12.75">
      <c r="A311" s="211"/>
      <c r="B311" s="449"/>
      <c r="C311" s="450"/>
      <c r="D311" s="211"/>
      <c r="E311" s="211"/>
      <c r="F311" s="211"/>
      <c r="G311" s="84"/>
      <c r="H311" s="211"/>
      <c r="I311" s="211"/>
      <c r="J311" s="211"/>
      <c r="K311" s="211"/>
      <c r="L311" s="84"/>
      <c r="M311" s="211"/>
      <c r="N311" s="211"/>
      <c r="O311" s="211"/>
      <c r="P311" s="211"/>
      <c r="Q311" s="84"/>
      <c r="R311" s="211"/>
      <c r="S311" s="211"/>
      <c r="T311" s="211"/>
      <c r="U311" s="211"/>
      <c r="V311" s="84"/>
      <c r="W311" s="211"/>
      <c r="X311" s="211"/>
      <c r="Y311" s="211"/>
      <c r="Z311" s="211"/>
      <c r="AA311" s="84"/>
      <c r="AB311" s="146"/>
      <c r="AC311" s="211"/>
      <c r="AD311" s="211"/>
      <c r="AE311" s="211"/>
      <c r="AF311" s="84"/>
      <c r="AG311" s="146"/>
      <c r="AH311" s="211"/>
      <c r="AI311" s="211"/>
      <c r="AJ311" s="211"/>
      <c r="AK311" s="84"/>
      <c r="AL311" s="146"/>
      <c r="AM311" s="211"/>
      <c r="AN311" s="211"/>
      <c r="AO311" s="211"/>
      <c r="AP311" s="436"/>
      <c r="AQ311" s="146"/>
      <c r="AR311" s="211"/>
      <c r="AS311" s="211"/>
      <c r="AT311" s="211"/>
      <c r="AU311" s="84"/>
      <c r="AV311" s="211"/>
      <c r="AW311" s="211"/>
      <c r="AX311" s="211"/>
      <c r="AY311" s="211"/>
      <c r="AZ311" s="84"/>
      <c r="BA311" s="211"/>
      <c r="BB311" s="211"/>
      <c r="BC311" s="211"/>
      <c r="BD311" s="211"/>
      <c r="BE311" s="84"/>
      <c r="BF311" s="211"/>
      <c r="BG311" s="451"/>
    </row>
    <row r="312" spans="1:59" ht="12.75">
      <c r="A312" s="211"/>
      <c r="B312" s="449"/>
      <c r="C312" s="450"/>
      <c r="D312" s="211"/>
      <c r="E312" s="211"/>
      <c r="F312" s="211"/>
      <c r="G312" s="84"/>
      <c r="H312" s="211"/>
      <c r="I312" s="211"/>
      <c r="J312" s="211"/>
      <c r="K312" s="211"/>
      <c r="L312" s="84"/>
      <c r="M312" s="211"/>
      <c r="N312" s="211"/>
      <c r="O312" s="211"/>
      <c r="P312" s="211"/>
      <c r="Q312" s="84"/>
      <c r="R312" s="211"/>
      <c r="S312" s="211"/>
      <c r="T312" s="211"/>
      <c r="U312" s="211"/>
      <c r="V312" s="84"/>
      <c r="W312" s="211"/>
      <c r="X312" s="211"/>
      <c r="Y312" s="211"/>
      <c r="Z312" s="211"/>
      <c r="AA312" s="84"/>
      <c r="AB312" s="146"/>
      <c r="AC312" s="211"/>
      <c r="AD312" s="211"/>
      <c r="AE312" s="211"/>
      <c r="AF312" s="84"/>
      <c r="AG312" s="146"/>
      <c r="AH312" s="211"/>
      <c r="AI312" s="211"/>
      <c r="AJ312" s="211"/>
      <c r="AK312" s="84"/>
      <c r="AL312" s="146"/>
      <c r="AM312" s="211"/>
      <c r="AN312" s="211"/>
      <c r="AO312" s="211"/>
      <c r="AP312" s="436"/>
      <c r="AQ312" s="146"/>
      <c r="AR312" s="211"/>
      <c r="AS312" s="211"/>
      <c r="AT312" s="211"/>
      <c r="AU312" s="84"/>
      <c r="AV312" s="211"/>
      <c r="AW312" s="211"/>
      <c r="AX312" s="211"/>
      <c r="AY312" s="211"/>
      <c r="AZ312" s="84"/>
      <c r="BA312" s="211"/>
      <c r="BB312" s="211"/>
      <c r="BC312" s="211"/>
      <c r="BD312" s="211"/>
      <c r="BE312" s="84"/>
      <c r="BF312" s="211"/>
      <c r="BG312" s="451"/>
    </row>
    <row r="313" spans="1:59" ht="12.75">
      <c r="A313" s="211"/>
      <c r="B313" s="449"/>
      <c r="C313" s="450"/>
      <c r="D313" s="211"/>
      <c r="E313" s="211"/>
      <c r="F313" s="211"/>
      <c r="G313" s="84"/>
      <c r="H313" s="211"/>
      <c r="I313" s="211"/>
      <c r="J313" s="211"/>
      <c r="K313" s="211"/>
      <c r="L313" s="84"/>
      <c r="M313" s="211"/>
      <c r="N313" s="211"/>
      <c r="O313" s="211"/>
      <c r="P313" s="211"/>
      <c r="Q313" s="84"/>
      <c r="R313" s="211"/>
      <c r="S313" s="211"/>
      <c r="T313" s="211"/>
      <c r="U313" s="211"/>
      <c r="V313" s="84"/>
      <c r="W313" s="211"/>
      <c r="X313" s="211"/>
      <c r="Y313" s="211"/>
      <c r="Z313" s="211"/>
      <c r="AA313" s="84"/>
      <c r="AB313" s="146"/>
      <c r="AC313" s="211"/>
      <c r="AD313" s="211"/>
      <c r="AE313" s="211"/>
      <c r="AF313" s="84"/>
      <c r="AG313" s="146"/>
      <c r="AH313" s="211"/>
      <c r="AI313" s="211"/>
      <c r="AJ313" s="211"/>
      <c r="AK313" s="84"/>
      <c r="AL313" s="146"/>
      <c r="AM313" s="211"/>
      <c r="AN313" s="211"/>
      <c r="AO313" s="211"/>
      <c r="AP313" s="436"/>
      <c r="AQ313" s="146"/>
      <c r="AR313" s="211"/>
      <c r="AS313" s="211"/>
      <c r="AT313" s="211"/>
      <c r="AU313" s="84"/>
      <c r="AV313" s="211"/>
      <c r="AW313" s="211"/>
      <c r="AX313" s="211"/>
      <c r="AY313" s="211"/>
      <c r="AZ313" s="84"/>
      <c r="BA313" s="211"/>
      <c r="BB313" s="211"/>
      <c r="BC313" s="211"/>
      <c r="BD313" s="211"/>
      <c r="BE313" s="84"/>
      <c r="BF313" s="211"/>
      <c r="BG313" s="451"/>
    </row>
    <row r="314" spans="1:59" ht="12.75">
      <c r="A314" s="211"/>
      <c r="B314" s="449"/>
      <c r="C314" s="450"/>
      <c r="D314" s="211"/>
      <c r="E314" s="211"/>
      <c r="F314" s="211"/>
      <c r="G314" s="84"/>
      <c r="H314" s="211"/>
      <c r="I314" s="211"/>
      <c r="J314" s="211"/>
      <c r="K314" s="211"/>
      <c r="L314" s="84"/>
      <c r="M314" s="211"/>
      <c r="N314" s="211"/>
      <c r="O314" s="211"/>
      <c r="P314" s="211"/>
      <c r="Q314" s="84"/>
      <c r="R314" s="211"/>
      <c r="S314" s="211"/>
      <c r="T314" s="211"/>
      <c r="U314" s="211"/>
      <c r="V314" s="84"/>
      <c r="W314" s="211"/>
      <c r="X314" s="211"/>
      <c r="Y314" s="211"/>
      <c r="Z314" s="211"/>
      <c r="AA314" s="84"/>
      <c r="AB314" s="146"/>
      <c r="AC314" s="211"/>
      <c r="AD314" s="211"/>
      <c r="AE314" s="211"/>
      <c r="AF314" s="84"/>
      <c r="AG314" s="146"/>
      <c r="AH314" s="211"/>
      <c r="AI314" s="211"/>
      <c r="AJ314" s="211"/>
      <c r="AK314" s="84"/>
      <c r="AL314" s="146"/>
      <c r="AM314" s="211"/>
      <c r="AN314" s="211"/>
      <c r="AO314" s="211"/>
      <c r="AP314" s="436"/>
      <c r="AQ314" s="146"/>
      <c r="AR314" s="211"/>
      <c r="AS314" s="211"/>
      <c r="AT314" s="211"/>
      <c r="AU314" s="84"/>
      <c r="AV314" s="211"/>
      <c r="AW314" s="211"/>
      <c r="AX314" s="211"/>
      <c r="AY314" s="211"/>
      <c r="AZ314" s="84"/>
      <c r="BA314" s="211"/>
      <c r="BB314" s="211"/>
      <c r="BC314" s="211"/>
      <c r="BD314" s="211"/>
      <c r="BE314" s="84"/>
      <c r="BF314" s="211"/>
      <c r="BG314" s="451"/>
    </row>
    <row r="315" spans="1:59" ht="12.75">
      <c r="A315" s="211"/>
      <c r="B315" s="449"/>
      <c r="C315" s="450"/>
      <c r="D315" s="211"/>
      <c r="E315" s="211"/>
      <c r="F315" s="211"/>
      <c r="G315" s="84"/>
      <c r="H315" s="211"/>
      <c r="I315" s="211"/>
      <c r="J315" s="211"/>
      <c r="K315" s="211"/>
      <c r="L315" s="84"/>
      <c r="M315" s="211"/>
      <c r="N315" s="211"/>
      <c r="O315" s="211"/>
      <c r="P315" s="211"/>
      <c r="Q315" s="84"/>
      <c r="R315" s="211"/>
      <c r="S315" s="211"/>
      <c r="T315" s="211"/>
      <c r="U315" s="211"/>
      <c r="V315" s="84"/>
      <c r="W315" s="211"/>
      <c r="X315" s="211"/>
      <c r="Y315" s="211"/>
      <c r="Z315" s="211"/>
      <c r="AA315" s="84"/>
      <c r="AB315" s="146"/>
      <c r="AC315" s="211"/>
      <c r="AD315" s="211"/>
      <c r="AE315" s="211"/>
      <c r="AF315" s="84"/>
      <c r="AG315" s="146"/>
      <c r="AH315" s="211"/>
      <c r="AI315" s="211"/>
      <c r="AJ315" s="211"/>
      <c r="AK315" s="84"/>
      <c r="AL315" s="146"/>
      <c r="AM315" s="211"/>
      <c r="AN315" s="211"/>
      <c r="AO315" s="211"/>
      <c r="AP315" s="436"/>
      <c r="AQ315" s="146"/>
      <c r="AR315" s="211"/>
      <c r="AS315" s="211"/>
      <c r="AT315" s="211"/>
      <c r="AU315" s="84"/>
      <c r="AV315" s="211"/>
      <c r="AW315" s="211"/>
      <c r="AX315" s="211"/>
      <c r="AY315" s="211"/>
      <c r="AZ315" s="84"/>
      <c r="BA315" s="211"/>
      <c r="BB315" s="211"/>
      <c r="BC315" s="211"/>
      <c r="BD315" s="211"/>
      <c r="BE315" s="84"/>
      <c r="BF315" s="211"/>
      <c r="BG315" s="451"/>
    </row>
    <row r="316" spans="1:59" ht="12.75">
      <c r="A316" s="211"/>
      <c r="B316" s="449"/>
      <c r="C316" s="450"/>
      <c r="D316" s="211"/>
      <c r="E316" s="211"/>
      <c r="F316" s="211"/>
      <c r="G316" s="84"/>
      <c r="H316" s="211"/>
      <c r="I316" s="211"/>
      <c r="J316" s="211"/>
      <c r="K316" s="211"/>
      <c r="L316" s="84"/>
      <c r="M316" s="211"/>
      <c r="N316" s="211"/>
      <c r="O316" s="211"/>
      <c r="P316" s="211"/>
      <c r="Q316" s="84"/>
      <c r="R316" s="211"/>
      <c r="S316" s="211"/>
      <c r="T316" s="211"/>
      <c r="U316" s="211"/>
      <c r="V316" s="84"/>
      <c r="W316" s="211"/>
      <c r="X316" s="211"/>
      <c r="Y316" s="211"/>
      <c r="Z316" s="211"/>
      <c r="AA316" s="84"/>
      <c r="AB316" s="146"/>
      <c r="AC316" s="211"/>
      <c r="AD316" s="211"/>
      <c r="AE316" s="211"/>
      <c r="AF316" s="84"/>
      <c r="AG316" s="146"/>
      <c r="AH316" s="211"/>
      <c r="AI316" s="211"/>
      <c r="AJ316" s="211"/>
      <c r="AK316" s="84"/>
      <c r="AL316" s="146"/>
      <c r="AM316" s="211"/>
      <c r="AN316" s="211"/>
      <c r="AO316" s="211"/>
      <c r="AP316" s="436"/>
      <c r="AQ316" s="146"/>
      <c r="AR316" s="211"/>
      <c r="AS316" s="211"/>
      <c r="AT316" s="211"/>
      <c r="AU316" s="84"/>
      <c r="AV316" s="211"/>
      <c r="AW316" s="211"/>
      <c r="AX316" s="211"/>
      <c r="AY316" s="211"/>
      <c r="AZ316" s="84"/>
      <c r="BA316" s="211"/>
      <c r="BB316" s="211"/>
      <c r="BC316" s="211"/>
      <c r="BD316" s="211"/>
      <c r="BE316" s="84"/>
      <c r="BF316" s="211"/>
      <c r="BG316" s="451"/>
    </row>
    <row r="317" spans="1:59" ht="12.75">
      <c r="A317" s="211"/>
      <c r="B317" s="449"/>
      <c r="C317" s="450"/>
      <c r="D317" s="211"/>
      <c r="E317" s="211"/>
      <c r="F317" s="211"/>
      <c r="G317" s="84"/>
      <c r="H317" s="211"/>
      <c r="I317" s="211"/>
      <c r="J317" s="211"/>
      <c r="K317" s="211"/>
      <c r="L317" s="84"/>
      <c r="M317" s="211"/>
      <c r="N317" s="211"/>
      <c r="O317" s="211"/>
      <c r="P317" s="211"/>
      <c r="Q317" s="84"/>
      <c r="R317" s="211"/>
      <c r="S317" s="211"/>
      <c r="T317" s="211"/>
      <c r="U317" s="211"/>
      <c r="V317" s="84"/>
      <c r="W317" s="211"/>
      <c r="X317" s="211"/>
      <c r="Y317" s="211"/>
      <c r="Z317" s="211"/>
      <c r="AA317" s="84"/>
      <c r="AB317" s="146"/>
      <c r="AC317" s="211"/>
      <c r="AD317" s="211"/>
      <c r="AE317" s="211"/>
      <c r="AF317" s="84"/>
      <c r="AG317" s="146"/>
      <c r="AH317" s="211"/>
      <c r="AI317" s="211"/>
      <c r="AJ317" s="211"/>
      <c r="AK317" s="84"/>
      <c r="AL317" s="146"/>
      <c r="AM317" s="211"/>
      <c r="AN317" s="211"/>
      <c r="AO317" s="211"/>
      <c r="AP317" s="436"/>
      <c r="AQ317" s="146"/>
      <c r="AR317" s="211"/>
      <c r="AS317" s="211"/>
      <c r="AT317" s="211"/>
      <c r="AU317" s="84"/>
      <c r="AV317" s="211"/>
      <c r="AW317" s="211"/>
      <c r="AX317" s="211"/>
      <c r="AY317" s="211"/>
      <c r="AZ317" s="84"/>
      <c r="BA317" s="211"/>
      <c r="BB317" s="211"/>
      <c r="BC317" s="211"/>
      <c r="BD317" s="211"/>
      <c r="BE317" s="84"/>
      <c r="BF317" s="211"/>
      <c r="BG317" s="451"/>
    </row>
    <row r="318" spans="1:59" ht="12.75">
      <c r="A318" s="211"/>
      <c r="B318" s="449"/>
      <c r="C318" s="450"/>
      <c r="D318" s="211"/>
      <c r="E318" s="211"/>
      <c r="F318" s="211"/>
      <c r="G318" s="84"/>
      <c r="H318" s="211"/>
      <c r="I318" s="211"/>
      <c r="J318" s="211"/>
      <c r="K318" s="211"/>
      <c r="L318" s="84"/>
      <c r="M318" s="211"/>
      <c r="N318" s="211"/>
      <c r="O318" s="211"/>
      <c r="P318" s="211"/>
      <c r="Q318" s="84"/>
      <c r="R318" s="211"/>
      <c r="S318" s="211"/>
      <c r="T318" s="211"/>
      <c r="U318" s="211"/>
      <c r="V318" s="84"/>
      <c r="W318" s="211"/>
      <c r="X318" s="211"/>
      <c r="Y318" s="211"/>
      <c r="Z318" s="211"/>
      <c r="AA318" s="84"/>
      <c r="AB318" s="146"/>
      <c r="AC318" s="211"/>
      <c r="AD318" s="211"/>
      <c r="AE318" s="211"/>
      <c r="AF318" s="84"/>
      <c r="AG318" s="146"/>
      <c r="AH318" s="211"/>
      <c r="AI318" s="211"/>
      <c r="AJ318" s="211"/>
      <c r="AK318" s="84"/>
      <c r="AL318" s="146"/>
      <c r="AM318" s="211"/>
      <c r="AN318" s="211"/>
      <c r="AO318" s="211"/>
      <c r="AP318" s="436"/>
      <c r="AQ318" s="146"/>
      <c r="AR318" s="211"/>
      <c r="AS318" s="211"/>
      <c r="AT318" s="211"/>
      <c r="AU318" s="84"/>
      <c r="AV318" s="211"/>
      <c r="AW318" s="211"/>
      <c r="AX318" s="211"/>
      <c r="AY318" s="211"/>
      <c r="AZ318" s="84"/>
      <c r="BA318" s="211"/>
      <c r="BB318" s="211"/>
      <c r="BC318" s="211"/>
      <c r="BD318" s="211"/>
      <c r="BE318" s="84"/>
      <c r="BF318" s="211"/>
      <c r="BG318" s="451"/>
    </row>
    <row r="319" spans="1:59" ht="12.75">
      <c r="A319" s="211"/>
      <c r="B319" s="449"/>
      <c r="C319" s="450"/>
      <c r="D319" s="211"/>
      <c r="E319" s="211"/>
      <c r="F319" s="211"/>
      <c r="G319" s="84"/>
      <c r="H319" s="211"/>
      <c r="I319" s="211"/>
      <c r="J319" s="211"/>
      <c r="K319" s="211"/>
      <c r="L319" s="84"/>
      <c r="M319" s="211"/>
      <c r="N319" s="211"/>
      <c r="O319" s="211"/>
      <c r="P319" s="211"/>
      <c r="Q319" s="84"/>
      <c r="R319" s="211"/>
      <c r="S319" s="211"/>
      <c r="T319" s="211"/>
      <c r="U319" s="211"/>
      <c r="V319" s="84"/>
      <c r="W319" s="211"/>
      <c r="X319" s="211"/>
      <c r="Y319" s="211"/>
      <c r="Z319" s="211"/>
      <c r="AA319" s="84"/>
      <c r="AB319" s="146"/>
      <c r="AC319" s="211"/>
      <c r="AD319" s="211"/>
      <c r="AE319" s="211"/>
      <c r="AF319" s="84"/>
      <c r="AG319" s="146"/>
      <c r="AH319" s="211"/>
      <c r="AI319" s="211"/>
      <c r="AJ319" s="211"/>
      <c r="AK319" s="84"/>
      <c r="AL319" s="146"/>
      <c r="AM319" s="211"/>
      <c r="AN319" s="211"/>
      <c r="AO319" s="211"/>
      <c r="AP319" s="436"/>
      <c r="AQ319" s="146"/>
      <c r="AR319" s="211"/>
      <c r="AS319" s="211"/>
      <c r="AT319" s="211"/>
      <c r="AU319" s="84"/>
      <c r="AV319" s="211"/>
      <c r="AW319" s="211"/>
      <c r="AX319" s="211"/>
      <c r="AY319" s="211"/>
      <c r="AZ319" s="84"/>
      <c r="BA319" s="211"/>
      <c r="BB319" s="211"/>
      <c r="BC319" s="211"/>
      <c r="BD319" s="211"/>
      <c r="BE319" s="84"/>
      <c r="BF319" s="211"/>
      <c r="BG319" s="451"/>
    </row>
    <row r="320" spans="1:59" ht="12.75">
      <c r="A320" s="211"/>
      <c r="B320" s="449"/>
      <c r="C320" s="450"/>
      <c r="D320" s="211"/>
      <c r="E320" s="211"/>
      <c r="F320" s="211"/>
      <c r="G320" s="84"/>
      <c r="H320" s="211"/>
      <c r="I320" s="211"/>
      <c r="J320" s="211"/>
      <c r="K320" s="211"/>
      <c r="L320" s="84"/>
      <c r="M320" s="211"/>
      <c r="N320" s="211"/>
      <c r="O320" s="211"/>
      <c r="P320" s="211"/>
      <c r="Q320" s="84"/>
      <c r="R320" s="211"/>
      <c r="S320" s="211"/>
      <c r="T320" s="211"/>
      <c r="U320" s="211"/>
      <c r="V320" s="84"/>
      <c r="W320" s="211"/>
      <c r="X320" s="211"/>
      <c r="Y320" s="211"/>
      <c r="Z320" s="211"/>
      <c r="AA320" s="84"/>
      <c r="AB320" s="146"/>
      <c r="AC320" s="211"/>
      <c r="AD320" s="211"/>
      <c r="AE320" s="211"/>
      <c r="AF320" s="84"/>
      <c r="AG320" s="146"/>
      <c r="AH320" s="211"/>
      <c r="AI320" s="211"/>
      <c r="AJ320" s="211"/>
      <c r="AK320" s="84"/>
      <c r="AL320" s="146"/>
      <c r="AM320" s="211"/>
      <c r="AN320" s="211"/>
      <c r="AO320" s="211"/>
      <c r="AP320" s="436"/>
      <c r="AQ320" s="146"/>
      <c r="AR320" s="211"/>
      <c r="AS320" s="211"/>
      <c r="AT320" s="211"/>
      <c r="AU320" s="84"/>
      <c r="AV320" s="211"/>
      <c r="AW320" s="211"/>
      <c r="AX320" s="211"/>
      <c r="AY320" s="211"/>
      <c r="AZ320" s="84"/>
      <c r="BA320" s="211"/>
      <c r="BB320" s="211"/>
      <c r="BC320" s="211"/>
      <c r="BD320" s="211"/>
      <c r="BE320" s="84"/>
      <c r="BF320" s="211"/>
      <c r="BG320" s="451"/>
    </row>
    <row r="321" spans="1:59" ht="12.75">
      <c r="A321" s="211"/>
      <c r="B321" s="449"/>
      <c r="C321" s="450"/>
      <c r="D321" s="211"/>
      <c r="E321" s="211"/>
      <c r="F321" s="211"/>
      <c r="G321" s="84"/>
      <c r="H321" s="211"/>
      <c r="I321" s="211"/>
      <c r="J321" s="211"/>
      <c r="K321" s="211"/>
      <c r="L321" s="84"/>
      <c r="M321" s="211"/>
      <c r="N321" s="211"/>
      <c r="O321" s="211"/>
      <c r="P321" s="211"/>
      <c r="Q321" s="84"/>
      <c r="R321" s="211"/>
      <c r="S321" s="211"/>
      <c r="T321" s="211"/>
      <c r="U321" s="211"/>
      <c r="V321" s="84"/>
      <c r="W321" s="211"/>
      <c r="X321" s="211"/>
      <c r="Y321" s="211"/>
      <c r="Z321" s="211"/>
      <c r="AA321" s="84"/>
      <c r="AB321" s="146"/>
      <c r="AC321" s="211"/>
      <c r="AD321" s="211"/>
      <c r="AE321" s="211"/>
      <c r="AF321" s="84"/>
      <c r="AG321" s="146"/>
      <c r="AH321" s="211"/>
      <c r="AI321" s="211"/>
      <c r="AJ321" s="211"/>
      <c r="AK321" s="84"/>
      <c r="AL321" s="146"/>
      <c r="AM321" s="211"/>
      <c r="AN321" s="211"/>
      <c r="AO321" s="211"/>
      <c r="AP321" s="436"/>
      <c r="AQ321" s="146"/>
      <c r="AR321" s="211"/>
      <c r="AS321" s="211"/>
      <c r="AT321" s="211"/>
      <c r="AU321" s="84"/>
      <c r="AV321" s="211"/>
      <c r="AW321" s="211"/>
      <c r="AX321" s="211"/>
      <c r="AY321" s="211"/>
      <c r="AZ321" s="84"/>
      <c r="BA321" s="211"/>
      <c r="BB321" s="211"/>
      <c r="BC321" s="211"/>
      <c r="BD321" s="211"/>
      <c r="BE321" s="84"/>
      <c r="BF321" s="211"/>
      <c r="BG321" s="451"/>
    </row>
    <row r="322" spans="1:59" ht="12.75">
      <c r="A322" s="211"/>
      <c r="B322" s="449"/>
      <c r="C322" s="450"/>
      <c r="D322" s="211"/>
      <c r="E322" s="211"/>
      <c r="F322" s="211"/>
      <c r="G322" s="84"/>
      <c r="H322" s="211"/>
      <c r="I322" s="211"/>
      <c r="J322" s="211"/>
      <c r="K322" s="211"/>
      <c r="L322" s="84"/>
      <c r="M322" s="211"/>
      <c r="N322" s="211"/>
      <c r="O322" s="211"/>
      <c r="P322" s="211"/>
      <c r="Q322" s="84"/>
      <c r="R322" s="211"/>
      <c r="S322" s="211"/>
      <c r="T322" s="211"/>
      <c r="U322" s="211"/>
      <c r="V322" s="84"/>
      <c r="W322" s="211"/>
      <c r="X322" s="211"/>
      <c r="Y322" s="211"/>
      <c r="Z322" s="211"/>
      <c r="AA322" s="84"/>
      <c r="AB322" s="146"/>
      <c r="AC322" s="211"/>
      <c r="AD322" s="211"/>
      <c r="AE322" s="211"/>
      <c r="AF322" s="84"/>
      <c r="AG322" s="146"/>
      <c r="AH322" s="211"/>
      <c r="AI322" s="211"/>
      <c r="AJ322" s="211"/>
      <c r="AK322" s="84"/>
      <c r="AL322" s="146"/>
      <c r="AM322" s="211"/>
      <c r="AN322" s="211"/>
      <c r="AO322" s="211"/>
      <c r="AP322" s="436"/>
      <c r="AQ322" s="146"/>
      <c r="AR322" s="211"/>
      <c r="AS322" s="211"/>
      <c r="AT322" s="211"/>
      <c r="AU322" s="84"/>
      <c r="AV322" s="211"/>
      <c r="AW322" s="211"/>
      <c r="AX322" s="211"/>
      <c r="AY322" s="211"/>
      <c r="AZ322" s="84"/>
      <c r="BA322" s="211"/>
      <c r="BB322" s="211"/>
      <c r="BC322" s="211"/>
      <c r="BD322" s="211"/>
      <c r="BE322" s="84"/>
      <c r="BF322" s="211"/>
      <c r="BG322" s="451"/>
    </row>
    <row r="323" spans="1:59" ht="12.75">
      <c r="A323" s="211"/>
      <c r="B323" s="449"/>
      <c r="C323" s="450"/>
      <c r="D323" s="211"/>
      <c r="E323" s="211"/>
      <c r="F323" s="211"/>
      <c r="G323" s="84"/>
      <c r="H323" s="211"/>
      <c r="I323" s="211"/>
      <c r="J323" s="211"/>
      <c r="K323" s="211"/>
      <c r="L323" s="84"/>
      <c r="M323" s="211"/>
      <c r="N323" s="211"/>
      <c r="O323" s="211"/>
      <c r="P323" s="211"/>
      <c r="Q323" s="84"/>
      <c r="R323" s="211"/>
      <c r="S323" s="211"/>
      <c r="T323" s="211"/>
      <c r="U323" s="211"/>
      <c r="V323" s="84"/>
      <c r="W323" s="211"/>
      <c r="X323" s="211"/>
      <c r="Y323" s="211"/>
      <c r="Z323" s="211"/>
      <c r="AA323" s="84"/>
      <c r="AB323" s="146"/>
      <c r="AC323" s="211"/>
      <c r="AD323" s="211"/>
      <c r="AE323" s="211"/>
      <c r="AF323" s="84"/>
      <c r="AG323" s="146"/>
      <c r="AH323" s="211"/>
      <c r="AI323" s="211"/>
      <c r="AJ323" s="211"/>
      <c r="AK323" s="84"/>
      <c r="AL323" s="146"/>
      <c r="AM323" s="211"/>
      <c r="AN323" s="211"/>
      <c r="AO323" s="211"/>
      <c r="AP323" s="436"/>
      <c r="AQ323" s="146"/>
      <c r="AR323" s="211"/>
      <c r="AS323" s="211"/>
      <c r="AT323" s="211"/>
      <c r="AU323" s="84"/>
      <c r="AV323" s="211"/>
      <c r="AW323" s="211"/>
      <c r="AX323" s="211"/>
      <c r="AY323" s="211"/>
      <c r="AZ323" s="84"/>
      <c r="BA323" s="211"/>
      <c r="BB323" s="211"/>
      <c r="BC323" s="211"/>
      <c r="BD323" s="211"/>
      <c r="BE323" s="84"/>
      <c r="BF323" s="211"/>
      <c r="BG323" s="451"/>
    </row>
    <row r="324" spans="1:59" ht="12.75">
      <c r="A324" s="211"/>
      <c r="B324" s="449"/>
      <c r="C324" s="450"/>
      <c r="D324" s="211"/>
      <c r="E324" s="211"/>
      <c r="F324" s="211"/>
      <c r="G324" s="84"/>
      <c r="H324" s="211"/>
      <c r="I324" s="211"/>
      <c r="J324" s="211"/>
      <c r="K324" s="211"/>
      <c r="L324" s="84"/>
      <c r="M324" s="211"/>
      <c r="N324" s="211"/>
      <c r="O324" s="211"/>
      <c r="P324" s="211"/>
      <c r="Q324" s="84"/>
      <c r="R324" s="211"/>
      <c r="S324" s="211"/>
      <c r="T324" s="211"/>
      <c r="U324" s="211"/>
      <c r="V324" s="84"/>
      <c r="W324" s="211"/>
      <c r="X324" s="211"/>
      <c r="Y324" s="211"/>
      <c r="Z324" s="211"/>
      <c r="AA324" s="84"/>
      <c r="AB324" s="146"/>
      <c r="AC324" s="211"/>
      <c r="AD324" s="211"/>
      <c r="AE324" s="211"/>
      <c r="AF324" s="84"/>
      <c r="AG324" s="146"/>
      <c r="AH324" s="211"/>
      <c r="AI324" s="211"/>
      <c r="AJ324" s="211"/>
      <c r="AK324" s="84"/>
      <c r="AL324" s="146"/>
      <c r="AM324" s="211"/>
      <c r="AN324" s="211"/>
      <c r="AO324" s="211"/>
      <c r="AP324" s="436"/>
      <c r="AQ324" s="146"/>
      <c r="AR324" s="211"/>
      <c r="AS324" s="211"/>
      <c r="AT324" s="211"/>
      <c r="AU324" s="84"/>
      <c r="AV324" s="211"/>
      <c r="AW324" s="211"/>
      <c r="AX324" s="211"/>
      <c r="AY324" s="211"/>
      <c r="AZ324" s="84"/>
      <c r="BA324" s="211"/>
      <c r="BB324" s="211"/>
      <c r="BC324" s="211"/>
      <c r="BD324" s="211"/>
      <c r="BE324" s="84"/>
      <c r="BF324" s="211"/>
      <c r="BG324" s="451"/>
    </row>
    <row r="325" spans="1:59" ht="12.75">
      <c r="A325" s="211"/>
      <c r="B325" s="449"/>
      <c r="C325" s="450"/>
      <c r="D325" s="211"/>
      <c r="E325" s="211"/>
      <c r="F325" s="211"/>
      <c r="G325" s="84"/>
      <c r="H325" s="211"/>
      <c r="I325" s="211"/>
      <c r="J325" s="211"/>
      <c r="K325" s="211"/>
      <c r="L325" s="84"/>
      <c r="M325" s="211"/>
      <c r="N325" s="211"/>
      <c r="O325" s="211"/>
      <c r="P325" s="211"/>
      <c r="Q325" s="84"/>
      <c r="R325" s="211"/>
      <c r="S325" s="211"/>
      <c r="T325" s="211"/>
      <c r="U325" s="211"/>
      <c r="V325" s="84"/>
      <c r="W325" s="211"/>
      <c r="X325" s="211"/>
      <c r="Y325" s="211"/>
      <c r="Z325" s="211"/>
      <c r="AA325" s="84"/>
      <c r="AB325" s="146"/>
      <c r="AC325" s="211"/>
      <c r="AD325" s="211"/>
      <c r="AE325" s="211"/>
      <c r="AF325" s="84"/>
      <c r="AG325" s="146"/>
      <c r="AH325" s="211"/>
      <c r="AI325" s="211"/>
      <c r="AJ325" s="211"/>
      <c r="AK325" s="84"/>
      <c r="AL325" s="146"/>
      <c r="AM325" s="211"/>
      <c r="AN325" s="211"/>
      <c r="AO325" s="211"/>
      <c r="AP325" s="436"/>
      <c r="AQ325" s="146"/>
      <c r="AR325" s="211"/>
      <c r="AS325" s="211"/>
      <c r="AT325" s="211"/>
      <c r="AU325" s="84"/>
      <c r="AV325" s="211"/>
      <c r="AW325" s="211"/>
      <c r="AX325" s="211"/>
      <c r="AY325" s="211"/>
      <c r="AZ325" s="84"/>
      <c r="BA325" s="211"/>
      <c r="BB325" s="211"/>
      <c r="BC325" s="211"/>
      <c r="BD325" s="211"/>
      <c r="BE325" s="84"/>
      <c r="BF325" s="211"/>
      <c r="BG325" s="451"/>
    </row>
    <row r="326" spans="1:59" ht="12.75">
      <c r="A326" s="211"/>
      <c r="B326" s="449"/>
      <c r="C326" s="450"/>
      <c r="D326" s="211"/>
      <c r="E326" s="211"/>
      <c r="F326" s="211"/>
      <c r="G326" s="84"/>
      <c r="H326" s="211"/>
      <c r="I326" s="211"/>
      <c r="J326" s="211"/>
      <c r="K326" s="211"/>
      <c r="L326" s="84"/>
      <c r="M326" s="211"/>
      <c r="N326" s="211"/>
      <c r="O326" s="211"/>
      <c r="P326" s="211"/>
      <c r="Q326" s="84"/>
      <c r="R326" s="211"/>
      <c r="S326" s="211"/>
      <c r="T326" s="211"/>
      <c r="U326" s="211"/>
      <c r="V326" s="84"/>
      <c r="W326" s="211"/>
      <c r="X326" s="211"/>
      <c r="Y326" s="211"/>
      <c r="Z326" s="211"/>
      <c r="AA326" s="84"/>
      <c r="AB326" s="146"/>
      <c r="AC326" s="211"/>
      <c r="AD326" s="211"/>
      <c r="AE326" s="211"/>
      <c r="AF326" s="84"/>
      <c r="AG326" s="146"/>
      <c r="AH326" s="211"/>
      <c r="AI326" s="211"/>
      <c r="AJ326" s="211"/>
      <c r="AK326" s="84"/>
      <c r="AL326" s="146"/>
      <c r="AM326" s="211"/>
      <c r="AN326" s="211"/>
      <c r="AO326" s="211"/>
      <c r="AP326" s="436"/>
      <c r="AQ326" s="146"/>
      <c r="AR326" s="211"/>
      <c r="AS326" s="211"/>
      <c r="AT326" s="211"/>
      <c r="AU326" s="84"/>
      <c r="AV326" s="211"/>
      <c r="AW326" s="211"/>
      <c r="AX326" s="211"/>
      <c r="AY326" s="211"/>
      <c r="AZ326" s="84"/>
      <c r="BA326" s="211"/>
      <c r="BB326" s="211"/>
      <c r="BC326" s="211"/>
      <c r="BD326" s="211"/>
      <c r="BE326" s="84"/>
      <c r="BF326" s="211"/>
      <c r="BG326" s="451"/>
    </row>
    <row r="327" spans="1:59" ht="12.75">
      <c r="A327" s="211"/>
      <c r="B327" s="449"/>
      <c r="C327" s="450"/>
      <c r="D327" s="211"/>
      <c r="E327" s="211"/>
      <c r="F327" s="211"/>
      <c r="G327" s="84"/>
      <c r="H327" s="211"/>
      <c r="I327" s="211"/>
      <c r="J327" s="211"/>
      <c r="K327" s="211"/>
      <c r="L327" s="84"/>
      <c r="M327" s="211"/>
      <c r="N327" s="211"/>
      <c r="O327" s="211"/>
      <c r="P327" s="211"/>
      <c r="Q327" s="84"/>
      <c r="R327" s="211"/>
      <c r="S327" s="211"/>
      <c r="T327" s="211"/>
      <c r="U327" s="211"/>
      <c r="V327" s="84"/>
      <c r="W327" s="211"/>
      <c r="X327" s="211"/>
      <c r="Y327" s="211"/>
      <c r="Z327" s="211"/>
      <c r="AA327" s="84"/>
      <c r="AB327" s="146"/>
      <c r="AC327" s="211"/>
      <c r="AD327" s="211"/>
      <c r="AE327" s="211"/>
      <c r="AF327" s="84"/>
      <c r="AG327" s="146"/>
      <c r="AH327" s="211"/>
      <c r="AI327" s="211"/>
      <c r="AJ327" s="211"/>
      <c r="AK327" s="84"/>
      <c r="AL327" s="146"/>
      <c r="AM327" s="211"/>
      <c r="AN327" s="211"/>
      <c r="AO327" s="211"/>
      <c r="AP327" s="436"/>
      <c r="AQ327" s="146"/>
      <c r="AR327" s="211"/>
      <c r="AS327" s="211"/>
      <c r="AT327" s="211"/>
      <c r="AU327" s="84"/>
      <c r="AV327" s="211"/>
      <c r="AW327" s="211"/>
      <c r="AX327" s="211"/>
      <c r="AY327" s="211"/>
      <c r="AZ327" s="84"/>
      <c r="BA327" s="211"/>
      <c r="BB327" s="211"/>
      <c r="BC327" s="211"/>
      <c r="BD327" s="211"/>
      <c r="BE327" s="84"/>
      <c r="BF327" s="211"/>
      <c r="BG327" s="451"/>
    </row>
    <row r="328" spans="1:59" ht="12.75">
      <c r="A328" s="211"/>
      <c r="B328" s="449"/>
      <c r="C328" s="450"/>
      <c r="D328" s="211"/>
      <c r="E328" s="211"/>
      <c r="F328" s="211"/>
      <c r="G328" s="84"/>
      <c r="H328" s="211"/>
      <c r="I328" s="211"/>
      <c r="J328" s="211"/>
      <c r="K328" s="211"/>
      <c r="L328" s="84"/>
      <c r="M328" s="211"/>
      <c r="N328" s="211"/>
      <c r="O328" s="211"/>
      <c r="P328" s="211"/>
      <c r="Q328" s="84"/>
      <c r="R328" s="211"/>
      <c r="S328" s="211"/>
      <c r="T328" s="211"/>
      <c r="U328" s="211"/>
      <c r="V328" s="84"/>
      <c r="W328" s="211"/>
      <c r="X328" s="211"/>
      <c r="Y328" s="211"/>
      <c r="Z328" s="211"/>
      <c r="AA328" s="84"/>
      <c r="AB328" s="146"/>
      <c r="AC328" s="211"/>
      <c r="AD328" s="211"/>
      <c r="AE328" s="211"/>
      <c r="AF328" s="84"/>
      <c r="AG328" s="146"/>
      <c r="AH328" s="211"/>
      <c r="AI328" s="211"/>
      <c r="AJ328" s="211"/>
      <c r="AK328" s="84"/>
      <c r="AL328" s="146"/>
      <c r="AM328" s="211"/>
      <c r="AN328" s="211"/>
      <c r="AO328" s="211"/>
      <c r="AP328" s="436"/>
      <c r="AQ328" s="146"/>
      <c r="AR328" s="211"/>
      <c r="AS328" s="211"/>
      <c r="AT328" s="211"/>
      <c r="AU328" s="84"/>
      <c r="AV328" s="211"/>
      <c r="AW328" s="211"/>
      <c r="AX328" s="211"/>
      <c r="AY328" s="211"/>
      <c r="AZ328" s="84"/>
      <c r="BA328" s="211"/>
      <c r="BB328" s="211"/>
      <c r="BC328" s="211"/>
      <c r="BD328" s="211"/>
      <c r="BE328" s="84"/>
      <c r="BF328" s="211"/>
      <c r="BG328" s="451"/>
    </row>
    <row r="329" spans="1:59" ht="12.75">
      <c r="A329" s="211"/>
      <c r="B329" s="449"/>
      <c r="C329" s="450"/>
      <c r="D329" s="211"/>
      <c r="E329" s="211"/>
      <c r="F329" s="211"/>
      <c r="G329" s="84"/>
      <c r="H329" s="211"/>
      <c r="I329" s="211"/>
      <c r="J329" s="211"/>
      <c r="K329" s="211"/>
      <c r="L329" s="84"/>
      <c r="M329" s="211"/>
      <c r="N329" s="211"/>
      <c r="O329" s="211"/>
      <c r="P329" s="211"/>
      <c r="Q329" s="84"/>
      <c r="R329" s="211"/>
      <c r="S329" s="211"/>
      <c r="T329" s="211"/>
      <c r="U329" s="211"/>
      <c r="V329" s="84"/>
      <c r="W329" s="211"/>
      <c r="X329" s="211"/>
      <c r="Y329" s="211"/>
      <c r="Z329" s="211"/>
      <c r="AA329" s="84"/>
      <c r="AB329" s="146"/>
      <c r="AC329" s="211"/>
      <c r="AD329" s="211"/>
      <c r="AE329" s="211"/>
      <c r="AF329" s="84"/>
      <c r="AG329" s="146"/>
      <c r="AH329" s="211"/>
      <c r="AI329" s="211"/>
      <c r="AJ329" s="211"/>
      <c r="AK329" s="84"/>
      <c r="AL329" s="146"/>
      <c r="AM329" s="211"/>
      <c r="AN329" s="211"/>
      <c r="AO329" s="211"/>
      <c r="AP329" s="436"/>
      <c r="AQ329" s="146"/>
      <c r="AR329" s="211"/>
      <c r="AS329" s="211"/>
      <c r="AT329" s="211"/>
      <c r="AU329" s="84"/>
      <c r="AV329" s="211"/>
      <c r="AW329" s="211"/>
      <c r="AX329" s="211"/>
      <c r="AY329" s="211"/>
      <c r="AZ329" s="84"/>
      <c r="BA329" s="211"/>
      <c r="BB329" s="211"/>
      <c r="BC329" s="211"/>
      <c r="BD329" s="211"/>
      <c r="BE329" s="84"/>
      <c r="BF329" s="211"/>
      <c r="BG329" s="451"/>
    </row>
    <row r="330" spans="1:59" ht="12.75">
      <c r="A330" s="211"/>
      <c r="B330" s="449"/>
      <c r="C330" s="450"/>
      <c r="D330" s="211"/>
      <c r="E330" s="211"/>
      <c r="F330" s="211"/>
      <c r="G330" s="84"/>
      <c r="H330" s="211"/>
      <c r="I330" s="211"/>
      <c r="J330" s="211"/>
      <c r="K330" s="211"/>
      <c r="L330" s="84"/>
      <c r="M330" s="211"/>
      <c r="N330" s="211"/>
      <c r="O330" s="211"/>
      <c r="P330" s="211"/>
      <c r="Q330" s="84"/>
      <c r="R330" s="211"/>
      <c r="S330" s="211"/>
      <c r="T330" s="211"/>
      <c r="U330" s="211"/>
      <c r="V330" s="84"/>
      <c r="W330" s="211"/>
      <c r="X330" s="211"/>
      <c r="Y330" s="211"/>
      <c r="Z330" s="211"/>
      <c r="AA330" s="84"/>
      <c r="AB330" s="146"/>
      <c r="AC330" s="211"/>
      <c r="AD330" s="211"/>
      <c r="AE330" s="211"/>
      <c r="AF330" s="84"/>
      <c r="AG330" s="146"/>
      <c r="AH330" s="211"/>
      <c r="AI330" s="211"/>
      <c r="AJ330" s="211"/>
      <c r="AK330" s="84"/>
      <c r="AL330" s="146"/>
      <c r="AM330" s="211"/>
      <c r="AN330" s="211"/>
      <c r="AO330" s="211"/>
      <c r="AP330" s="436"/>
      <c r="AQ330" s="146"/>
      <c r="AR330" s="211"/>
      <c r="AS330" s="211"/>
      <c r="AT330" s="211"/>
      <c r="AU330" s="84"/>
      <c r="AV330" s="211"/>
      <c r="AW330" s="211"/>
      <c r="AX330" s="211"/>
      <c r="AY330" s="211"/>
      <c r="AZ330" s="84"/>
      <c r="BA330" s="211"/>
      <c r="BB330" s="211"/>
      <c r="BC330" s="211"/>
      <c r="BD330" s="211"/>
      <c r="BE330" s="84"/>
      <c r="BF330" s="211"/>
      <c r="BG330" s="451"/>
    </row>
    <row r="331" spans="1:59" ht="12.75">
      <c r="A331" s="211"/>
      <c r="B331" s="449"/>
      <c r="C331" s="450"/>
      <c r="D331" s="211"/>
      <c r="E331" s="211"/>
      <c r="F331" s="211"/>
      <c r="G331" s="84"/>
      <c r="H331" s="211"/>
      <c r="I331" s="211"/>
      <c r="J331" s="211"/>
      <c r="K331" s="211"/>
      <c r="L331" s="84"/>
      <c r="M331" s="211"/>
      <c r="N331" s="211"/>
      <c r="O331" s="211"/>
      <c r="P331" s="211"/>
      <c r="Q331" s="84"/>
      <c r="R331" s="211"/>
      <c r="S331" s="211"/>
      <c r="T331" s="211"/>
      <c r="U331" s="211"/>
      <c r="V331" s="84"/>
      <c r="W331" s="211"/>
      <c r="X331" s="211"/>
      <c r="Y331" s="211"/>
      <c r="Z331" s="211"/>
      <c r="AA331" s="84"/>
      <c r="AB331" s="146"/>
      <c r="AC331" s="211"/>
      <c r="AD331" s="211"/>
      <c r="AE331" s="211"/>
      <c r="AF331" s="84"/>
      <c r="AG331" s="146"/>
      <c r="AH331" s="211"/>
      <c r="AI331" s="211"/>
      <c r="AJ331" s="211"/>
      <c r="AK331" s="84"/>
      <c r="AL331" s="146"/>
      <c r="AM331" s="211"/>
      <c r="AN331" s="211"/>
      <c r="AO331" s="211"/>
      <c r="AP331" s="436"/>
      <c r="AQ331" s="146"/>
      <c r="AR331" s="211"/>
      <c r="AS331" s="211"/>
      <c r="AT331" s="211"/>
      <c r="AU331" s="84"/>
      <c r="AV331" s="211"/>
      <c r="AW331" s="211"/>
      <c r="AX331" s="211"/>
      <c r="AY331" s="211"/>
      <c r="AZ331" s="84"/>
      <c r="BA331" s="211"/>
      <c r="BB331" s="211"/>
      <c r="BC331" s="211"/>
      <c r="BD331" s="211"/>
      <c r="BE331" s="84"/>
      <c r="BF331" s="211"/>
      <c r="BG331" s="451"/>
    </row>
    <row r="332" spans="1:59" ht="12.75">
      <c r="A332" s="211"/>
      <c r="B332" s="449"/>
      <c r="C332" s="450"/>
      <c r="D332" s="211"/>
      <c r="E332" s="211"/>
      <c r="F332" s="211"/>
      <c r="G332" s="84"/>
      <c r="H332" s="211"/>
      <c r="I332" s="211"/>
      <c r="J332" s="211"/>
      <c r="K332" s="211"/>
      <c r="L332" s="84"/>
      <c r="M332" s="211"/>
      <c r="N332" s="211"/>
      <c r="O332" s="211"/>
      <c r="P332" s="211"/>
      <c r="Q332" s="84"/>
      <c r="R332" s="211"/>
      <c r="S332" s="211"/>
      <c r="T332" s="211"/>
      <c r="U332" s="211"/>
      <c r="V332" s="84"/>
      <c r="W332" s="211"/>
      <c r="X332" s="211"/>
      <c r="Y332" s="211"/>
      <c r="Z332" s="211"/>
      <c r="AA332" s="84"/>
      <c r="AB332" s="146"/>
      <c r="AC332" s="211"/>
      <c r="AD332" s="211"/>
      <c r="AE332" s="211"/>
      <c r="AF332" s="84"/>
      <c r="AG332" s="146"/>
      <c r="AH332" s="211"/>
      <c r="AI332" s="211"/>
      <c r="AJ332" s="211"/>
      <c r="AK332" s="84"/>
      <c r="AL332" s="146"/>
      <c r="AM332" s="211"/>
      <c r="AN332" s="211"/>
      <c r="AO332" s="211"/>
      <c r="AP332" s="436"/>
      <c r="AQ332" s="146"/>
      <c r="AR332" s="211"/>
      <c r="AS332" s="211"/>
      <c r="AT332" s="211"/>
      <c r="AU332" s="84"/>
      <c r="AV332" s="211"/>
      <c r="AW332" s="211"/>
      <c r="AX332" s="211"/>
      <c r="AY332" s="211"/>
      <c r="AZ332" s="84"/>
      <c r="BA332" s="211"/>
      <c r="BB332" s="211"/>
      <c r="BC332" s="211"/>
      <c r="BD332" s="211"/>
      <c r="BE332" s="84"/>
      <c r="BF332" s="211"/>
      <c r="BG332" s="451"/>
    </row>
    <row r="333" spans="1:59" ht="12.75">
      <c r="A333" s="211"/>
      <c r="B333" s="449"/>
      <c r="C333" s="450"/>
      <c r="D333" s="211"/>
      <c r="E333" s="211"/>
      <c r="F333" s="211"/>
      <c r="G333" s="84"/>
      <c r="H333" s="211"/>
      <c r="I333" s="211"/>
      <c r="J333" s="211"/>
      <c r="K333" s="211"/>
      <c r="L333" s="84"/>
      <c r="M333" s="211"/>
      <c r="N333" s="211"/>
      <c r="O333" s="211"/>
      <c r="P333" s="211"/>
      <c r="Q333" s="84"/>
      <c r="R333" s="211"/>
      <c r="S333" s="211"/>
      <c r="T333" s="211"/>
      <c r="U333" s="211"/>
      <c r="V333" s="84"/>
      <c r="W333" s="211"/>
      <c r="X333" s="211"/>
      <c r="Y333" s="211"/>
      <c r="Z333" s="211"/>
      <c r="AA333" s="84"/>
      <c r="AB333" s="146"/>
      <c r="AC333" s="211"/>
      <c r="AD333" s="211"/>
      <c r="AE333" s="211"/>
      <c r="AF333" s="84"/>
      <c r="AG333" s="146"/>
      <c r="AH333" s="211"/>
      <c r="AI333" s="211"/>
      <c r="AJ333" s="211"/>
      <c r="AK333" s="84"/>
      <c r="AL333" s="146"/>
      <c r="AM333" s="211"/>
      <c r="AN333" s="211"/>
      <c r="AO333" s="211"/>
      <c r="AP333" s="436"/>
      <c r="AQ333" s="146"/>
      <c r="AR333" s="211"/>
      <c r="AS333" s="211"/>
      <c r="AT333" s="211"/>
      <c r="AU333" s="84"/>
      <c r="AV333" s="211"/>
      <c r="AW333" s="211"/>
      <c r="AX333" s="211"/>
      <c r="AY333" s="211"/>
      <c r="AZ333" s="84"/>
      <c r="BA333" s="211"/>
      <c r="BB333" s="211"/>
      <c r="BC333" s="211"/>
      <c r="BD333" s="211"/>
      <c r="BE333" s="84"/>
      <c r="BF333" s="211"/>
      <c r="BG333" s="451"/>
    </row>
    <row r="334" spans="1:59" ht="12.75">
      <c r="A334" s="211"/>
      <c r="B334" s="449"/>
      <c r="C334" s="450"/>
      <c r="D334" s="211"/>
      <c r="E334" s="211"/>
      <c r="F334" s="211"/>
      <c r="G334" s="84"/>
      <c r="H334" s="211"/>
      <c r="I334" s="211"/>
      <c r="J334" s="211"/>
      <c r="K334" s="211"/>
      <c r="L334" s="84"/>
      <c r="M334" s="211"/>
      <c r="N334" s="211"/>
      <c r="O334" s="211"/>
      <c r="P334" s="211"/>
      <c r="Q334" s="84"/>
      <c r="R334" s="211"/>
      <c r="S334" s="211"/>
      <c r="T334" s="211"/>
      <c r="U334" s="211"/>
      <c r="V334" s="84"/>
      <c r="W334" s="211"/>
      <c r="X334" s="211"/>
      <c r="Y334" s="211"/>
      <c r="Z334" s="211"/>
      <c r="AA334" s="84"/>
      <c r="AB334" s="146"/>
      <c r="AC334" s="211"/>
      <c r="AD334" s="211"/>
      <c r="AE334" s="211"/>
      <c r="AF334" s="84"/>
      <c r="AG334" s="146"/>
      <c r="AH334" s="211"/>
      <c r="AI334" s="211"/>
      <c r="AJ334" s="211"/>
      <c r="AK334" s="84"/>
      <c r="AL334" s="146"/>
      <c r="AM334" s="211"/>
      <c r="AN334" s="211"/>
      <c r="AO334" s="211"/>
      <c r="AP334" s="436"/>
      <c r="AQ334" s="146"/>
      <c r="AR334" s="211"/>
      <c r="AS334" s="211"/>
      <c r="AT334" s="211"/>
      <c r="AU334" s="84"/>
      <c r="AV334" s="211"/>
      <c r="AW334" s="211"/>
      <c r="AX334" s="211"/>
      <c r="AY334" s="211"/>
      <c r="AZ334" s="84"/>
      <c r="BA334" s="211"/>
      <c r="BB334" s="211"/>
      <c r="BC334" s="211"/>
      <c r="BD334" s="211"/>
      <c r="BE334" s="84"/>
      <c r="BF334" s="211"/>
      <c r="BG334" s="451"/>
    </row>
    <row r="335" spans="1:59" ht="12.75">
      <c r="A335" s="211"/>
      <c r="B335" s="449"/>
      <c r="C335" s="450"/>
      <c r="D335" s="211"/>
      <c r="E335" s="211"/>
      <c r="F335" s="211"/>
      <c r="G335" s="84"/>
      <c r="H335" s="211"/>
      <c r="I335" s="211"/>
      <c r="J335" s="211"/>
      <c r="K335" s="211"/>
      <c r="L335" s="84"/>
      <c r="M335" s="211"/>
      <c r="N335" s="211"/>
      <c r="O335" s="211"/>
      <c r="P335" s="211"/>
      <c r="Q335" s="84"/>
      <c r="R335" s="211"/>
      <c r="S335" s="211"/>
      <c r="T335" s="211"/>
      <c r="U335" s="211"/>
      <c r="V335" s="84"/>
      <c r="W335" s="211"/>
      <c r="X335" s="211"/>
      <c r="Y335" s="211"/>
      <c r="Z335" s="211"/>
      <c r="AA335" s="84"/>
      <c r="AB335" s="146"/>
      <c r="AC335" s="211"/>
      <c r="AD335" s="211"/>
      <c r="AE335" s="211"/>
      <c r="AF335" s="84"/>
      <c r="AG335" s="146"/>
      <c r="AH335" s="211"/>
      <c r="AI335" s="211"/>
      <c r="AJ335" s="211"/>
      <c r="AK335" s="84"/>
      <c r="AL335" s="146"/>
      <c r="AM335" s="211"/>
      <c r="AN335" s="211"/>
      <c r="AO335" s="211"/>
      <c r="AP335" s="436"/>
      <c r="AQ335" s="146"/>
      <c r="AR335" s="211"/>
      <c r="AS335" s="211"/>
      <c r="AT335" s="211"/>
      <c r="AU335" s="84"/>
      <c r="AV335" s="211"/>
      <c r="AW335" s="211"/>
      <c r="AX335" s="211"/>
      <c r="AY335" s="211"/>
      <c r="AZ335" s="84"/>
      <c r="BA335" s="211"/>
      <c r="BB335" s="211"/>
      <c r="BC335" s="211"/>
      <c r="BD335" s="211"/>
      <c r="BE335" s="84"/>
      <c r="BF335" s="211"/>
      <c r="BG335" s="451"/>
    </row>
    <row r="336" spans="1:59" ht="12.75">
      <c r="A336" s="211"/>
      <c r="B336" s="449"/>
      <c r="C336" s="450"/>
      <c r="D336" s="211"/>
      <c r="E336" s="211"/>
      <c r="F336" s="211"/>
      <c r="G336" s="84"/>
      <c r="H336" s="211"/>
      <c r="I336" s="211"/>
      <c r="J336" s="211"/>
      <c r="K336" s="211"/>
      <c r="L336" s="84"/>
      <c r="M336" s="211"/>
      <c r="N336" s="211"/>
      <c r="O336" s="211"/>
      <c r="P336" s="211"/>
      <c r="Q336" s="84"/>
      <c r="R336" s="211"/>
      <c r="S336" s="211"/>
      <c r="T336" s="211"/>
      <c r="U336" s="211"/>
      <c r="V336" s="84"/>
      <c r="W336" s="211"/>
      <c r="X336" s="211"/>
      <c r="Y336" s="211"/>
      <c r="Z336" s="211"/>
      <c r="AA336" s="84"/>
      <c r="AB336" s="146"/>
      <c r="AC336" s="211"/>
      <c r="AD336" s="211"/>
      <c r="AE336" s="211"/>
      <c r="AF336" s="84"/>
      <c r="AG336" s="146"/>
      <c r="AH336" s="211"/>
      <c r="AI336" s="211"/>
      <c r="AJ336" s="211"/>
      <c r="AK336" s="84"/>
      <c r="AL336" s="146"/>
      <c r="AM336" s="211"/>
      <c r="AN336" s="211"/>
      <c r="AO336" s="211"/>
      <c r="AP336" s="436"/>
      <c r="AQ336" s="146"/>
      <c r="AR336" s="211"/>
      <c r="AS336" s="211"/>
      <c r="AT336" s="211"/>
      <c r="AU336" s="84"/>
      <c r="AV336" s="211"/>
      <c r="AW336" s="211"/>
      <c r="AX336" s="211"/>
      <c r="AY336" s="211"/>
      <c r="AZ336" s="84"/>
      <c r="BA336" s="211"/>
      <c r="BB336" s="211"/>
      <c r="BC336" s="211"/>
      <c r="BD336" s="211"/>
      <c r="BE336" s="84"/>
      <c r="BF336" s="211"/>
      <c r="BG336" s="451"/>
    </row>
    <row r="337" spans="1:59" ht="12.75">
      <c r="A337" s="211"/>
      <c r="B337" s="449"/>
      <c r="C337" s="450"/>
      <c r="D337" s="211"/>
      <c r="E337" s="211"/>
      <c r="F337" s="211"/>
      <c r="G337" s="84"/>
      <c r="H337" s="211"/>
      <c r="I337" s="211"/>
      <c r="J337" s="211"/>
      <c r="K337" s="211"/>
      <c r="L337" s="84"/>
      <c r="M337" s="211"/>
      <c r="N337" s="211"/>
      <c r="O337" s="211"/>
      <c r="P337" s="211"/>
      <c r="Q337" s="84"/>
      <c r="R337" s="211"/>
      <c r="S337" s="211"/>
      <c r="T337" s="211"/>
      <c r="U337" s="211"/>
      <c r="V337" s="84"/>
      <c r="W337" s="211"/>
      <c r="X337" s="211"/>
      <c r="Y337" s="211"/>
      <c r="Z337" s="211"/>
      <c r="AA337" s="84"/>
      <c r="AB337" s="146"/>
      <c r="AC337" s="211"/>
      <c r="AD337" s="211"/>
      <c r="AE337" s="211"/>
      <c r="AF337" s="84"/>
      <c r="AG337" s="146"/>
      <c r="AH337" s="211"/>
      <c r="AI337" s="211"/>
      <c r="AJ337" s="211"/>
      <c r="AK337" s="84"/>
      <c r="AL337" s="146"/>
      <c r="AM337" s="211"/>
      <c r="AN337" s="211"/>
      <c r="AO337" s="211"/>
      <c r="AP337" s="436"/>
      <c r="AQ337" s="146"/>
      <c r="AR337" s="211"/>
      <c r="AS337" s="211"/>
      <c r="AT337" s="211"/>
      <c r="AU337" s="84"/>
      <c r="AV337" s="211"/>
      <c r="AW337" s="211"/>
      <c r="AX337" s="211"/>
      <c r="AY337" s="211"/>
      <c r="AZ337" s="84"/>
      <c r="BA337" s="211"/>
      <c r="BB337" s="211"/>
      <c r="BC337" s="211"/>
      <c r="BD337" s="211"/>
      <c r="BE337" s="84"/>
      <c r="BF337" s="211"/>
      <c r="BG337" s="451"/>
    </row>
    <row r="338" spans="1:59" ht="12.75">
      <c r="A338" s="211"/>
      <c r="B338" s="449"/>
      <c r="C338" s="450"/>
      <c r="D338" s="211"/>
      <c r="E338" s="211"/>
      <c r="F338" s="211"/>
      <c r="G338" s="84"/>
      <c r="H338" s="211"/>
      <c r="I338" s="211"/>
      <c r="J338" s="211"/>
      <c r="K338" s="211"/>
      <c r="L338" s="84"/>
      <c r="M338" s="211"/>
      <c r="N338" s="211"/>
      <c r="O338" s="211"/>
      <c r="P338" s="211"/>
      <c r="Q338" s="84"/>
      <c r="R338" s="211"/>
      <c r="S338" s="211"/>
      <c r="T338" s="211"/>
      <c r="U338" s="211"/>
      <c r="V338" s="84"/>
      <c r="W338" s="211"/>
      <c r="X338" s="211"/>
      <c r="Y338" s="211"/>
      <c r="Z338" s="211"/>
      <c r="AA338" s="84"/>
      <c r="AB338" s="146"/>
      <c r="AC338" s="211"/>
      <c r="AD338" s="211"/>
      <c r="AE338" s="211"/>
      <c r="AF338" s="84"/>
      <c r="AG338" s="146"/>
      <c r="AH338" s="211"/>
      <c r="AI338" s="211"/>
      <c r="AJ338" s="211"/>
      <c r="AK338" s="84"/>
      <c r="AL338" s="146"/>
      <c r="AM338" s="211"/>
      <c r="AN338" s="211"/>
      <c r="AO338" s="211"/>
      <c r="AP338" s="436"/>
      <c r="AQ338" s="146"/>
      <c r="AR338" s="211"/>
      <c r="AS338" s="211"/>
      <c r="AT338" s="211"/>
      <c r="AU338" s="84"/>
      <c r="AV338" s="211"/>
      <c r="AW338" s="211"/>
      <c r="AX338" s="211"/>
      <c r="AY338" s="211"/>
      <c r="AZ338" s="84"/>
      <c r="BA338" s="211"/>
      <c r="BB338" s="211"/>
      <c r="BC338" s="211"/>
      <c r="BD338" s="211"/>
      <c r="BE338" s="84"/>
      <c r="BF338" s="211"/>
      <c r="BG338" s="451"/>
    </row>
    <row r="339" spans="1:59" ht="12.75">
      <c r="A339" s="211"/>
      <c r="B339" s="449"/>
      <c r="C339" s="450"/>
      <c r="D339" s="211"/>
      <c r="E339" s="211"/>
      <c r="F339" s="211"/>
      <c r="G339" s="84"/>
      <c r="H339" s="211"/>
      <c r="I339" s="211"/>
      <c r="J339" s="211"/>
      <c r="K339" s="211"/>
      <c r="L339" s="84"/>
      <c r="M339" s="211"/>
      <c r="N339" s="211"/>
      <c r="O339" s="211"/>
      <c r="P339" s="211"/>
      <c r="Q339" s="84"/>
      <c r="R339" s="211"/>
      <c r="S339" s="211"/>
      <c r="T339" s="211"/>
      <c r="U339" s="211"/>
      <c r="V339" s="84"/>
      <c r="W339" s="211"/>
      <c r="X339" s="211"/>
      <c r="Y339" s="211"/>
      <c r="Z339" s="211"/>
      <c r="AA339" s="84"/>
      <c r="AB339" s="146"/>
      <c r="AC339" s="211"/>
      <c r="AD339" s="211"/>
      <c r="AE339" s="211"/>
      <c r="AF339" s="84"/>
      <c r="AG339" s="146"/>
      <c r="AH339" s="211"/>
      <c r="AI339" s="211"/>
      <c r="AJ339" s="211"/>
      <c r="AK339" s="84"/>
      <c r="AL339" s="146"/>
      <c r="AM339" s="211"/>
      <c r="AN339" s="211"/>
      <c r="AO339" s="211"/>
      <c r="AP339" s="436"/>
      <c r="AQ339" s="146"/>
      <c r="AR339" s="211"/>
      <c r="AS339" s="211"/>
      <c r="AT339" s="211"/>
      <c r="AU339" s="84"/>
      <c r="AV339" s="211"/>
      <c r="AW339" s="211"/>
      <c r="AX339" s="211"/>
      <c r="AY339" s="211"/>
      <c r="AZ339" s="84"/>
      <c r="BA339" s="211"/>
      <c r="BB339" s="211"/>
      <c r="BC339" s="211"/>
      <c r="BD339" s="211"/>
      <c r="BE339" s="84"/>
      <c r="BF339" s="211"/>
      <c r="BG339" s="451"/>
    </row>
    <row r="340" spans="1:59" ht="12.75">
      <c r="A340" s="211"/>
      <c r="B340" s="449"/>
      <c r="C340" s="450"/>
      <c r="D340" s="211"/>
      <c r="E340" s="211"/>
      <c r="F340" s="211"/>
      <c r="G340" s="84"/>
      <c r="H340" s="211"/>
      <c r="I340" s="211"/>
      <c r="J340" s="211"/>
      <c r="K340" s="211"/>
      <c r="L340" s="84"/>
      <c r="M340" s="211"/>
      <c r="N340" s="211"/>
      <c r="O340" s="211"/>
      <c r="P340" s="211"/>
      <c r="Q340" s="84"/>
      <c r="R340" s="211"/>
      <c r="S340" s="211"/>
      <c r="T340" s="211"/>
      <c r="U340" s="211"/>
      <c r="V340" s="84"/>
      <c r="W340" s="211"/>
      <c r="X340" s="211"/>
      <c r="Y340" s="211"/>
      <c r="Z340" s="211"/>
      <c r="AA340" s="84"/>
      <c r="AB340" s="146"/>
      <c r="AC340" s="211"/>
      <c r="AD340" s="211"/>
      <c r="AE340" s="211"/>
      <c r="AF340" s="84"/>
      <c r="AG340" s="146"/>
      <c r="AH340" s="211"/>
      <c r="AI340" s="211"/>
      <c r="AJ340" s="211"/>
      <c r="AK340" s="84"/>
      <c r="AL340" s="146"/>
      <c r="AM340" s="211"/>
      <c r="AN340" s="211"/>
      <c r="AO340" s="211"/>
      <c r="AP340" s="436"/>
      <c r="AQ340" s="146"/>
      <c r="AR340" s="211"/>
      <c r="AS340" s="211"/>
      <c r="AT340" s="211"/>
      <c r="AU340" s="84"/>
      <c r="AV340" s="211"/>
      <c r="AW340" s="211"/>
      <c r="AX340" s="211"/>
      <c r="AY340" s="211"/>
      <c r="AZ340" s="84"/>
      <c r="BA340" s="211"/>
      <c r="BB340" s="211"/>
      <c r="BC340" s="211"/>
      <c r="BD340" s="211"/>
      <c r="BE340" s="84"/>
      <c r="BF340" s="211"/>
      <c r="BG340" s="451"/>
    </row>
    <row r="341" spans="1:59" ht="12.75">
      <c r="A341" s="211"/>
      <c r="B341" s="449"/>
      <c r="C341" s="450"/>
      <c r="D341" s="211"/>
      <c r="E341" s="211"/>
      <c r="F341" s="211"/>
      <c r="G341" s="84"/>
      <c r="H341" s="211"/>
      <c r="I341" s="211"/>
      <c r="J341" s="211"/>
      <c r="K341" s="211"/>
      <c r="L341" s="84"/>
      <c r="M341" s="211"/>
      <c r="N341" s="211"/>
      <c r="O341" s="211"/>
      <c r="P341" s="211"/>
      <c r="Q341" s="84"/>
      <c r="R341" s="211"/>
      <c r="S341" s="211"/>
      <c r="T341" s="211"/>
      <c r="U341" s="211"/>
      <c r="V341" s="84"/>
      <c r="W341" s="211"/>
      <c r="X341" s="211"/>
      <c r="Y341" s="211"/>
      <c r="Z341" s="211"/>
      <c r="AA341" s="84"/>
      <c r="AB341" s="146"/>
      <c r="AC341" s="211"/>
      <c r="AD341" s="211"/>
      <c r="AE341" s="211"/>
      <c r="AF341" s="84"/>
      <c r="AG341" s="146"/>
      <c r="AH341" s="211"/>
      <c r="AI341" s="211"/>
      <c r="AJ341" s="211"/>
      <c r="AK341" s="84"/>
      <c r="AL341" s="146"/>
      <c r="AM341" s="211"/>
      <c r="AN341" s="211"/>
      <c r="AO341" s="211"/>
      <c r="AP341" s="436"/>
      <c r="AQ341" s="146"/>
      <c r="AR341" s="211"/>
      <c r="AS341" s="211"/>
      <c r="AT341" s="211"/>
      <c r="AU341" s="84"/>
      <c r="AV341" s="211"/>
      <c r="AW341" s="211"/>
      <c r="AX341" s="211"/>
      <c r="AY341" s="211"/>
      <c r="AZ341" s="84"/>
      <c r="BA341" s="211"/>
      <c r="BB341" s="211"/>
      <c r="BC341" s="211"/>
      <c r="BD341" s="211"/>
      <c r="BE341" s="84"/>
      <c r="BF341" s="211"/>
      <c r="BG341" s="451"/>
    </row>
    <row r="342" spans="1:59" ht="12.75">
      <c r="A342" s="211"/>
      <c r="B342" s="449"/>
      <c r="C342" s="450"/>
      <c r="D342" s="211"/>
      <c r="E342" s="211"/>
      <c r="F342" s="211"/>
      <c r="G342" s="84"/>
      <c r="H342" s="211"/>
      <c r="I342" s="211"/>
      <c r="J342" s="211"/>
      <c r="K342" s="211"/>
      <c r="L342" s="84"/>
      <c r="M342" s="211"/>
      <c r="N342" s="211"/>
      <c r="O342" s="211"/>
      <c r="P342" s="211"/>
      <c r="Q342" s="84"/>
      <c r="R342" s="211"/>
      <c r="S342" s="211"/>
      <c r="T342" s="211"/>
      <c r="U342" s="211"/>
      <c r="V342" s="84"/>
      <c r="W342" s="211"/>
      <c r="X342" s="211"/>
      <c r="Y342" s="211"/>
      <c r="Z342" s="211"/>
      <c r="AA342" s="84"/>
      <c r="AB342" s="146"/>
      <c r="AC342" s="211"/>
      <c r="AD342" s="211"/>
      <c r="AE342" s="211"/>
      <c r="AF342" s="84"/>
      <c r="AG342" s="146"/>
      <c r="AH342" s="211"/>
      <c r="AI342" s="211"/>
      <c r="AJ342" s="211"/>
      <c r="AK342" s="84"/>
      <c r="AL342" s="146"/>
      <c r="AM342" s="211"/>
      <c r="AN342" s="211"/>
      <c r="AO342" s="211"/>
      <c r="AP342" s="436"/>
      <c r="AQ342" s="146"/>
      <c r="AR342" s="211"/>
      <c r="AS342" s="211"/>
      <c r="AT342" s="211"/>
      <c r="AU342" s="84"/>
      <c r="AV342" s="211"/>
      <c r="AW342" s="211"/>
      <c r="AX342" s="211"/>
      <c r="AY342" s="211"/>
      <c r="AZ342" s="84"/>
      <c r="BA342" s="211"/>
      <c r="BB342" s="211"/>
      <c r="BC342" s="211"/>
      <c r="BD342" s="211"/>
      <c r="BE342" s="84"/>
      <c r="BF342" s="211"/>
      <c r="BG342" s="451"/>
    </row>
    <row r="343" spans="1:59" ht="12.75">
      <c r="A343" s="211"/>
      <c r="B343" s="449"/>
      <c r="C343" s="450"/>
      <c r="D343" s="211"/>
      <c r="E343" s="211"/>
      <c r="F343" s="211"/>
      <c r="G343" s="84"/>
      <c r="H343" s="211"/>
      <c r="I343" s="211"/>
      <c r="J343" s="211"/>
      <c r="K343" s="211"/>
      <c r="L343" s="84"/>
      <c r="M343" s="211"/>
      <c r="N343" s="211"/>
      <c r="O343" s="211"/>
      <c r="P343" s="211"/>
      <c r="Q343" s="84"/>
      <c r="R343" s="211"/>
      <c r="S343" s="211"/>
      <c r="T343" s="211"/>
      <c r="U343" s="211"/>
      <c r="V343" s="84"/>
      <c r="W343" s="211"/>
      <c r="X343" s="211"/>
      <c r="Y343" s="211"/>
      <c r="Z343" s="211"/>
      <c r="AA343" s="84"/>
      <c r="AB343" s="146"/>
      <c r="AC343" s="211"/>
      <c r="AD343" s="211"/>
      <c r="AE343" s="211"/>
      <c r="AF343" s="84"/>
      <c r="AG343" s="146"/>
      <c r="AH343" s="211"/>
      <c r="AI343" s="211"/>
      <c r="AJ343" s="211"/>
      <c r="AK343" s="84"/>
      <c r="AL343" s="146"/>
      <c r="AM343" s="211"/>
      <c r="AN343" s="211"/>
      <c r="AO343" s="211"/>
      <c r="AP343" s="436"/>
      <c r="AQ343" s="146"/>
      <c r="AR343" s="211"/>
      <c r="AS343" s="211"/>
      <c r="AT343" s="211"/>
      <c r="AU343" s="84"/>
      <c r="AV343" s="211"/>
      <c r="AW343" s="211"/>
      <c r="AX343" s="211"/>
      <c r="AY343" s="211"/>
      <c r="AZ343" s="84"/>
      <c r="BA343" s="211"/>
      <c r="BB343" s="211"/>
      <c r="BC343" s="211"/>
      <c r="BD343" s="211"/>
      <c r="BE343" s="84"/>
      <c r="BF343" s="211"/>
      <c r="BG343" s="451"/>
    </row>
    <row r="344" spans="1:59" ht="12.75">
      <c r="A344" s="211"/>
      <c r="B344" s="449"/>
      <c r="C344" s="450"/>
      <c r="D344" s="211"/>
      <c r="E344" s="211"/>
      <c r="F344" s="211"/>
      <c r="G344" s="84"/>
      <c r="H344" s="211"/>
      <c r="I344" s="211"/>
      <c r="J344" s="211"/>
      <c r="K344" s="211"/>
      <c r="L344" s="84"/>
      <c r="M344" s="211"/>
      <c r="N344" s="211"/>
      <c r="O344" s="211"/>
      <c r="P344" s="211"/>
      <c r="Q344" s="84"/>
      <c r="R344" s="211"/>
      <c r="S344" s="211"/>
      <c r="T344" s="211"/>
      <c r="U344" s="211"/>
      <c r="V344" s="84"/>
      <c r="W344" s="211"/>
      <c r="X344" s="211"/>
      <c r="Y344" s="211"/>
      <c r="Z344" s="211"/>
      <c r="AA344" s="84"/>
      <c r="AB344" s="146"/>
      <c r="AC344" s="211"/>
      <c r="AD344" s="211"/>
      <c r="AE344" s="211"/>
      <c r="AF344" s="84"/>
      <c r="AG344" s="146"/>
      <c r="AH344" s="211"/>
      <c r="AI344" s="211"/>
      <c r="AJ344" s="211"/>
      <c r="AK344" s="84"/>
      <c r="AL344" s="146"/>
      <c r="AM344" s="211"/>
      <c r="AN344" s="211"/>
      <c r="AO344" s="211"/>
      <c r="AP344" s="436"/>
      <c r="AQ344" s="146"/>
      <c r="AR344" s="211"/>
      <c r="AS344" s="211"/>
      <c r="AT344" s="211"/>
      <c r="AU344" s="84"/>
      <c r="AV344" s="211"/>
      <c r="AW344" s="211"/>
      <c r="AX344" s="211"/>
      <c r="AY344" s="211"/>
      <c r="AZ344" s="84"/>
      <c r="BA344" s="211"/>
      <c r="BB344" s="211"/>
      <c r="BC344" s="211"/>
      <c r="BD344" s="211"/>
      <c r="BE344" s="84"/>
      <c r="BF344" s="211"/>
      <c r="BG344" s="451"/>
    </row>
    <row r="345" spans="1:59" ht="12.75">
      <c r="A345" s="211"/>
      <c r="B345" s="449"/>
      <c r="C345" s="450"/>
      <c r="D345" s="211"/>
      <c r="E345" s="211"/>
      <c r="F345" s="211"/>
      <c r="G345" s="84"/>
      <c r="H345" s="211"/>
      <c r="I345" s="211"/>
      <c r="J345" s="211"/>
      <c r="K345" s="211"/>
      <c r="L345" s="84"/>
      <c r="M345" s="211"/>
      <c r="N345" s="211"/>
      <c r="O345" s="211"/>
      <c r="P345" s="211"/>
      <c r="Q345" s="84"/>
      <c r="R345" s="211"/>
      <c r="S345" s="211"/>
      <c r="T345" s="211"/>
      <c r="U345" s="211"/>
      <c r="V345" s="84"/>
      <c r="W345" s="211"/>
      <c r="X345" s="211"/>
      <c r="Y345" s="211"/>
      <c r="Z345" s="211"/>
      <c r="AA345" s="84"/>
      <c r="AB345" s="146"/>
      <c r="AC345" s="211"/>
      <c r="AD345" s="211"/>
      <c r="AE345" s="211"/>
      <c r="AF345" s="84"/>
      <c r="AG345" s="146"/>
      <c r="AH345" s="211"/>
      <c r="AI345" s="211"/>
      <c r="AJ345" s="211"/>
      <c r="AK345" s="84"/>
      <c r="AL345" s="146"/>
      <c r="AM345" s="211"/>
      <c r="AN345" s="211"/>
      <c r="AO345" s="211"/>
      <c r="AP345" s="436"/>
      <c r="AQ345" s="146"/>
      <c r="AR345" s="211"/>
      <c r="AS345" s="211"/>
      <c r="AT345" s="211"/>
      <c r="AU345" s="84"/>
      <c r="AV345" s="211"/>
      <c r="AW345" s="211"/>
      <c r="AX345" s="211"/>
      <c r="AY345" s="211"/>
      <c r="AZ345" s="84"/>
      <c r="BA345" s="211"/>
      <c r="BB345" s="211"/>
      <c r="BC345" s="211"/>
      <c r="BD345" s="211"/>
      <c r="BE345" s="84"/>
      <c r="BF345" s="211"/>
      <c r="BG345" s="451"/>
    </row>
    <row r="346" spans="1:59" ht="12.75">
      <c r="A346" s="211"/>
      <c r="B346" s="449"/>
      <c r="C346" s="450"/>
      <c r="D346" s="211"/>
      <c r="E346" s="211"/>
      <c r="F346" s="211"/>
      <c r="G346" s="84"/>
      <c r="H346" s="211"/>
      <c r="I346" s="211"/>
      <c r="J346" s="211"/>
      <c r="K346" s="211"/>
      <c r="L346" s="84"/>
      <c r="M346" s="211"/>
      <c r="N346" s="211"/>
      <c r="O346" s="211"/>
      <c r="P346" s="211"/>
      <c r="Q346" s="84"/>
      <c r="R346" s="211"/>
      <c r="S346" s="211"/>
      <c r="T346" s="211"/>
      <c r="U346" s="211"/>
      <c r="V346" s="84"/>
      <c r="W346" s="211"/>
      <c r="X346" s="211"/>
      <c r="Y346" s="211"/>
      <c r="Z346" s="211"/>
      <c r="AA346" s="84"/>
      <c r="AB346" s="146"/>
      <c r="AC346" s="211"/>
      <c r="AD346" s="211"/>
      <c r="AE346" s="211"/>
      <c r="AF346" s="84"/>
      <c r="AG346" s="146"/>
      <c r="AH346" s="211"/>
      <c r="AI346" s="211"/>
      <c r="AJ346" s="211"/>
      <c r="AK346" s="84"/>
      <c r="AL346" s="146"/>
      <c r="AM346" s="211"/>
      <c r="AN346" s="211"/>
      <c r="AO346" s="211"/>
      <c r="AP346" s="436"/>
      <c r="AQ346" s="146"/>
      <c r="AR346" s="211"/>
      <c r="AS346" s="211"/>
      <c r="AT346" s="211"/>
      <c r="AU346" s="84"/>
      <c r="AV346" s="211"/>
      <c r="AW346" s="211"/>
      <c r="AX346" s="211"/>
      <c r="AY346" s="211"/>
      <c r="AZ346" s="84"/>
      <c r="BA346" s="211"/>
      <c r="BB346" s="211"/>
      <c r="BC346" s="211"/>
      <c r="BD346" s="211"/>
      <c r="BE346" s="84"/>
      <c r="BF346" s="211"/>
      <c r="BG346" s="451"/>
    </row>
    <row r="347" spans="1:59" ht="12.75">
      <c r="A347" s="211"/>
      <c r="B347" s="449"/>
      <c r="C347" s="450"/>
      <c r="D347" s="211"/>
      <c r="E347" s="211"/>
      <c r="F347" s="211"/>
      <c r="G347" s="84"/>
      <c r="H347" s="211"/>
      <c r="I347" s="211"/>
      <c r="J347" s="211"/>
      <c r="K347" s="211"/>
      <c r="L347" s="84"/>
      <c r="M347" s="211"/>
      <c r="N347" s="211"/>
      <c r="O347" s="211"/>
      <c r="P347" s="211"/>
      <c r="Q347" s="84"/>
      <c r="R347" s="211"/>
      <c r="S347" s="211"/>
      <c r="T347" s="211"/>
      <c r="U347" s="211"/>
      <c r="V347" s="84"/>
      <c r="W347" s="211"/>
      <c r="X347" s="211"/>
      <c r="Y347" s="211"/>
      <c r="Z347" s="211"/>
      <c r="AA347" s="84"/>
      <c r="AB347" s="146"/>
      <c r="AC347" s="211"/>
      <c r="AD347" s="211"/>
      <c r="AE347" s="211"/>
      <c r="AF347" s="84"/>
      <c r="AG347" s="146"/>
      <c r="AH347" s="211"/>
      <c r="AI347" s="211"/>
      <c r="AJ347" s="211"/>
      <c r="AK347" s="84"/>
      <c r="AL347" s="146"/>
      <c r="AM347" s="211"/>
      <c r="AN347" s="211"/>
      <c r="AO347" s="211"/>
      <c r="AP347" s="436"/>
      <c r="AQ347" s="146"/>
      <c r="AR347" s="211"/>
      <c r="AS347" s="211"/>
      <c r="AT347" s="211"/>
      <c r="AU347" s="84"/>
      <c r="AV347" s="211"/>
      <c r="AW347" s="211"/>
      <c r="AX347" s="211"/>
      <c r="AY347" s="211"/>
      <c r="AZ347" s="84"/>
      <c r="BA347" s="211"/>
      <c r="BB347" s="211"/>
      <c r="BC347" s="211"/>
      <c r="BD347" s="211"/>
      <c r="BE347" s="84"/>
      <c r="BF347" s="211"/>
      <c r="BG347" s="451"/>
    </row>
    <row r="348" spans="1:59" ht="12.75">
      <c r="A348" s="211"/>
      <c r="B348" s="449"/>
      <c r="C348" s="450"/>
      <c r="D348" s="211"/>
      <c r="E348" s="211"/>
      <c r="F348" s="211"/>
      <c r="G348" s="84"/>
      <c r="H348" s="211"/>
      <c r="I348" s="211"/>
      <c r="J348" s="211"/>
      <c r="K348" s="211"/>
      <c r="L348" s="84"/>
      <c r="M348" s="211"/>
      <c r="N348" s="211"/>
      <c r="O348" s="211"/>
      <c r="P348" s="211"/>
      <c r="Q348" s="84"/>
      <c r="R348" s="211"/>
      <c r="S348" s="211"/>
      <c r="T348" s="211"/>
      <c r="U348" s="211"/>
      <c r="V348" s="84"/>
      <c r="W348" s="211"/>
      <c r="X348" s="211"/>
      <c r="Y348" s="211"/>
      <c r="Z348" s="211"/>
      <c r="AA348" s="84"/>
      <c r="AB348" s="146"/>
      <c r="AC348" s="211"/>
      <c r="AD348" s="211"/>
      <c r="AE348" s="211"/>
      <c r="AF348" s="84"/>
      <c r="AG348" s="146"/>
      <c r="AH348" s="211"/>
      <c r="AI348" s="211"/>
      <c r="AJ348" s="211"/>
      <c r="AK348" s="84"/>
      <c r="AL348" s="146"/>
      <c r="AM348" s="211"/>
      <c r="AN348" s="211"/>
      <c r="AO348" s="211"/>
      <c r="AP348" s="436"/>
      <c r="AQ348" s="146"/>
      <c r="AR348" s="211"/>
      <c r="AS348" s="211"/>
      <c r="AT348" s="211"/>
      <c r="AU348" s="84"/>
      <c r="AV348" s="211"/>
      <c r="AW348" s="211"/>
      <c r="AX348" s="211"/>
      <c r="AY348" s="211"/>
      <c r="AZ348" s="84"/>
      <c r="BA348" s="211"/>
      <c r="BB348" s="211"/>
      <c r="BC348" s="211"/>
      <c r="BD348" s="211"/>
      <c r="BE348" s="84"/>
      <c r="BF348" s="211"/>
      <c r="BG348" s="451"/>
    </row>
    <row r="349" spans="1:59" ht="12.75">
      <c r="A349" s="211"/>
      <c r="B349" s="449"/>
      <c r="C349" s="450"/>
      <c r="D349" s="211"/>
      <c r="E349" s="211"/>
      <c r="F349" s="211"/>
      <c r="G349" s="84"/>
      <c r="H349" s="211"/>
      <c r="I349" s="211"/>
      <c r="J349" s="211"/>
      <c r="K349" s="211"/>
      <c r="L349" s="84"/>
      <c r="M349" s="211"/>
      <c r="N349" s="211"/>
      <c r="O349" s="211"/>
      <c r="P349" s="211"/>
      <c r="Q349" s="84"/>
      <c r="R349" s="211"/>
      <c r="S349" s="211"/>
      <c r="T349" s="211"/>
      <c r="U349" s="211"/>
      <c r="V349" s="84"/>
      <c r="W349" s="211"/>
      <c r="X349" s="211"/>
      <c r="Y349" s="211"/>
      <c r="Z349" s="211"/>
      <c r="AA349" s="84"/>
      <c r="AB349" s="146"/>
      <c r="AC349" s="211"/>
      <c r="AD349" s="211"/>
      <c r="AE349" s="211"/>
      <c r="AF349" s="84"/>
      <c r="AG349" s="146"/>
      <c r="AH349" s="211"/>
      <c r="AI349" s="211"/>
      <c r="AJ349" s="211"/>
      <c r="AK349" s="84"/>
      <c r="AL349" s="146"/>
      <c r="AM349" s="211"/>
      <c r="AN349" s="211"/>
      <c r="AO349" s="211"/>
      <c r="AP349" s="436"/>
      <c r="AQ349" s="146"/>
      <c r="AR349" s="211"/>
      <c r="AS349" s="211"/>
      <c r="AT349" s="211"/>
      <c r="AU349" s="84"/>
      <c r="AV349" s="211"/>
      <c r="AW349" s="211"/>
      <c r="AX349" s="211"/>
      <c r="AY349" s="211"/>
      <c r="AZ349" s="84"/>
      <c r="BA349" s="211"/>
      <c r="BB349" s="211"/>
      <c r="BC349" s="211"/>
      <c r="BD349" s="211"/>
      <c r="BE349" s="84"/>
      <c r="BF349" s="211"/>
      <c r="BG349" s="451"/>
    </row>
    <row r="350" spans="1:59" ht="12.75">
      <c r="A350" s="211"/>
      <c r="B350" s="449"/>
      <c r="C350" s="450"/>
      <c r="D350" s="211"/>
      <c r="E350" s="211"/>
      <c r="F350" s="211"/>
      <c r="G350" s="84"/>
      <c r="H350" s="211"/>
      <c r="I350" s="211"/>
      <c r="J350" s="211"/>
      <c r="K350" s="211"/>
      <c r="L350" s="84"/>
      <c r="M350" s="211"/>
      <c r="N350" s="211"/>
      <c r="O350" s="211"/>
      <c r="P350" s="211"/>
      <c r="Q350" s="84"/>
      <c r="R350" s="211"/>
      <c r="S350" s="211"/>
      <c r="T350" s="211"/>
      <c r="U350" s="211"/>
      <c r="V350" s="84"/>
      <c r="W350" s="211"/>
      <c r="X350" s="211"/>
      <c r="Y350" s="211"/>
      <c r="Z350" s="211"/>
      <c r="AA350" s="84"/>
      <c r="AB350" s="146"/>
      <c r="AC350" s="211"/>
      <c r="AD350" s="211"/>
      <c r="AE350" s="211"/>
      <c r="AF350" s="84"/>
      <c r="AG350" s="146"/>
      <c r="AH350" s="211"/>
      <c r="AI350" s="211"/>
      <c r="AJ350" s="211"/>
      <c r="AK350" s="84"/>
      <c r="AL350" s="146"/>
      <c r="AM350" s="211"/>
      <c r="AN350" s="211"/>
      <c r="AO350" s="211"/>
      <c r="AP350" s="436"/>
      <c r="AQ350" s="146"/>
      <c r="AR350" s="211"/>
      <c r="AS350" s="211"/>
      <c r="AT350" s="211"/>
      <c r="AU350" s="84"/>
      <c r="AV350" s="211"/>
      <c r="AW350" s="211"/>
      <c r="AX350" s="211"/>
      <c r="AY350" s="211"/>
      <c r="AZ350" s="84"/>
      <c r="BA350" s="211"/>
      <c r="BB350" s="211"/>
      <c r="BC350" s="211"/>
      <c r="BD350" s="211"/>
      <c r="BE350" s="84"/>
      <c r="BF350" s="211"/>
      <c r="BG350" s="451"/>
    </row>
    <row r="351" spans="1:59" ht="12.75">
      <c r="A351" s="211"/>
      <c r="B351" s="449"/>
      <c r="C351" s="450"/>
      <c r="D351" s="211"/>
      <c r="E351" s="211"/>
      <c r="F351" s="211"/>
      <c r="G351" s="84"/>
      <c r="H351" s="211"/>
      <c r="I351" s="211"/>
      <c r="J351" s="211"/>
      <c r="K351" s="211"/>
      <c r="L351" s="84"/>
      <c r="M351" s="211"/>
      <c r="N351" s="211"/>
      <c r="O351" s="211"/>
      <c r="P351" s="211"/>
      <c r="Q351" s="84"/>
      <c r="R351" s="211"/>
      <c r="S351" s="211"/>
      <c r="T351" s="211"/>
      <c r="U351" s="211"/>
      <c r="V351" s="84"/>
      <c r="W351" s="211"/>
      <c r="X351" s="211"/>
      <c r="Y351" s="211"/>
      <c r="Z351" s="211"/>
      <c r="AA351" s="84"/>
      <c r="AB351" s="146"/>
      <c r="AC351" s="211"/>
      <c r="AD351" s="211"/>
      <c r="AE351" s="211"/>
      <c r="AF351" s="84"/>
      <c r="AG351" s="146"/>
      <c r="AH351" s="211"/>
      <c r="AI351" s="211"/>
      <c r="AJ351" s="211"/>
      <c r="AK351" s="84"/>
      <c r="AL351" s="146"/>
      <c r="AM351" s="211"/>
      <c r="AN351" s="211"/>
      <c r="AO351" s="211"/>
      <c r="AP351" s="436"/>
      <c r="AQ351" s="146"/>
      <c r="AR351" s="211"/>
      <c r="AS351" s="211"/>
      <c r="AT351" s="211"/>
      <c r="AU351" s="84"/>
      <c r="AV351" s="211"/>
      <c r="AW351" s="211"/>
      <c r="AX351" s="211"/>
      <c r="AY351" s="211"/>
      <c r="AZ351" s="84"/>
      <c r="BA351" s="211"/>
      <c r="BB351" s="211"/>
      <c r="BC351" s="211"/>
      <c r="BD351" s="211"/>
      <c r="BE351" s="84"/>
      <c r="BF351" s="211"/>
      <c r="BG351" s="451"/>
    </row>
    <row r="352" spans="1:59" ht="12.75">
      <c r="A352" s="211"/>
      <c r="B352" s="449"/>
      <c r="C352" s="450"/>
      <c r="D352" s="211"/>
      <c r="E352" s="211"/>
      <c r="F352" s="211"/>
      <c r="G352" s="84"/>
      <c r="H352" s="211"/>
      <c r="I352" s="211"/>
      <c r="J352" s="211"/>
      <c r="K352" s="211"/>
      <c r="L352" s="84"/>
      <c r="M352" s="211"/>
      <c r="N352" s="211"/>
      <c r="O352" s="211"/>
      <c r="P352" s="211"/>
      <c r="Q352" s="84"/>
      <c r="R352" s="211"/>
      <c r="S352" s="211"/>
      <c r="T352" s="211"/>
      <c r="U352" s="211"/>
      <c r="V352" s="84"/>
      <c r="W352" s="211"/>
      <c r="X352" s="211"/>
      <c r="Y352" s="211"/>
      <c r="Z352" s="211"/>
      <c r="AA352" s="84"/>
      <c r="AB352" s="146"/>
      <c r="AC352" s="211"/>
      <c r="AD352" s="211"/>
      <c r="AE352" s="211"/>
      <c r="AF352" s="84"/>
      <c r="AG352" s="146"/>
      <c r="AH352" s="211"/>
      <c r="AI352" s="211"/>
      <c r="AJ352" s="211"/>
      <c r="AK352" s="84"/>
      <c r="AL352" s="146"/>
      <c r="AM352" s="211"/>
      <c r="AN352" s="211"/>
      <c r="AO352" s="211"/>
      <c r="AP352" s="436"/>
      <c r="AQ352" s="146"/>
      <c r="AR352" s="211"/>
      <c r="AS352" s="211"/>
      <c r="AT352" s="211"/>
      <c r="AU352" s="84"/>
      <c r="AV352" s="211"/>
      <c r="AW352" s="211"/>
      <c r="AX352" s="211"/>
      <c r="AY352" s="211"/>
      <c r="AZ352" s="84"/>
      <c r="BA352" s="211"/>
      <c r="BB352" s="211"/>
      <c r="BC352" s="211"/>
      <c r="BD352" s="211"/>
      <c r="BE352" s="84"/>
      <c r="BF352" s="211"/>
      <c r="BG352" s="451"/>
    </row>
    <row r="353" spans="1:59" ht="12.75">
      <c r="A353" s="211"/>
      <c r="B353" s="449"/>
      <c r="C353" s="450"/>
      <c r="D353" s="211"/>
      <c r="E353" s="211"/>
      <c r="F353" s="211"/>
      <c r="G353" s="84"/>
      <c r="H353" s="211"/>
      <c r="I353" s="211"/>
      <c r="J353" s="211"/>
      <c r="K353" s="211"/>
      <c r="L353" s="84"/>
      <c r="M353" s="211"/>
      <c r="N353" s="211"/>
      <c r="O353" s="211"/>
      <c r="P353" s="211"/>
      <c r="Q353" s="84"/>
      <c r="R353" s="211"/>
      <c r="S353" s="211"/>
      <c r="T353" s="211"/>
      <c r="U353" s="211"/>
      <c r="V353" s="84"/>
      <c r="W353" s="211"/>
      <c r="X353" s="211"/>
      <c r="Y353" s="211"/>
      <c r="Z353" s="211"/>
      <c r="AA353" s="84"/>
      <c r="AB353" s="146"/>
      <c r="AC353" s="211"/>
      <c r="AD353" s="211"/>
      <c r="AE353" s="211"/>
      <c r="AF353" s="84"/>
      <c r="AG353" s="146"/>
      <c r="AH353" s="211"/>
      <c r="AI353" s="211"/>
      <c r="AJ353" s="211"/>
      <c r="AK353" s="84"/>
      <c r="AL353" s="146"/>
      <c r="AM353" s="211"/>
      <c r="AN353" s="211"/>
      <c r="AO353" s="211"/>
      <c r="AP353" s="436"/>
      <c r="AQ353" s="146"/>
      <c r="AR353" s="211"/>
      <c r="AS353" s="211"/>
      <c r="AT353" s="211"/>
      <c r="AU353" s="84"/>
      <c r="AV353" s="211"/>
      <c r="AW353" s="211"/>
      <c r="AX353" s="211"/>
      <c r="AY353" s="211"/>
      <c r="AZ353" s="84"/>
      <c r="BA353" s="211"/>
      <c r="BB353" s="211"/>
      <c r="BC353" s="211"/>
      <c r="BD353" s="211"/>
      <c r="BE353" s="84"/>
      <c r="BF353" s="211"/>
      <c r="BG353" s="451"/>
    </row>
    <row r="354" spans="1:59" ht="12.75">
      <c r="A354" s="211"/>
      <c r="B354" s="449"/>
      <c r="C354" s="450"/>
      <c r="D354" s="211"/>
      <c r="E354" s="211"/>
      <c r="F354" s="211"/>
      <c r="G354" s="84"/>
      <c r="H354" s="211"/>
      <c r="I354" s="211"/>
      <c r="J354" s="211"/>
      <c r="K354" s="211"/>
      <c r="L354" s="84"/>
      <c r="M354" s="211"/>
      <c r="N354" s="211"/>
      <c r="O354" s="211"/>
      <c r="P354" s="211"/>
      <c r="Q354" s="84"/>
      <c r="R354" s="211"/>
      <c r="S354" s="211"/>
      <c r="T354" s="211"/>
      <c r="U354" s="211"/>
      <c r="V354" s="84"/>
      <c r="W354" s="211"/>
      <c r="X354" s="211"/>
      <c r="Y354" s="211"/>
      <c r="Z354" s="211"/>
      <c r="AA354" s="84"/>
      <c r="AB354" s="146"/>
      <c r="AC354" s="211"/>
      <c r="AD354" s="211"/>
      <c r="AE354" s="211"/>
      <c r="AF354" s="84"/>
      <c r="AG354" s="146"/>
      <c r="AH354" s="211"/>
      <c r="AI354" s="211"/>
      <c r="AJ354" s="211"/>
      <c r="AK354" s="84"/>
      <c r="AL354" s="146"/>
      <c r="AM354" s="211"/>
      <c r="AN354" s="211"/>
      <c r="AO354" s="211"/>
      <c r="AP354" s="436"/>
      <c r="AQ354" s="146"/>
      <c r="AR354" s="211"/>
      <c r="AS354" s="211"/>
      <c r="AT354" s="211"/>
      <c r="AU354" s="84"/>
      <c r="AV354" s="211"/>
      <c r="AW354" s="211"/>
      <c r="AX354" s="211"/>
      <c r="AY354" s="211"/>
      <c r="AZ354" s="84"/>
      <c r="BA354" s="211"/>
      <c r="BB354" s="211"/>
      <c r="BC354" s="211"/>
      <c r="BD354" s="211"/>
      <c r="BE354" s="84"/>
      <c r="BF354" s="211"/>
      <c r="BG354" s="451"/>
    </row>
    <row r="355" spans="1:59" ht="12.75">
      <c r="A355" s="211"/>
      <c r="B355" s="449"/>
      <c r="C355" s="450"/>
      <c r="D355" s="211"/>
      <c r="E355" s="211"/>
      <c r="F355" s="211"/>
      <c r="G355" s="84"/>
      <c r="H355" s="211"/>
      <c r="I355" s="211"/>
      <c r="J355" s="211"/>
      <c r="K355" s="211"/>
      <c r="L355" s="84"/>
      <c r="M355" s="211"/>
      <c r="N355" s="211"/>
      <c r="O355" s="211"/>
      <c r="P355" s="211"/>
      <c r="Q355" s="84"/>
      <c r="R355" s="211"/>
      <c r="S355" s="211"/>
      <c r="T355" s="211"/>
      <c r="U355" s="211"/>
      <c r="V355" s="84"/>
      <c r="W355" s="211"/>
      <c r="X355" s="211"/>
      <c r="Y355" s="211"/>
      <c r="Z355" s="211"/>
      <c r="AA355" s="84"/>
      <c r="AB355" s="146"/>
      <c r="AC355" s="211"/>
      <c r="AD355" s="211"/>
      <c r="AE355" s="211"/>
      <c r="AF355" s="84"/>
      <c r="AG355" s="146"/>
      <c r="AH355" s="211"/>
      <c r="AI355" s="211"/>
      <c r="AJ355" s="211"/>
      <c r="AK355" s="84"/>
      <c r="AL355" s="146"/>
      <c r="AM355" s="211"/>
      <c r="AN355" s="211"/>
      <c r="AO355" s="211"/>
      <c r="AP355" s="436"/>
      <c r="AQ355" s="146"/>
      <c r="AR355" s="211"/>
      <c r="AS355" s="211"/>
      <c r="AT355" s="211"/>
      <c r="AU355" s="84"/>
      <c r="AV355" s="211"/>
      <c r="AW355" s="211"/>
      <c r="AX355" s="211"/>
      <c r="AY355" s="211"/>
      <c r="AZ355" s="84"/>
      <c r="BA355" s="211"/>
      <c r="BB355" s="211"/>
      <c r="BC355" s="211"/>
      <c r="BD355" s="211"/>
      <c r="BE355" s="84"/>
      <c r="BF355" s="211"/>
      <c r="BG355" s="451"/>
    </row>
    <row r="356" spans="1:59" ht="12.75">
      <c r="A356" s="211"/>
      <c r="B356" s="449"/>
      <c r="C356" s="450"/>
      <c r="D356" s="211"/>
      <c r="E356" s="211"/>
      <c r="F356" s="211"/>
      <c r="G356" s="84"/>
      <c r="H356" s="211"/>
      <c r="I356" s="211"/>
      <c r="J356" s="211"/>
      <c r="K356" s="211"/>
      <c r="L356" s="84"/>
      <c r="M356" s="211"/>
      <c r="N356" s="211"/>
      <c r="O356" s="211"/>
      <c r="P356" s="211"/>
      <c r="Q356" s="84"/>
      <c r="R356" s="211"/>
      <c r="S356" s="211"/>
      <c r="T356" s="211"/>
      <c r="U356" s="211"/>
      <c r="V356" s="84"/>
      <c r="W356" s="211"/>
      <c r="X356" s="211"/>
      <c r="Y356" s="211"/>
      <c r="Z356" s="211"/>
      <c r="AA356" s="84"/>
      <c r="AB356" s="146"/>
      <c r="AC356" s="211"/>
      <c r="AD356" s="211"/>
      <c r="AE356" s="211"/>
      <c r="AF356" s="84"/>
      <c r="AG356" s="146"/>
      <c r="AH356" s="211"/>
      <c r="AI356" s="211"/>
      <c r="AJ356" s="211"/>
      <c r="AK356" s="84"/>
      <c r="AL356" s="146"/>
      <c r="AM356" s="211"/>
      <c r="AN356" s="211"/>
      <c r="AO356" s="211"/>
      <c r="AP356" s="436"/>
      <c r="AQ356" s="146"/>
      <c r="AR356" s="211"/>
      <c r="AS356" s="211"/>
      <c r="AT356" s="211"/>
      <c r="AU356" s="84"/>
      <c r="AV356" s="211"/>
      <c r="AW356" s="211"/>
      <c r="AX356" s="211"/>
      <c r="AY356" s="211"/>
      <c r="AZ356" s="84"/>
      <c r="BA356" s="211"/>
      <c r="BB356" s="211"/>
      <c r="BC356" s="211"/>
      <c r="BD356" s="211"/>
      <c r="BE356" s="84"/>
      <c r="BF356" s="211"/>
      <c r="BG356" s="451"/>
    </row>
    <row r="357" spans="1:59" ht="12.75">
      <c r="A357" s="211"/>
      <c r="B357" s="449"/>
      <c r="C357" s="450"/>
      <c r="D357" s="211"/>
      <c r="E357" s="211"/>
      <c r="F357" s="211"/>
      <c r="G357" s="84"/>
      <c r="H357" s="211"/>
      <c r="I357" s="211"/>
      <c r="J357" s="211"/>
      <c r="K357" s="211"/>
      <c r="L357" s="84"/>
      <c r="M357" s="211"/>
      <c r="N357" s="211"/>
      <c r="O357" s="211"/>
      <c r="P357" s="211"/>
      <c r="Q357" s="84"/>
      <c r="R357" s="211"/>
      <c r="S357" s="211"/>
      <c r="T357" s="211"/>
      <c r="U357" s="211"/>
      <c r="V357" s="84"/>
      <c r="W357" s="211"/>
      <c r="X357" s="211"/>
      <c r="Y357" s="211"/>
      <c r="Z357" s="211"/>
      <c r="AA357" s="84"/>
      <c r="AB357" s="146"/>
      <c r="AC357" s="211"/>
      <c r="AD357" s="211"/>
      <c r="AE357" s="211"/>
      <c r="AF357" s="84"/>
      <c r="AG357" s="146"/>
      <c r="AH357" s="211"/>
      <c r="AI357" s="211"/>
      <c r="AJ357" s="211"/>
      <c r="AK357" s="84"/>
      <c r="AL357" s="146"/>
      <c r="AM357" s="211"/>
      <c r="AN357" s="211"/>
      <c r="AO357" s="211"/>
      <c r="AP357" s="436"/>
      <c r="AQ357" s="146"/>
      <c r="AR357" s="211"/>
      <c r="AS357" s="211"/>
      <c r="AT357" s="211"/>
      <c r="AU357" s="84"/>
      <c r="AV357" s="211"/>
      <c r="AW357" s="211"/>
      <c r="AX357" s="211"/>
      <c r="AY357" s="211"/>
      <c r="AZ357" s="84"/>
      <c r="BA357" s="211"/>
      <c r="BB357" s="211"/>
      <c r="BC357" s="211"/>
      <c r="BD357" s="211"/>
      <c r="BE357" s="84"/>
      <c r="BF357" s="211"/>
      <c r="BG357" s="451"/>
    </row>
    <row r="358" spans="1:59" ht="12.75">
      <c r="A358" s="211"/>
      <c r="B358" s="449"/>
      <c r="C358" s="450"/>
      <c r="D358" s="211"/>
      <c r="E358" s="211"/>
      <c r="F358" s="211"/>
      <c r="G358" s="84"/>
      <c r="H358" s="211"/>
      <c r="I358" s="211"/>
      <c r="J358" s="211"/>
      <c r="K358" s="211"/>
      <c r="L358" s="84"/>
      <c r="M358" s="211"/>
      <c r="N358" s="211"/>
      <c r="O358" s="211"/>
      <c r="P358" s="211"/>
      <c r="Q358" s="84"/>
      <c r="R358" s="211"/>
      <c r="S358" s="211"/>
      <c r="T358" s="211"/>
      <c r="U358" s="211"/>
      <c r="V358" s="84"/>
      <c r="W358" s="211"/>
      <c r="X358" s="211"/>
      <c r="Y358" s="211"/>
      <c r="Z358" s="211"/>
      <c r="AA358" s="84"/>
      <c r="AB358" s="146"/>
      <c r="AC358" s="211"/>
      <c r="AD358" s="211"/>
      <c r="AE358" s="211"/>
      <c r="AF358" s="84"/>
      <c r="AG358" s="146"/>
      <c r="AH358" s="211"/>
      <c r="AI358" s="211"/>
      <c r="AJ358" s="211"/>
      <c r="AK358" s="84"/>
      <c r="AL358" s="146"/>
      <c r="AM358" s="211"/>
      <c r="AN358" s="211"/>
      <c r="AO358" s="211"/>
      <c r="AP358" s="436"/>
      <c r="AQ358" s="146"/>
      <c r="AR358" s="211"/>
      <c r="AS358" s="211"/>
      <c r="AT358" s="211"/>
      <c r="AU358" s="84"/>
      <c r="AV358" s="211"/>
      <c r="AW358" s="211"/>
      <c r="AX358" s="211"/>
      <c r="AY358" s="211"/>
      <c r="AZ358" s="84"/>
      <c r="BA358" s="211"/>
      <c r="BB358" s="211"/>
      <c r="BC358" s="211"/>
      <c r="BD358" s="211"/>
      <c r="BE358" s="84"/>
      <c r="BF358" s="211"/>
      <c r="BG358" s="451"/>
    </row>
    <row r="359" spans="1:59" ht="12.75">
      <c r="A359" s="211"/>
      <c r="B359" s="449"/>
      <c r="C359" s="450"/>
      <c r="D359" s="211"/>
      <c r="E359" s="211"/>
      <c r="F359" s="211"/>
      <c r="G359" s="84"/>
      <c r="H359" s="211"/>
      <c r="I359" s="211"/>
      <c r="J359" s="211"/>
      <c r="K359" s="211"/>
      <c r="L359" s="84"/>
      <c r="M359" s="211"/>
      <c r="N359" s="211"/>
      <c r="O359" s="211"/>
      <c r="P359" s="211"/>
      <c r="Q359" s="84"/>
      <c r="R359" s="211"/>
      <c r="S359" s="211"/>
      <c r="T359" s="211"/>
      <c r="U359" s="211"/>
      <c r="V359" s="84"/>
      <c r="W359" s="211"/>
      <c r="X359" s="211"/>
      <c r="Y359" s="211"/>
      <c r="Z359" s="211"/>
      <c r="AA359" s="84"/>
      <c r="AB359" s="146"/>
      <c r="AC359" s="211"/>
      <c r="AD359" s="211"/>
      <c r="AE359" s="211"/>
      <c r="AF359" s="84"/>
      <c r="AG359" s="146"/>
      <c r="AH359" s="211"/>
      <c r="AI359" s="211"/>
      <c r="AJ359" s="211"/>
      <c r="AK359" s="84"/>
      <c r="AL359" s="146"/>
      <c r="AM359" s="211"/>
      <c r="AN359" s="211"/>
      <c r="AO359" s="211"/>
      <c r="AP359" s="436"/>
      <c r="AQ359" s="146"/>
      <c r="AR359" s="211"/>
      <c r="AS359" s="211"/>
      <c r="AT359" s="211"/>
      <c r="AU359" s="84"/>
      <c r="AV359" s="211"/>
      <c r="AW359" s="211"/>
      <c r="AX359" s="211"/>
      <c r="AY359" s="211"/>
      <c r="AZ359" s="84"/>
      <c r="BA359" s="211"/>
      <c r="BB359" s="211"/>
      <c r="BC359" s="211"/>
      <c r="BD359" s="211"/>
      <c r="BE359" s="84"/>
      <c r="BF359" s="211"/>
      <c r="BG359" s="451"/>
    </row>
    <row r="360" spans="1:59" ht="12.75">
      <c r="A360" s="211"/>
      <c r="B360" s="449"/>
      <c r="C360" s="450"/>
      <c r="D360" s="211"/>
      <c r="E360" s="211"/>
      <c r="F360" s="211"/>
      <c r="G360" s="84"/>
      <c r="H360" s="211"/>
      <c r="I360" s="211"/>
      <c r="J360" s="211"/>
      <c r="K360" s="211"/>
      <c r="L360" s="84"/>
      <c r="M360" s="211"/>
      <c r="N360" s="211"/>
      <c r="O360" s="211"/>
      <c r="P360" s="211"/>
      <c r="Q360" s="84"/>
      <c r="R360" s="211"/>
      <c r="S360" s="211"/>
      <c r="T360" s="211"/>
      <c r="U360" s="211"/>
      <c r="V360" s="84"/>
      <c r="W360" s="211"/>
      <c r="X360" s="211"/>
      <c r="Y360" s="211"/>
      <c r="Z360" s="211"/>
      <c r="AA360" s="84"/>
      <c r="AB360" s="146"/>
      <c r="AC360" s="211"/>
      <c r="AD360" s="211"/>
      <c r="AE360" s="211"/>
      <c r="AF360" s="84"/>
      <c r="AG360" s="146"/>
      <c r="AH360" s="211"/>
      <c r="AI360" s="211"/>
      <c r="AJ360" s="211"/>
      <c r="AK360" s="84"/>
      <c r="AL360" s="146"/>
      <c r="AM360" s="211"/>
      <c r="AN360" s="211"/>
      <c r="AO360" s="211"/>
      <c r="AP360" s="436"/>
      <c r="AQ360" s="146"/>
      <c r="AR360" s="211"/>
      <c r="AS360" s="211"/>
      <c r="AT360" s="211"/>
      <c r="AU360" s="84"/>
      <c r="AV360" s="211"/>
      <c r="AW360" s="211"/>
      <c r="AX360" s="211"/>
      <c r="AY360" s="211"/>
      <c r="AZ360" s="84"/>
      <c r="BA360" s="211"/>
      <c r="BB360" s="211"/>
      <c r="BC360" s="211"/>
      <c r="BD360" s="211"/>
      <c r="BE360" s="84"/>
      <c r="BF360" s="211"/>
      <c r="BG360" s="451"/>
    </row>
    <row r="361" spans="1:59" ht="12.75">
      <c r="A361" s="211"/>
      <c r="B361" s="449"/>
      <c r="C361" s="450"/>
      <c r="D361" s="211"/>
      <c r="E361" s="211"/>
      <c r="F361" s="211"/>
      <c r="G361" s="84"/>
      <c r="H361" s="211"/>
      <c r="I361" s="211"/>
      <c r="J361" s="211"/>
      <c r="K361" s="211"/>
      <c r="L361" s="84"/>
      <c r="M361" s="211"/>
      <c r="N361" s="211"/>
      <c r="O361" s="211"/>
      <c r="P361" s="211"/>
      <c r="Q361" s="84"/>
      <c r="R361" s="211"/>
      <c r="S361" s="211"/>
      <c r="T361" s="211"/>
      <c r="U361" s="211"/>
      <c r="V361" s="84"/>
      <c r="W361" s="211"/>
      <c r="X361" s="211"/>
      <c r="Y361" s="211"/>
      <c r="Z361" s="211"/>
      <c r="AA361" s="84"/>
      <c r="AB361" s="146"/>
      <c r="AC361" s="211"/>
      <c r="AD361" s="211"/>
      <c r="AE361" s="211"/>
      <c r="AF361" s="84"/>
      <c r="AG361" s="146"/>
      <c r="AH361" s="211"/>
      <c r="AI361" s="211"/>
      <c r="AJ361" s="211"/>
      <c r="AK361" s="84"/>
      <c r="AL361" s="146"/>
      <c r="AM361" s="211"/>
      <c r="AN361" s="211"/>
      <c r="AO361" s="211"/>
      <c r="AP361" s="436"/>
      <c r="AQ361" s="146"/>
      <c r="AR361" s="211"/>
      <c r="AS361" s="211"/>
      <c r="AT361" s="211"/>
      <c r="AU361" s="84"/>
      <c r="AV361" s="211"/>
      <c r="AW361" s="211"/>
      <c r="AX361" s="211"/>
      <c r="AY361" s="211"/>
      <c r="AZ361" s="84"/>
      <c r="BA361" s="211"/>
      <c r="BB361" s="211"/>
      <c r="BC361" s="211"/>
      <c r="BD361" s="211"/>
      <c r="BE361" s="84"/>
      <c r="BF361" s="211"/>
      <c r="BG361" s="451"/>
    </row>
    <row r="362" spans="1:59" ht="12.75">
      <c r="A362" s="211"/>
      <c r="B362" s="449"/>
      <c r="C362" s="450"/>
      <c r="D362" s="211"/>
      <c r="E362" s="211"/>
      <c r="F362" s="211"/>
      <c r="G362" s="84"/>
      <c r="H362" s="211"/>
      <c r="I362" s="211"/>
      <c r="J362" s="211"/>
      <c r="K362" s="211"/>
      <c r="L362" s="84"/>
      <c r="M362" s="211"/>
      <c r="N362" s="211"/>
      <c r="O362" s="211"/>
      <c r="P362" s="211"/>
      <c r="Q362" s="84"/>
      <c r="R362" s="211"/>
      <c r="S362" s="211"/>
      <c r="T362" s="211"/>
      <c r="U362" s="211"/>
      <c r="V362" s="84"/>
      <c r="W362" s="211"/>
      <c r="X362" s="211"/>
      <c r="Y362" s="211"/>
      <c r="Z362" s="211"/>
      <c r="AA362" s="84"/>
      <c r="AB362" s="146"/>
      <c r="AC362" s="211"/>
      <c r="AD362" s="211"/>
      <c r="AE362" s="211"/>
      <c r="AF362" s="84"/>
      <c r="AG362" s="146"/>
      <c r="AH362" s="211"/>
      <c r="AI362" s="211"/>
      <c r="AJ362" s="211"/>
      <c r="AK362" s="84"/>
      <c r="AL362" s="146"/>
      <c r="AM362" s="211"/>
      <c r="AN362" s="211"/>
      <c r="AO362" s="211"/>
      <c r="AP362" s="436"/>
      <c r="AQ362" s="146"/>
      <c r="AR362" s="211"/>
      <c r="AS362" s="211"/>
      <c r="AT362" s="211"/>
      <c r="AU362" s="84"/>
      <c r="AV362" s="211"/>
      <c r="AW362" s="211"/>
      <c r="AX362" s="211"/>
      <c r="AY362" s="211"/>
      <c r="AZ362" s="84"/>
      <c r="BA362" s="211"/>
      <c r="BB362" s="211"/>
      <c r="BC362" s="211"/>
      <c r="BD362" s="211"/>
      <c r="BE362" s="84"/>
      <c r="BF362" s="211"/>
      <c r="BG362" s="451"/>
    </row>
    <row r="363" spans="1:59" ht="12.75">
      <c r="A363" s="211"/>
      <c r="B363" s="449"/>
      <c r="C363" s="450"/>
      <c r="D363" s="211"/>
      <c r="E363" s="211"/>
      <c r="F363" s="211"/>
      <c r="G363" s="84"/>
      <c r="H363" s="211"/>
      <c r="I363" s="211"/>
      <c r="J363" s="211"/>
      <c r="K363" s="211"/>
      <c r="L363" s="84"/>
      <c r="M363" s="211"/>
      <c r="N363" s="211"/>
      <c r="O363" s="211"/>
      <c r="P363" s="211"/>
      <c r="Q363" s="84"/>
      <c r="R363" s="211"/>
      <c r="S363" s="211"/>
      <c r="T363" s="211"/>
      <c r="U363" s="211"/>
      <c r="V363" s="84"/>
      <c r="W363" s="211"/>
      <c r="X363" s="211"/>
      <c r="Y363" s="211"/>
      <c r="Z363" s="211"/>
      <c r="AA363" s="84"/>
      <c r="AB363" s="146"/>
      <c r="AC363" s="211"/>
      <c r="AD363" s="211"/>
      <c r="AE363" s="211"/>
      <c r="AF363" s="84"/>
      <c r="AG363" s="146"/>
      <c r="AH363" s="211"/>
      <c r="AI363" s="211"/>
      <c r="AJ363" s="211"/>
      <c r="AK363" s="84"/>
      <c r="AL363" s="146"/>
      <c r="AM363" s="211"/>
      <c r="AN363" s="211"/>
      <c r="AO363" s="211"/>
      <c r="AP363" s="436"/>
      <c r="AQ363" s="146"/>
      <c r="AR363" s="211"/>
      <c r="AS363" s="211"/>
      <c r="AT363" s="211"/>
      <c r="AU363" s="84"/>
      <c r="AV363" s="211"/>
      <c r="AW363" s="211"/>
      <c r="AX363" s="211"/>
      <c r="AY363" s="211"/>
      <c r="AZ363" s="84"/>
      <c r="BA363" s="211"/>
      <c r="BB363" s="211"/>
      <c r="BC363" s="211"/>
      <c r="BD363" s="211"/>
      <c r="BE363" s="84"/>
      <c r="BF363" s="211"/>
      <c r="BG363" s="451"/>
    </row>
    <row r="364" spans="1:59" ht="12.75">
      <c r="A364" s="211"/>
      <c r="B364" s="449"/>
      <c r="C364" s="450"/>
      <c r="D364" s="211"/>
      <c r="E364" s="211"/>
      <c r="F364" s="211"/>
      <c r="G364" s="84"/>
      <c r="H364" s="211"/>
      <c r="I364" s="211"/>
      <c r="J364" s="211"/>
      <c r="K364" s="211"/>
      <c r="L364" s="84"/>
      <c r="M364" s="211"/>
      <c r="N364" s="211"/>
      <c r="O364" s="211"/>
      <c r="P364" s="211"/>
      <c r="Q364" s="84"/>
      <c r="R364" s="211"/>
      <c r="S364" s="211"/>
      <c r="T364" s="211"/>
      <c r="U364" s="211"/>
      <c r="V364" s="84"/>
      <c r="W364" s="211"/>
      <c r="X364" s="211"/>
      <c r="Y364" s="211"/>
      <c r="Z364" s="211"/>
      <c r="AA364" s="84"/>
      <c r="AB364" s="146"/>
      <c r="AC364" s="211"/>
      <c r="AD364" s="211"/>
      <c r="AE364" s="211"/>
      <c r="AF364" s="84"/>
      <c r="AG364" s="146"/>
      <c r="AH364" s="211"/>
      <c r="AI364" s="211"/>
      <c r="AJ364" s="211"/>
      <c r="AK364" s="84"/>
      <c r="AL364" s="146"/>
      <c r="AM364" s="211"/>
      <c r="AN364" s="211"/>
      <c r="AO364" s="211"/>
      <c r="AP364" s="436"/>
      <c r="AQ364" s="146"/>
      <c r="AR364" s="211"/>
      <c r="AS364" s="211"/>
      <c r="AT364" s="211"/>
      <c r="AU364" s="84"/>
      <c r="AV364" s="211"/>
      <c r="AW364" s="211"/>
      <c r="AX364" s="211"/>
      <c r="AY364" s="211"/>
      <c r="AZ364" s="84"/>
      <c r="BA364" s="211"/>
      <c r="BB364" s="211"/>
      <c r="BC364" s="211"/>
      <c r="BD364" s="211"/>
      <c r="BE364" s="84"/>
      <c r="BF364" s="211"/>
      <c r="BG364" s="451"/>
    </row>
    <row r="365" spans="1:59" ht="12.75">
      <c r="A365" s="211"/>
      <c r="B365" s="449"/>
      <c r="C365" s="450"/>
      <c r="D365" s="211"/>
      <c r="E365" s="211"/>
      <c r="F365" s="211"/>
      <c r="G365" s="84"/>
      <c r="H365" s="211"/>
      <c r="I365" s="211"/>
      <c r="J365" s="211"/>
      <c r="K365" s="211"/>
      <c r="L365" s="84"/>
      <c r="M365" s="211"/>
      <c r="N365" s="211"/>
      <c r="O365" s="211"/>
      <c r="P365" s="211"/>
      <c r="Q365" s="84"/>
      <c r="R365" s="211"/>
      <c r="S365" s="211"/>
      <c r="T365" s="211"/>
      <c r="U365" s="211"/>
      <c r="V365" s="84"/>
      <c r="W365" s="211"/>
      <c r="X365" s="211"/>
      <c r="Y365" s="211"/>
      <c r="Z365" s="211"/>
      <c r="AA365" s="84"/>
      <c r="AB365" s="146"/>
      <c r="AC365" s="211"/>
      <c r="AD365" s="211"/>
      <c r="AE365" s="211"/>
      <c r="AF365" s="84"/>
      <c r="AG365" s="146"/>
      <c r="AH365" s="211"/>
      <c r="AI365" s="211"/>
      <c r="AJ365" s="211"/>
      <c r="AK365" s="84"/>
      <c r="AL365" s="146"/>
      <c r="AM365" s="211"/>
      <c r="AN365" s="211"/>
      <c r="AO365" s="211"/>
      <c r="AP365" s="436"/>
      <c r="AQ365" s="146"/>
      <c r="AR365" s="211"/>
      <c r="AS365" s="211"/>
      <c r="AT365" s="211"/>
      <c r="AU365" s="84"/>
      <c r="AV365" s="211"/>
      <c r="AW365" s="211"/>
      <c r="AX365" s="211"/>
      <c r="AY365" s="211"/>
      <c r="AZ365" s="84"/>
      <c r="BA365" s="211"/>
      <c r="BB365" s="211"/>
      <c r="BC365" s="211"/>
      <c r="BD365" s="211"/>
      <c r="BE365" s="84"/>
      <c r="BF365" s="211"/>
      <c r="BG365" s="451"/>
    </row>
    <row r="366" spans="1:59" ht="12.75">
      <c r="A366" s="211"/>
      <c r="B366" s="449"/>
      <c r="C366" s="450"/>
      <c r="D366" s="211"/>
      <c r="E366" s="211"/>
      <c r="F366" s="211"/>
      <c r="G366" s="84"/>
      <c r="H366" s="211"/>
      <c r="I366" s="211"/>
      <c r="J366" s="211"/>
      <c r="K366" s="211"/>
      <c r="L366" s="84"/>
      <c r="M366" s="211"/>
      <c r="N366" s="211"/>
      <c r="O366" s="211"/>
      <c r="P366" s="211"/>
      <c r="Q366" s="84"/>
      <c r="R366" s="211"/>
      <c r="S366" s="211"/>
      <c r="T366" s="211"/>
      <c r="U366" s="211"/>
      <c r="V366" s="84"/>
      <c r="W366" s="211"/>
      <c r="X366" s="211"/>
      <c r="Y366" s="211"/>
      <c r="Z366" s="211"/>
      <c r="AA366" s="84"/>
      <c r="AB366" s="146"/>
      <c r="AC366" s="211"/>
      <c r="AD366" s="211"/>
      <c r="AE366" s="211"/>
      <c r="AF366" s="84"/>
      <c r="AG366" s="146"/>
      <c r="AH366" s="211"/>
      <c r="AI366" s="211"/>
      <c r="AJ366" s="211"/>
      <c r="AK366" s="84"/>
      <c r="AL366" s="146"/>
      <c r="AM366" s="211"/>
      <c r="AN366" s="211"/>
      <c r="AO366" s="211"/>
      <c r="AP366" s="436"/>
      <c r="AQ366" s="146"/>
      <c r="AR366" s="211"/>
      <c r="AS366" s="211"/>
      <c r="AT366" s="211"/>
      <c r="AU366" s="84"/>
      <c r="AV366" s="211"/>
      <c r="AW366" s="211"/>
      <c r="AX366" s="211"/>
      <c r="AY366" s="211"/>
      <c r="AZ366" s="84"/>
      <c r="BA366" s="211"/>
      <c r="BB366" s="211"/>
      <c r="BC366" s="211"/>
      <c r="BD366" s="211"/>
      <c r="BE366" s="84"/>
      <c r="BF366" s="211"/>
      <c r="BG366" s="451"/>
    </row>
    <row r="367" spans="1:59" ht="12.75">
      <c r="A367" s="211"/>
      <c r="B367" s="449"/>
      <c r="C367" s="450"/>
      <c r="D367" s="211"/>
      <c r="E367" s="211"/>
      <c r="F367" s="211"/>
      <c r="G367" s="84"/>
      <c r="H367" s="211"/>
      <c r="I367" s="211"/>
      <c r="J367" s="211"/>
      <c r="K367" s="211"/>
      <c r="L367" s="84"/>
      <c r="M367" s="211"/>
      <c r="N367" s="211"/>
      <c r="O367" s="211"/>
      <c r="P367" s="211"/>
      <c r="Q367" s="84"/>
      <c r="R367" s="211"/>
      <c r="S367" s="211"/>
      <c r="T367" s="211"/>
      <c r="U367" s="211"/>
      <c r="V367" s="84"/>
      <c r="W367" s="211"/>
      <c r="X367" s="211"/>
      <c r="Y367" s="211"/>
      <c r="Z367" s="211"/>
      <c r="AA367" s="84"/>
      <c r="AB367" s="146"/>
      <c r="AC367" s="211"/>
      <c r="AD367" s="211"/>
      <c r="AE367" s="211"/>
      <c r="AF367" s="84"/>
      <c r="AG367" s="146"/>
      <c r="AH367" s="211"/>
      <c r="AI367" s="211"/>
      <c r="AJ367" s="211"/>
      <c r="AK367" s="84"/>
      <c r="AL367" s="146"/>
      <c r="AM367" s="211"/>
      <c r="AN367" s="211"/>
      <c r="AO367" s="211"/>
      <c r="AP367" s="436"/>
      <c r="AQ367" s="146"/>
      <c r="AR367" s="211"/>
      <c r="AS367" s="211"/>
      <c r="AT367" s="211"/>
      <c r="AU367" s="84"/>
      <c r="AV367" s="211"/>
      <c r="AW367" s="211"/>
      <c r="AX367" s="211"/>
      <c r="AY367" s="211"/>
      <c r="AZ367" s="84"/>
      <c r="BA367" s="211"/>
      <c r="BB367" s="211"/>
      <c r="BC367" s="211"/>
      <c r="BD367" s="211"/>
      <c r="BE367" s="84"/>
      <c r="BF367" s="211"/>
      <c r="BG367" s="451"/>
    </row>
    <row r="368" spans="1:59" ht="12.75">
      <c r="A368" s="211"/>
      <c r="B368" s="449"/>
      <c r="C368" s="450"/>
      <c r="D368" s="211"/>
      <c r="E368" s="211"/>
      <c r="F368" s="211"/>
      <c r="G368" s="84"/>
      <c r="H368" s="211"/>
      <c r="I368" s="211"/>
      <c r="J368" s="211"/>
      <c r="K368" s="211"/>
      <c r="L368" s="84"/>
      <c r="M368" s="211"/>
      <c r="N368" s="211"/>
      <c r="O368" s="211"/>
      <c r="P368" s="211"/>
      <c r="Q368" s="84"/>
      <c r="R368" s="211"/>
      <c r="S368" s="211"/>
      <c r="T368" s="211"/>
      <c r="U368" s="211"/>
      <c r="V368" s="84"/>
      <c r="W368" s="211"/>
      <c r="X368" s="211"/>
      <c r="Y368" s="211"/>
      <c r="Z368" s="211"/>
      <c r="AA368" s="84"/>
      <c r="AB368" s="146"/>
      <c r="AC368" s="211"/>
      <c r="AD368" s="211"/>
      <c r="AE368" s="211"/>
      <c r="AF368" s="84"/>
      <c r="AG368" s="146"/>
      <c r="AH368" s="211"/>
      <c r="AI368" s="211"/>
      <c r="AJ368" s="211"/>
      <c r="AK368" s="84"/>
      <c r="AL368" s="146"/>
      <c r="AM368" s="211"/>
      <c r="AN368" s="211"/>
      <c r="AO368" s="211"/>
      <c r="AP368" s="436"/>
      <c r="AQ368" s="146"/>
      <c r="AR368" s="211"/>
      <c r="AS368" s="211"/>
      <c r="AT368" s="211"/>
      <c r="AU368" s="84"/>
      <c r="AV368" s="211"/>
      <c r="AW368" s="211"/>
      <c r="AX368" s="211"/>
      <c r="AY368" s="211"/>
      <c r="AZ368" s="84"/>
      <c r="BA368" s="211"/>
      <c r="BB368" s="211"/>
      <c r="BC368" s="211"/>
      <c r="BD368" s="211"/>
      <c r="BE368" s="84"/>
      <c r="BF368" s="211"/>
      <c r="BG368" s="451"/>
    </row>
    <row r="369" spans="1:59" ht="12.75">
      <c r="A369" s="211"/>
      <c r="B369" s="449"/>
      <c r="C369" s="450"/>
      <c r="D369" s="211"/>
      <c r="E369" s="211"/>
      <c r="F369" s="211"/>
      <c r="G369" s="84"/>
      <c r="H369" s="211"/>
      <c r="I369" s="211"/>
      <c r="J369" s="211"/>
      <c r="K369" s="211"/>
      <c r="L369" s="84"/>
      <c r="M369" s="211"/>
      <c r="N369" s="211"/>
      <c r="O369" s="211"/>
      <c r="P369" s="211"/>
      <c r="Q369" s="84"/>
      <c r="R369" s="211"/>
      <c r="S369" s="211"/>
      <c r="T369" s="211"/>
      <c r="U369" s="211"/>
      <c r="V369" s="84"/>
      <c r="W369" s="211"/>
      <c r="X369" s="211"/>
      <c r="Y369" s="211"/>
      <c r="Z369" s="211"/>
      <c r="AA369" s="84"/>
      <c r="AB369" s="146"/>
      <c r="AC369" s="211"/>
      <c r="AD369" s="211"/>
      <c r="AE369" s="211"/>
      <c r="AF369" s="84"/>
      <c r="AG369" s="146"/>
      <c r="AH369" s="211"/>
      <c r="AI369" s="211"/>
      <c r="AJ369" s="211"/>
      <c r="AK369" s="84"/>
      <c r="AL369" s="146"/>
      <c r="AM369" s="211"/>
      <c r="AN369" s="211"/>
      <c r="AO369" s="211"/>
      <c r="AP369" s="436"/>
      <c r="AQ369" s="146"/>
      <c r="AR369" s="211"/>
      <c r="AS369" s="211"/>
      <c r="AT369" s="211"/>
      <c r="AU369" s="84"/>
      <c r="AV369" s="211"/>
      <c r="AW369" s="211"/>
      <c r="AX369" s="211"/>
      <c r="AY369" s="211"/>
      <c r="AZ369" s="84"/>
      <c r="BA369" s="211"/>
      <c r="BB369" s="211"/>
      <c r="BC369" s="211"/>
      <c r="BD369" s="211"/>
      <c r="BE369" s="84"/>
      <c r="BF369" s="211"/>
      <c r="BG369" s="451"/>
    </row>
    <row r="370" spans="1:59" ht="12.75">
      <c r="A370" s="211"/>
      <c r="B370" s="449"/>
      <c r="C370" s="450"/>
      <c r="D370" s="211"/>
      <c r="E370" s="211"/>
      <c r="F370" s="211"/>
      <c r="G370" s="84"/>
      <c r="H370" s="211"/>
      <c r="I370" s="211"/>
      <c r="J370" s="211"/>
      <c r="K370" s="211"/>
      <c r="L370" s="84"/>
      <c r="M370" s="211"/>
      <c r="N370" s="211"/>
      <c r="O370" s="211"/>
      <c r="P370" s="211"/>
      <c r="Q370" s="84"/>
      <c r="R370" s="211"/>
      <c r="S370" s="211"/>
      <c r="T370" s="211"/>
      <c r="U370" s="211"/>
      <c r="V370" s="84"/>
      <c r="W370" s="211"/>
      <c r="X370" s="211"/>
      <c r="Y370" s="211"/>
      <c r="Z370" s="211"/>
      <c r="AA370" s="84"/>
      <c r="AB370" s="146"/>
      <c r="AC370" s="211"/>
      <c r="AD370" s="211"/>
      <c r="AE370" s="211"/>
      <c r="AF370" s="84"/>
      <c r="AG370" s="146"/>
      <c r="AH370" s="211"/>
      <c r="AI370" s="211"/>
      <c r="AJ370" s="211"/>
      <c r="AK370" s="84"/>
      <c r="AL370" s="146"/>
      <c r="AM370" s="211"/>
      <c r="AN370" s="211"/>
      <c r="AO370" s="211"/>
      <c r="AP370" s="436"/>
      <c r="AQ370" s="146"/>
      <c r="AR370" s="211"/>
      <c r="AS370" s="211"/>
      <c r="AT370" s="211"/>
      <c r="AU370" s="84"/>
      <c r="AV370" s="211"/>
      <c r="AW370" s="211"/>
      <c r="AX370" s="211"/>
      <c r="AY370" s="211"/>
      <c r="AZ370" s="84"/>
      <c r="BA370" s="211"/>
      <c r="BB370" s="211"/>
      <c r="BC370" s="211"/>
      <c r="BD370" s="211"/>
      <c r="BE370" s="84"/>
      <c r="BF370" s="211"/>
      <c r="BG370" s="451"/>
    </row>
    <row r="371" spans="1:59" ht="12.75">
      <c r="A371" s="211"/>
      <c r="B371" s="449"/>
      <c r="C371" s="450"/>
      <c r="D371" s="211"/>
      <c r="E371" s="211"/>
      <c r="F371" s="211"/>
      <c r="G371" s="84"/>
      <c r="H371" s="211"/>
      <c r="I371" s="211"/>
      <c r="J371" s="211"/>
      <c r="K371" s="211"/>
      <c r="L371" s="84"/>
      <c r="M371" s="211"/>
      <c r="N371" s="211"/>
      <c r="O371" s="211"/>
      <c r="P371" s="211"/>
      <c r="Q371" s="84"/>
      <c r="R371" s="211"/>
      <c r="S371" s="211"/>
      <c r="T371" s="211"/>
      <c r="U371" s="211"/>
      <c r="V371" s="84"/>
      <c r="W371" s="211"/>
      <c r="X371" s="211"/>
      <c r="Y371" s="211"/>
      <c r="Z371" s="211"/>
      <c r="AA371" s="84"/>
      <c r="AB371" s="146"/>
      <c r="AC371" s="211"/>
      <c r="AD371" s="211"/>
      <c r="AE371" s="211"/>
      <c r="AF371" s="84"/>
      <c r="AG371" s="146"/>
      <c r="AH371" s="211"/>
      <c r="AI371" s="211"/>
      <c r="AJ371" s="211"/>
      <c r="AK371" s="84"/>
      <c r="AL371" s="146"/>
      <c r="AM371" s="211"/>
      <c r="AN371" s="211"/>
      <c r="AO371" s="211"/>
      <c r="AP371" s="436"/>
      <c r="AQ371" s="146"/>
      <c r="AR371" s="211"/>
      <c r="AS371" s="211"/>
      <c r="AT371" s="211"/>
      <c r="AU371" s="84"/>
      <c r="AV371" s="211"/>
      <c r="AW371" s="211"/>
      <c r="AX371" s="211"/>
      <c r="AY371" s="211"/>
      <c r="AZ371" s="84"/>
      <c r="BA371" s="211"/>
      <c r="BB371" s="211"/>
      <c r="BC371" s="211"/>
      <c r="BD371" s="211"/>
      <c r="BE371" s="84"/>
      <c r="BF371" s="211"/>
      <c r="BG371" s="451"/>
    </row>
    <row r="372" spans="1:59" ht="12.75">
      <c r="A372" s="211"/>
      <c r="B372" s="449"/>
      <c r="C372" s="450"/>
      <c r="D372" s="211"/>
      <c r="E372" s="211"/>
      <c r="F372" s="211"/>
      <c r="G372" s="84"/>
      <c r="H372" s="211"/>
      <c r="I372" s="211"/>
      <c r="J372" s="211"/>
      <c r="K372" s="211"/>
      <c r="L372" s="84"/>
      <c r="M372" s="211"/>
      <c r="N372" s="211"/>
      <c r="O372" s="211"/>
      <c r="P372" s="211"/>
      <c r="Q372" s="84"/>
      <c r="R372" s="211"/>
      <c r="S372" s="211"/>
      <c r="T372" s="211"/>
      <c r="U372" s="211"/>
      <c r="V372" s="84"/>
      <c r="W372" s="211"/>
      <c r="X372" s="211"/>
      <c r="Y372" s="211"/>
      <c r="Z372" s="211"/>
      <c r="AA372" s="84"/>
      <c r="AB372" s="146"/>
      <c r="AC372" s="211"/>
      <c r="AD372" s="211"/>
      <c r="AE372" s="211"/>
      <c r="AF372" s="84"/>
      <c r="AG372" s="146"/>
      <c r="AH372" s="211"/>
      <c r="AI372" s="211"/>
      <c r="AJ372" s="211"/>
      <c r="AK372" s="84"/>
      <c r="AL372" s="146"/>
      <c r="AM372" s="211"/>
      <c r="AN372" s="211"/>
      <c r="AO372" s="211"/>
      <c r="AP372" s="436"/>
      <c r="AQ372" s="146"/>
      <c r="AR372" s="211"/>
      <c r="AS372" s="211"/>
      <c r="AT372" s="211"/>
      <c r="AU372" s="84"/>
      <c r="AV372" s="211"/>
      <c r="AW372" s="211"/>
      <c r="AX372" s="211"/>
      <c r="AY372" s="211"/>
      <c r="AZ372" s="84"/>
      <c r="BA372" s="211"/>
      <c r="BB372" s="211"/>
      <c r="BC372" s="211"/>
      <c r="BD372" s="211"/>
      <c r="BE372" s="84"/>
      <c r="BF372" s="211"/>
      <c r="BG372" s="451"/>
    </row>
    <row r="373" spans="1:59" ht="12.75">
      <c r="A373" s="211"/>
      <c r="B373" s="449"/>
      <c r="C373" s="450"/>
      <c r="D373" s="211"/>
      <c r="E373" s="211"/>
      <c r="F373" s="211"/>
      <c r="G373" s="84"/>
      <c r="H373" s="211"/>
      <c r="I373" s="211"/>
      <c r="J373" s="211"/>
      <c r="K373" s="211"/>
      <c r="L373" s="84"/>
      <c r="M373" s="211"/>
      <c r="N373" s="211"/>
      <c r="O373" s="211"/>
      <c r="P373" s="211"/>
      <c r="Q373" s="84"/>
      <c r="R373" s="211"/>
      <c r="S373" s="211"/>
      <c r="T373" s="211"/>
      <c r="U373" s="211"/>
      <c r="V373" s="84"/>
      <c r="W373" s="211"/>
      <c r="X373" s="211"/>
      <c r="Y373" s="211"/>
      <c r="Z373" s="211"/>
      <c r="AA373" s="84"/>
      <c r="AB373" s="146"/>
      <c r="AC373" s="211"/>
      <c r="AD373" s="211"/>
      <c r="AE373" s="211"/>
      <c r="AF373" s="84"/>
      <c r="AG373" s="146"/>
      <c r="AH373" s="211"/>
      <c r="AI373" s="211"/>
      <c r="AJ373" s="211"/>
      <c r="AK373" s="84"/>
      <c r="AL373" s="146"/>
      <c r="AM373" s="211"/>
      <c r="AN373" s="211"/>
      <c r="AO373" s="211"/>
      <c r="AP373" s="436"/>
      <c r="AQ373" s="146"/>
      <c r="AR373" s="211"/>
      <c r="AS373" s="211"/>
      <c r="AT373" s="211"/>
      <c r="AU373" s="84"/>
      <c r="AV373" s="211"/>
      <c r="AW373" s="211"/>
      <c r="AX373" s="211"/>
      <c r="AY373" s="211"/>
      <c r="AZ373" s="84"/>
      <c r="BA373" s="211"/>
      <c r="BB373" s="211"/>
      <c r="BC373" s="211"/>
      <c r="BD373" s="211"/>
      <c r="BE373" s="84"/>
      <c r="BF373" s="211"/>
      <c r="BG373" s="451"/>
    </row>
    <row r="374" spans="1:59" ht="12.75">
      <c r="A374" s="211"/>
      <c r="B374" s="449"/>
      <c r="C374" s="450"/>
      <c r="D374" s="211"/>
      <c r="E374" s="211"/>
      <c r="F374" s="211"/>
      <c r="G374" s="84"/>
      <c r="H374" s="211"/>
      <c r="I374" s="211"/>
      <c r="J374" s="211"/>
      <c r="K374" s="211"/>
      <c r="L374" s="84"/>
      <c r="M374" s="211"/>
      <c r="N374" s="211"/>
      <c r="O374" s="211"/>
      <c r="P374" s="211"/>
      <c r="Q374" s="84"/>
      <c r="R374" s="211"/>
      <c r="S374" s="211"/>
      <c r="T374" s="211"/>
      <c r="U374" s="211"/>
      <c r="V374" s="84"/>
      <c r="W374" s="211"/>
      <c r="X374" s="211"/>
      <c r="Y374" s="211"/>
      <c r="Z374" s="211"/>
      <c r="AA374" s="84"/>
      <c r="AB374" s="146"/>
      <c r="AC374" s="211"/>
      <c r="AD374" s="211"/>
      <c r="AE374" s="211"/>
      <c r="AF374" s="84"/>
      <c r="AG374" s="146"/>
      <c r="AH374" s="211"/>
      <c r="AI374" s="211"/>
      <c r="AJ374" s="211"/>
      <c r="AK374" s="84"/>
      <c r="AL374" s="146"/>
      <c r="AM374" s="211"/>
      <c r="AN374" s="211"/>
      <c r="AO374" s="211"/>
      <c r="AP374" s="436"/>
      <c r="AQ374" s="146"/>
      <c r="AR374" s="211"/>
      <c r="AS374" s="211"/>
      <c r="AT374" s="211"/>
      <c r="AU374" s="84"/>
      <c r="AV374" s="211"/>
      <c r="AW374" s="211"/>
      <c r="AX374" s="211"/>
      <c r="AY374" s="211"/>
      <c r="AZ374" s="84"/>
      <c r="BA374" s="211"/>
      <c r="BB374" s="211"/>
      <c r="BC374" s="211"/>
      <c r="BD374" s="211"/>
      <c r="BE374" s="84"/>
      <c r="BF374" s="211"/>
      <c r="BG374" s="451"/>
    </row>
    <row r="375" spans="1:59" ht="12.75">
      <c r="A375" s="211"/>
      <c r="B375" s="449"/>
      <c r="C375" s="450"/>
      <c r="D375" s="211"/>
      <c r="E375" s="211"/>
      <c r="F375" s="211"/>
      <c r="G375" s="84"/>
      <c r="H375" s="211"/>
      <c r="I375" s="211"/>
      <c r="J375" s="211"/>
      <c r="K375" s="211"/>
      <c r="L375" s="84"/>
      <c r="M375" s="211"/>
      <c r="N375" s="211"/>
      <c r="O375" s="211"/>
      <c r="P375" s="211"/>
      <c r="Q375" s="84"/>
      <c r="R375" s="211"/>
      <c r="S375" s="211"/>
      <c r="T375" s="211"/>
      <c r="U375" s="211"/>
      <c r="V375" s="84"/>
      <c r="W375" s="211"/>
      <c r="X375" s="211"/>
      <c r="Y375" s="211"/>
      <c r="Z375" s="211"/>
      <c r="AA375" s="84"/>
      <c r="AB375" s="146"/>
      <c r="AC375" s="211"/>
      <c r="AD375" s="211"/>
      <c r="AE375" s="211"/>
      <c r="AF375" s="84"/>
      <c r="AG375" s="146"/>
      <c r="AH375" s="211"/>
      <c r="AI375" s="211"/>
      <c r="AJ375" s="211"/>
      <c r="AK375" s="84"/>
      <c r="AL375" s="146"/>
      <c r="AM375" s="211"/>
      <c r="AN375" s="211"/>
      <c r="AO375" s="211"/>
      <c r="AP375" s="436"/>
      <c r="AQ375" s="146"/>
      <c r="AR375" s="211"/>
      <c r="AS375" s="211"/>
      <c r="AT375" s="211"/>
      <c r="AU375" s="84"/>
      <c r="AV375" s="211"/>
      <c r="AW375" s="211"/>
      <c r="AX375" s="211"/>
      <c r="AY375" s="211"/>
      <c r="AZ375" s="84"/>
      <c r="BA375" s="211"/>
      <c r="BB375" s="211"/>
      <c r="BC375" s="211"/>
      <c r="BD375" s="211"/>
      <c r="BE375" s="84"/>
      <c r="BF375" s="211"/>
      <c r="BG375" s="451"/>
    </row>
    <row r="376" spans="1:59" ht="12.75">
      <c r="A376" s="211"/>
      <c r="B376" s="449"/>
      <c r="C376" s="450"/>
      <c r="D376" s="211"/>
      <c r="E376" s="211"/>
      <c r="F376" s="211"/>
      <c r="G376" s="84"/>
      <c r="H376" s="211"/>
      <c r="I376" s="211"/>
      <c r="J376" s="211"/>
      <c r="K376" s="211"/>
      <c r="L376" s="84"/>
      <c r="M376" s="211"/>
      <c r="N376" s="211"/>
      <c r="O376" s="211"/>
      <c r="P376" s="211"/>
      <c r="Q376" s="84"/>
      <c r="R376" s="211"/>
      <c r="S376" s="211"/>
      <c r="T376" s="211"/>
      <c r="U376" s="211"/>
      <c r="V376" s="84"/>
      <c r="W376" s="211"/>
      <c r="X376" s="211"/>
      <c r="Y376" s="211"/>
      <c r="Z376" s="211"/>
      <c r="AA376" s="84"/>
      <c r="AB376" s="146"/>
      <c r="AC376" s="211"/>
      <c r="AD376" s="211"/>
      <c r="AE376" s="211"/>
      <c r="AF376" s="84"/>
      <c r="AG376" s="146"/>
      <c r="AH376" s="211"/>
      <c r="AI376" s="211"/>
      <c r="AJ376" s="211"/>
      <c r="AK376" s="84"/>
      <c r="AL376" s="146"/>
      <c r="AM376" s="211"/>
      <c r="AN376" s="211"/>
      <c r="AO376" s="211"/>
      <c r="AP376" s="436"/>
      <c r="AQ376" s="146"/>
      <c r="AR376" s="211"/>
      <c r="AS376" s="211"/>
      <c r="AT376" s="211"/>
      <c r="AU376" s="84"/>
      <c r="AV376" s="211"/>
      <c r="AW376" s="211"/>
      <c r="AX376" s="211"/>
      <c r="AY376" s="211"/>
      <c r="AZ376" s="84"/>
      <c r="BA376" s="211"/>
      <c r="BB376" s="211"/>
      <c r="BC376" s="211"/>
      <c r="BD376" s="211"/>
      <c r="BE376" s="84"/>
      <c r="BF376" s="211"/>
      <c r="BG376" s="451"/>
    </row>
    <row r="377" spans="1:59" ht="12.75">
      <c r="A377" s="211"/>
      <c r="B377" s="449"/>
      <c r="C377" s="450"/>
      <c r="D377" s="211"/>
      <c r="E377" s="211"/>
      <c r="F377" s="211"/>
      <c r="G377" s="84"/>
      <c r="H377" s="211"/>
      <c r="I377" s="211"/>
      <c r="J377" s="211"/>
      <c r="K377" s="211"/>
      <c r="L377" s="84"/>
      <c r="M377" s="211"/>
      <c r="N377" s="211"/>
      <c r="O377" s="211"/>
      <c r="P377" s="211"/>
      <c r="Q377" s="84"/>
      <c r="R377" s="211"/>
      <c r="S377" s="211"/>
      <c r="T377" s="211"/>
      <c r="U377" s="211"/>
      <c r="V377" s="84"/>
      <c r="W377" s="211"/>
      <c r="X377" s="211"/>
      <c r="Y377" s="211"/>
      <c r="Z377" s="211"/>
      <c r="AA377" s="84"/>
      <c r="AB377" s="146"/>
      <c r="AC377" s="211"/>
      <c r="AD377" s="211"/>
      <c r="AE377" s="211"/>
      <c r="AF377" s="84"/>
      <c r="AG377" s="146"/>
      <c r="AH377" s="211"/>
      <c r="AI377" s="211"/>
      <c r="AJ377" s="211"/>
      <c r="AK377" s="84"/>
      <c r="AL377" s="146"/>
      <c r="AM377" s="211"/>
      <c r="AN377" s="211"/>
      <c r="AO377" s="211"/>
      <c r="AP377" s="436"/>
      <c r="AQ377" s="146"/>
      <c r="AR377" s="211"/>
      <c r="AS377" s="211"/>
      <c r="AT377" s="211"/>
      <c r="AU377" s="84"/>
      <c r="AV377" s="211"/>
      <c r="AW377" s="211"/>
      <c r="AX377" s="211"/>
      <c r="AY377" s="211"/>
      <c r="AZ377" s="84"/>
      <c r="BA377" s="211"/>
      <c r="BB377" s="211"/>
      <c r="BC377" s="211"/>
      <c r="BD377" s="211"/>
      <c r="BE377" s="84"/>
      <c r="BF377" s="211"/>
      <c r="BG377" s="451"/>
    </row>
    <row r="378" spans="1:59" ht="12.75">
      <c r="A378" s="211"/>
      <c r="B378" s="449"/>
      <c r="C378" s="450"/>
      <c r="D378" s="211"/>
      <c r="E378" s="211"/>
      <c r="F378" s="211"/>
      <c r="G378" s="84"/>
      <c r="H378" s="211"/>
      <c r="I378" s="211"/>
      <c r="J378" s="211"/>
      <c r="K378" s="211"/>
      <c r="L378" s="84"/>
      <c r="M378" s="211"/>
      <c r="N378" s="211"/>
      <c r="O378" s="211"/>
      <c r="P378" s="211"/>
      <c r="Q378" s="84"/>
      <c r="R378" s="211"/>
      <c r="S378" s="211"/>
      <c r="T378" s="211"/>
      <c r="U378" s="211"/>
      <c r="V378" s="84"/>
      <c r="W378" s="211"/>
      <c r="X378" s="211"/>
      <c r="Y378" s="211"/>
      <c r="Z378" s="211"/>
      <c r="AA378" s="84"/>
      <c r="AB378" s="146"/>
      <c r="AC378" s="211"/>
      <c r="AD378" s="211"/>
      <c r="AE378" s="211"/>
      <c r="AF378" s="84"/>
      <c r="AG378" s="146"/>
      <c r="AH378" s="211"/>
      <c r="AI378" s="211"/>
      <c r="AJ378" s="211"/>
      <c r="AK378" s="84"/>
      <c r="AL378" s="146"/>
      <c r="AM378" s="211"/>
      <c r="AN378" s="211"/>
      <c r="AO378" s="211"/>
      <c r="AP378" s="436"/>
      <c r="AQ378" s="146"/>
      <c r="AR378" s="211"/>
      <c r="AS378" s="211"/>
      <c r="AT378" s="211"/>
      <c r="AU378" s="84"/>
      <c r="AV378" s="211"/>
      <c r="AW378" s="211"/>
      <c r="AX378" s="211"/>
      <c r="AY378" s="211"/>
      <c r="AZ378" s="84"/>
      <c r="BA378" s="211"/>
      <c r="BB378" s="211"/>
      <c r="BC378" s="211"/>
      <c r="BD378" s="211"/>
      <c r="BE378" s="84"/>
      <c r="BF378" s="211"/>
      <c r="BG378" s="451"/>
    </row>
    <row r="379" spans="1:59" ht="12.75">
      <c r="A379" s="211"/>
      <c r="B379" s="449"/>
      <c r="C379" s="450"/>
      <c r="D379" s="211"/>
      <c r="E379" s="211"/>
      <c r="F379" s="211"/>
      <c r="G379" s="84"/>
      <c r="H379" s="211"/>
      <c r="I379" s="211"/>
      <c r="J379" s="211"/>
      <c r="K379" s="211"/>
      <c r="L379" s="84"/>
      <c r="M379" s="211"/>
      <c r="N379" s="211"/>
      <c r="O379" s="211"/>
      <c r="P379" s="211"/>
      <c r="Q379" s="84"/>
      <c r="R379" s="211"/>
      <c r="S379" s="211"/>
      <c r="T379" s="211"/>
      <c r="U379" s="211"/>
      <c r="V379" s="84"/>
      <c r="W379" s="211"/>
      <c r="X379" s="211"/>
      <c r="Y379" s="211"/>
      <c r="Z379" s="211"/>
      <c r="AA379" s="84"/>
      <c r="AB379" s="146"/>
      <c r="AC379" s="211"/>
      <c r="AD379" s="211"/>
      <c r="AE379" s="211"/>
      <c r="AF379" s="84"/>
      <c r="AG379" s="146"/>
      <c r="AH379" s="211"/>
      <c r="AI379" s="211"/>
      <c r="AJ379" s="211"/>
      <c r="AK379" s="84"/>
      <c r="AL379" s="146"/>
      <c r="AM379" s="211"/>
      <c r="AN379" s="211"/>
      <c r="AO379" s="211"/>
      <c r="AP379" s="436"/>
      <c r="AQ379" s="146"/>
      <c r="AR379" s="211"/>
      <c r="AS379" s="211"/>
      <c r="AT379" s="211"/>
      <c r="AU379" s="84"/>
      <c r="AV379" s="211"/>
      <c r="AW379" s="211"/>
      <c r="AX379" s="211"/>
      <c r="AY379" s="211"/>
      <c r="AZ379" s="84"/>
      <c r="BA379" s="211"/>
      <c r="BB379" s="211"/>
      <c r="BC379" s="211"/>
      <c r="BD379" s="211"/>
      <c r="BE379" s="84"/>
      <c r="BF379" s="211"/>
      <c r="BG379" s="451"/>
    </row>
    <row r="380" spans="1:59" ht="12.75">
      <c r="A380" s="211"/>
      <c r="B380" s="449"/>
      <c r="C380" s="450"/>
      <c r="D380" s="211"/>
      <c r="E380" s="211"/>
      <c r="F380" s="211"/>
      <c r="G380" s="84"/>
      <c r="H380" s="211"/>
      <c r="I380" s="211"/>
      <c r="J380" s="211"/>
      <c r="K380" s="211"/>
      <c r="L380" s="84"/>
      <c r="M380" s="211"/>
      <c r="N380" s="211"/>
      <c r="O380" s="211"/>
      <c r="P380" s="211"/>
      <c r="Q380" s="84"/>
      <c r="R380" s="211"/>
      <c r="S380" s="211"/>
      <c r="T380" s="211"/>
      <c r="U380" s="211"/>
      <c r="V380" s="84"/>
      <c r="W380" s="211"/>
      <c r="X380" s="211"/>
      <c r="Y380" s="211"/>
      <c r="Z380" s="211"/>
      <c r="AA380" s="84"/>
      <c r="AB380" s="146"/>
      <c r="AC380" s="211"/>
      <c r="AD380" s="211"/>
      <c r="AE380" s="211"/>
      <c r="AF380" s="84"/>
      <c r="AG380" s="146"/>
      <c r="AH380" s="211"/>
      <c r="AI380" s="211"/>
      <c r="AJ380" s="211"/>
      <c r="AK380" s="84"/>
      <c r="AL380" s="146"/>
      <c r="AM380" s="211"/>
      <c r="AN380" s="211"/>
      <c r="AO380" s="211"/>
      <c r="AP380" s="436"/>
      <c r="AQ380" s="146"/>
      <c r="AR380" s="211"/>
      <c r="AS380" s="211"/>
      <c r="AT380" s="211"/>
      <c r="AU380" s="84"/>
      <c r="AV380" s="211"/>
      <c r="AW380" s="211"/>
      <c r="AX380" s="211"/>
      <c r="AY380" s="211"/>
      <c r="AZ380" s="84"/>
      <c r="BA380" s="211"/>
      <c r="BB380" s="211"/>
      <c r="BC380" s="211"/>
      <c r="BD380" s="211"/>
      <c r="BE380" s="84"/>
      <c r="BF380" s="211"/>
      <c r="BG380" s="451"/>
    </row>
    <row r="381" spans="1:59" ht="12.75">
      <c r="A381" s="211"/>
      <c r="B381" s="449"/>
      <c r="C381" s="450"/>
      <c r="D381" s="211"/>
      <c r="E381" s="211"/>
      <c r="F381" s="211"/>
      <c r="G381" s="84"/>
      <c r="H381" s="211"/>
      <c r="I381" s="211"/>
      <c r="J381" s="211"/>
      <c r="K381" s="211"/>
      <c r="L381" s="84"/>
      <c r="M381" s="211"/>
      <c r="N381" s="211"/>
      <c r="O381" s="211"/>
      <c r="P381" s="211"/>
      <c r="Q381" s="84"/>
      <c r="R381" s="211"/>
      <c r="S381" s="211"/>
      <c r="T381" s="211"/>
      <c r="U381" s="211"/>
      <c r="V381" s="84"/>
      <c r="W381" s="211"/>
      <c r="X381" s="211"/>
      <c r="Y381" s="211"/>
      <c r="Z381" s="211"/>
      <c r="AA381" s="84"/>
      <c r="AB381" s="146"/>
      <c r="AC381" s="211"/>
      <c r="AD381" s="211"/>
      <c r="AE381" s="211"/>
      <c r="AF381" s="84"/>
      <c r="AG381" s="146"/>
      <c r="AH381" s="211"/>
      <c r="AI381" s="211"/>
      <c r="AJ381" s="211"/>
      <c r="AK381" s="84"/>
      <c r="AL381" s="146"/>
      <c r="AM381" s="211"/>
      <c r="AN381" s="211"/>
      <c r="AO381" s="211"/>
      <c r="AP381" s="436"/>
      <c r="AQ381" s="146"/>
      <c r="AR381" s="211"/>
      <c r="AS381" s="211"/>
      <c r="AT381" s="211"/>
      <c r="AU381" s="84"/>
      <c r="AV381" s="211"/>
      <c r="AW381" s="211"/>
      <c r="AX381" s="211"/>
      <c r="AY381" s="211"/>
      <c r="AZ381" s="84"/>
      <c r="BA381" s="211"/>
      <c r="BB381" s="211"/>
      <c r="BC381" s="211"/>
      <c r="BD381" s="211"/>
      <c r="BE381" s="84"/>
      <c r="BF381" s="211"/>
      <c r="BG381" s="451"/>
    </row>
    <row r="382" spans="1:59" ht="12.75">
      <c r="A382" s="211"/>
      <c r="B382" s="449"/>
      <c r="C382" s="450"/>
      <c r="D382" s="211"/>
      <c r="E382" s="211"/>
      <c r="F382" s="211"/>
      <c r="G382" s="84"/>
      <c r="H382" s="211"/>
      <c r="I382" s="211"/>
      <c r="J382" s="211"/>
      <c r="K382" s="211"/>
      <c r="L382" s="84"/>
      <c r="M382" s="211"/>
      <c r="N382" s="211"/>
      <c r="O382" s="211"/>
      <c r="P382" s="211"/>
      <c r="Q382" s="84"/>
      <c r="R382" s="211"/>
      <c r="S382" s="211"/>
      <c r="T382" s="211"/>
      <c r="U382" s="211"/>
      <c r="V382" s="84"/>
      <c r="W382" s="211"/>
      <c r="X382" s="211"/>
      <c r="Y382" s="211"/>
      <c r="Z382" s="211"/>
      <c r="AA382" s="84"/>
      <c r="AB382" s="146"/>
      <c r="AC382" s="211"/>
      <c r="AD382" s="211"/>
      <c r="AE382" s="211"/>
      <c r="AF382" s="84"/>
      <c r="AG382" s="146"/>
      <c r="AH382" s="211"/>
      <c r="AI382" s="211"/>
      <c r="AJ382" s="211"/>
      <c r="AK382" s="84"/>
      <c r="AL382" s="146"/>
      <c r="AM382" s="211"/>
      <c r="AN382" s="211"/>
      <c r="AO382" s="211"/>
      <c r="AP382" s="436"/>
      <c r="AQ382" s="146"/>
      <c r="AR382" s="211"/>
      <c r="AS382" s="211"/>
      <c r="AT382" s="211"/>
      <c r="AU382" s="84"/>
      <c r="AV382" s="211"/>
      <c r="AW382" s="211"/>
      <c r="AX382" s="211"/>
      <c r="AY382" s="211"/>
      <c r="AZ382" s="84"/>
      <c r="BA382" s="211"/>
      <c r="BB382" s="211"/>
      <c r="BC382" s="211"/>
      <c r="BD382" s="211"/>
      <c r="BE382" s="84"/>
      <c r="BF382" s="211"/>
      <c r="BG382" s="451"/>
    </row>
    <row r="383" spans="1:59" ht="12.75">
      <c r="A383" s="211"/>
      <c r="B383" s="449"/>
      <c r="C383" s="450"/>
      <c r="D383" s="211"/>
      <c r="E383" s="211"/>
      <c r="F383" s="211"/>
      <c r="G383" s="84"/>
      <c r="H383" s="211"/>
      <c r="I383" s="211"/>
      <c r="J383" s="211"/>
      <c r="K383" s="211"/>
      <c r="L383" s="84"/>
      <c r="M383" s="211"/>
      <c r="N383" s="211"/>
      <c r="O383" s="211"/>
      <c r="P383" s="211"/>
      <c r="Q383" s="84"/>
      <c r="R383" s="211"/>
      <c r="S383" s="211"/>
      <c r="T383" s="211"/>
      <c r="U383" s="211"/>
      <c r="V383" s="84"/>
      <c r="W383" s="211"/>
      <c r="X383" s="211"/>
      <c r="Y383" s="211"/>
      <c r="Z383" s="211"/>
      <c r="AA383" s="84"/>
      <c r="AB383" s="146"/>
      <c r="AC383" s="211"/>
      <c r="AD383" s="211"/>
      <c r="AE383" s="211"/>
      <c r="AF383" s="84"/>
      <c r="AG383" s="146"/>
      <c r="AH383" s="211"/>
      <c r="AI383" s="211"/>
      <c r="AJ383" s="211"/>
      <c r="AK383" s="84"/>
      <c r="AL383" s="146"/>
      <c r="AM383" s="211"/>
      <c r="AN383" s="211"/>
      <c r="AO383" s="211"/>
      <c r="AP383" s="436"/>
      <c r="AQ383" s="146"/>
      <c r="AR383" s="211"/>
      <c r="AS383" s="211"/>
      <c r="AT383" s="211"/>
      <c r="AU383" s="84"/>
      <c r="AV383" s="211"/>
      <c r="AW383" s="211"/>
      <c r="AX383" s="211"/>
      <c r="AY383" s="211"/>
      <c r="AZ383" s="84"/>
      <c r="BA383" s="211"/>
      <c r="BB383" s="211"/>
      <c r="BC383" s="211"/>
      <c r="BD383" s="211"/>
      <c r="BE383" s="84"/>
      <c r="BF383" s="211"/>
      <c r="BG383" s="451"/>
    </row>
    <row r="384" spans="1:59" ht="12.75">
      <c r="A384" s="211"/>
      <c r="B384" s="449"/>
      <c r="C384" s="450"/>
      <c r="D384" s="211"/>
      <c r="E384" s="211"/>
      <c r="F384" s="211"/>
      <c r="G384" s="84"/>
      <c r="H384" s="211"/>
      <c r="I384" s="211"/>
      <c r="J384" s="211"/>
      <c r="K384" s="211"/>
      <c r="L384" s="84"/>
      <c r="M384" s="211"/>
      <c r="N384" s="211"/>
      <c r="O384" s="211"/>
      <c r="P384" s="211"/>
      <c r="Q384" s="84"/>
      <c r="R384" s="211"/>
      <c r="S384" s="211"/>
      <c r="T384" s="211"/>
      <c r="U384" s="211"/>
      <c r="V384" s="84"/>
      <c r="W384" s="211"/>
      <c r="X384" s="211"/>
      <c r="Y384" s="211"/>
      <c r="Z384" s="211"/>
      <c r="AA384" s="84"/>
      <c r="AB384" s="146"/>
      <c r="AC384" s="211"/>
      <c r="AD384" s="211"/>
      <c r="AE384" s="211"/>
      <c r="AF384" s="84"/>
      <c r="AG384" s="146"/>
      <c r="AH384" s="211"/>
      <c r="AI384" s="211"/>
      <c r="AJ384" s="211"/>
      <c r="AK384" s="84"/>
      <c r="AL384" s="146"/>
      <c r="AM384" s="211"/>
      <c r="AN384" s="211"/>
      <c r="AO384" s="211"/>
      <c r="AP384" s="436"/>
      <c r="AQ384" s="146"/>
      <c r="AR384" s="211"/>
      <c r="AS384" s="211"/>
      <c r="AT384" s="211"/>
      <c r="AU384" s="84"/>
      <c r="AV384" s="211"/>
      <c r="AW384" s="211"/>
      <c r="AX384" s="211"/>
      <c r="AY384" s="211"/>
      <c r="AZ384" s="84"/>
      <c r="BA384" s="211"/>
      <c r="BB384" s="211"/>
      <c r="BC384" s="211"/>
      <c r="BD384" s="211"/>
      <c r="BE384" s="84"/>
      <c r="BF384" s="211"/>
      <c r="BG384" s="451"/>
    </row>
    <row r="385" spans="1:59" ht="12.75">
      <c r="A385" s="211"/>
      <c r="B385" s="449"/>
      <c r="C385" s="450"/>
      <c r="D385" s="211"/>
      <c r="E385" s="211"/>
      <c r="F385" s="211"/>
      <c r="G385" s="84"/>
      <c r="H385" s="211"/>
      <c r="I385" s="211"/>
      <c r="J385" s="211"/>
      <c r="K385" s="211"/>
      <c r="L385" s="84"/>
      <c r="M385" s="211"/>
      <c r="N385" s="211"/>
      <c r="O385" s="211"/>
      <c r="P385" s="211"/>
      <c r="Q385" s="84"/>
      <c r="R385" s="211"/>
      <c r="S385" s="211"/>
      <c r="T385" s="211"/>
      <c r="U385" s="211"/>
      <c r="V385" s="84"/>
      <c r="W385" s="211"/>
      <c r="X385" s="211"/>
      <c r="Y385" s="211"/>
      <c r="Z385" s="211"/>
      <c r="AA385" s="84"/>
      <c r="AB385" s="146"/>
      <c r="AC385" s="211"/>
      <c r="AD385" s="211"/>
      <c r="AE385" s="211"/>
      <c r="AF385" s="84"/>
      <c r="AG385" s="146"/>
      <c r="AH385" s="211"/>
      <c r="AI385" s="211"/>
      <c r="AJ385" s="211"/>
      <c r="AK385" s="84"/>
      <c r="AL385" s="146"/>
      <c r="AM385" s="211"/>
      <c r="AN385" s="211"/>
      <c r="AO385" s="211"/>
      <c r="AP385" s="436"/>
      <c r="AQ385" s="146"/>
      <c r="AR385" s="211"/>
      <c r="AS385" s="211"/>
      <c r="AT385" s="211"/>
      <c r="AU385" s="84"/>
      <c r="AV385" s="211"/>
      <c r="AW385" s="211"/>
      <c r="AX385" s="211"/>
      <c r="AY385" s="211"/>
      <c r="AZ385" s="84"/>
      <c r="BA385" s="211"/>
      <c r="BB385" s="211"/>
      <c r="BC385" s="211"/>
      <c r="BD385" s="211"/>
      <c r="BE385" s="84"/>
      <c r="BF385" s="211"/>
      <c r="BG385" s="451"/>
    </row>
    <row r="386" spans="1:59" ht="12.75">
      <c r="A386" s="211"/>
      <c r="B386" s="449"/>
      <c r="C386" s="450"/>
      <c r="D386" s="211"/>
      <c r="E386" s="211"/>
      <c r="F386" s="211"/>
      <c r="G386" s="84"/>
      <c r="H386" s="211"/>
      <c r="I386" s="211"/>
      <c r="J386" s="211"/>
      <c r="K386" s="211"/>
      <c r="L386" s="84"/>
      <c r="M386" s="211"/>
      <c r="N386" s="211"/>
      <c r="O386" s="211"/>
      <c r="P386" s="211"/>
      <c r="Q386" s="84"/>
      <c r="R386" s="211"/>
      <c r="S386" s="211"/>
      <c r="T386" s="211"/>
      <c r="U386" s="211"/>
      <c r="V386" s="84"/>
      <c r="W386" s="211"/>
      <c r="X386" s="211"/>
      <c r="Y386" s="211"/>
      <c r="Z386" s="211"/>
      <c r="AA386" s="84"/>
      <c r="AB386" s="146"/>
      <c r="AC386" s="211"/>
      <c r="AD386" s="211"/>
      <c r="AE386" s="211"/>
      <c r="AF386" s="84"/>
      <c r="AG386" s="146"/>
      <c r="AH386" s="211"/>
      <c r="AI386" s="211"/>
      <c r="AJ386" s="211"/>
      <c r="AK386" s="84"/>
      <c r="AL386" s="146"/>
      <c r="AM386" s="211"/>
      <c r="AN386" s="211"/>
      <c r="AO386" s="211"/>
      <c r="AP386" s="436"/>
      <c r="AQ386" s="146"/>
      <c r="AR386" s="211"/>
      <c r="AS386" s="211"/>
      <c r="AT386" s="211"/>
      <c r="AU386" s="84"/>
      <c r="AV386" s="211"/>
      <c r="AW386" s="211"/>
      <c r="AX386" s="211"/>
      <c r="AY386" s="211"/>
      <c r="AZ386" s="84"/>
      <c r="BA386" s="211"/>
      <c r="BB386" s="211"/>
      <c r="BC386" s="211"/>
      <c r="BD386" s="211"/>
      <c r="BE386" s="84"/>
      <c r="BF386" s="211"/>
      <c r="BG386" s="451"/>
    </row>
    <row r="387" spans="1:59" ht="12.75">
      <c r="A387" s="211"/>
      <c r="B387" s="449"/>
      <c r="C387" s="450"/>
      <c r="D387" s="211"/>
      <c r="E387" s="211"/>
      <c r="F387" s="211"/>
      <c r="G387" s="84"/>
      <c r="H387" s="211"/>
      <c r="I387" s="211"/>
      <c r="J387" s="211"/>
      <c r="K387" s="211"/>
      <c r="L387" s="84"/>
      <c r="M387" s="211"/>
      <c r="N387" s="211"/>
      <c r="O387" s="211"/>
      <c r="P387" s="211"/>
      <c r="Q387" s="84"/>
      <c r="R387" s="211"/>
      <c r="S387" s="211"/>
      <c r="T387" s="211"/>
      <c r="U387" s="211"/>
      <c r="V387" s="84"/>
      <c r="W387" s="211"/>
      <c r="X387" s="211"/>
      <c r="Y387" s="211"/>
      <c r="Z387" s="211"/>
      <c r="AA387" s="84"/>
      <c r="AB387" s="146"/>
      <c r="AC387" s="211"/>
      <c r="AD387" s="211"/>
      <c r="AE387" s="211"/>
      <c r="AF387" s="84"/>
      <c r="AG387" s="146"/>
      <c r="AH387" s="211"/>
      <c r="AI387" s="211"/>
      <c r="AJ387" s="211"/>
      <c r="AK387" s="84"/>
      <c r="AL387" s="146"/>
      <c r="AM387" s="211"/>
      <c r="AN387" s="211"/>
      <c r="AO387" s="211"/>
      <c r="AP387" s="436"/>
      <c r="AQ387" s="146"/>
      <c r="AR387" s="211"/>
      <c r="AS387" s="211"/>
      <c r="AT387" s="211"/>
      <c r="AU387" s="84"/>
      <c r="AV387" s="211"/>
      <c r="AW387" s="211"/>
      <c r="AX387" s="211"/>
      <c r="AY387" s="211"/>
      <c r="AZ387" s="84"/>
      <c r="BA387" s="211"/>
      <c r="BB387" s="211"/>
      <c r="BC387" s="211"/>
      <c r="BD387" s="211"/>
      <c r="BE387" s="84"/>
      <c r="BF387" s="211"/>
      <c r="BG387" s="451"/>
    </row>
    <row r="388" spans="1:59" ht="12.75">
      <c r="A388" s="211"/>
      <c r="B388" s="449"/>
      <c r="C388" s="450"/>
      <c r="D388" s="211"/>
      <c r="E388" s="211"/>
      <c r="F388" s="211"/>
      <c r="G388" s="84"/>
      <c r="H388" s="211"/>
      <c r="I388" s="211"/>
      <c r="J388" s="211"/>
      <c r="K388" s="211"/>
      <c r="L388" s="84"/>
      <c r="M388" s="211"/>
      <c r="N388" s="211"/>
      <c r="O388" s="211"/>
      <c r="P388" s="211"/>
      <c r="Q388" s="84"/>
      <c r="R388" s="211"/>
      <c r="S388" s="211"/>
      <c r="T388" s="211"/>
      <c r="U388" s="211"/>
      <c r="V388" s="84"/>
      <c r="W388" s="211"/>
      <c r="X388" s="211"/>
      <c r="Y388" s="211"/>
      <c r="Z388" s="211"/>
      <c r="AA388" s="84"/>
      <c r="AB388" s="146"/>
      <c r="AC388" s="211"/>
      <c r="AD388" s="211"/>
      <c r="AE388" s="211"/>
      <c r="AF388" s="84"/>
      <c r="AG388" s="146"/>
      <c r="AH388" s="211"/>
      <c r="AI388" s="211"/>
      <c r="AJ388" s="211"/>
      <c r="AK388" s="84"/>
      <c r="AL388" s="146"/>
      <c r="AM388" s="211"/>
      <c r="AN388" s="211"/>
      <c r="AO388" s="211"/>
      <c r="AP388" s="436"/>
      <c r="AQ388" s="146"/>
      <c r="AR388" s="211"/>
      <c r="AS388" s="211"/>
      <c r="AT388" s="211"/>
      <c r="AU388" s="84"/>
      <c r="AV388" s="211"/>
      <c r="AW388" s="211"/>
      <c r="AX388" s="211"/>
      <c r="AY388" s="211"/>
      <c r="AZ388" s="84"/>
      <c r="BA388" s="211"/>
      <c r="BB388" s="211"/>
      <c r="BC388" s="211"/>
      <c r="BD388" s="211"/>
      <c r="BE388" s="84"/>
      <c r="BF388" s="211"/>
      <c r="BG388" s="451"/>
    </row>
    <row r="389" spans="1:59" ht="12.75">
      <c r="A389" s="211"/>
      <c r="B389" s="449"/>
      <c r="C389" s="450"/>
      <c r="D389" s="211"/>
      <c r="E389" s="211"/>
      <c r="F389" s="211"/>
      <c r="G389" s="84"/>
      <c r="H389" s="211"/>
      <c r="I389" s="211"/>
      <c r="J389" s="211"/>
      <c r="K389" s="211"/>
      <c r="L389" s="84"/>
      <c r="M389" s="211"/>
      <c r="N389" s="211"/>
      <c r="O389" s="211"/>
      <c r="P389" s="211"/>
      <c r="Q389" s="84"/>
      <c r="R389" s="211"/>
      <c r="S389" s="211"/>
      <c r="T389" s="211"/>
      <c r="U389" s="211"/>
      <c r="V389" s="84"/>
      <c r="W389" s="211"/>
      <c r="X389" s="211"/>
      <c r="Y389" s="211"/>
      <c r="Z389" s="211"/>
      <c r="AA389" s="84"/>
      <c r="AB389" s="146"/>
      <c r="AC389" s="211"/>
      <c r="AD389" s="211"/>
      <c r="AE389" s="211"/>
      <c r="AF389" s="84"/>
      <c r="AG389" s="146"/>
      <c r="AH389" s="211"/>
      <c r="AI389" s="211"/>
      <c r="AJ389" s="211"/>
      <c r="AK389" s="84"/>
      <c r="AL389" s="146"/>
      <c r="AM389" s="211"/>
      <c r="AN389" s="211"/>
      <c r="AO389" s="211"/>
      <c r="AP389" s="436"/>
      <c r="AQ389" s="146"/>
      <c r="AR389" s="211"/>
      <c r="AS389" s="211"/>
      <c r="AT389" s="211"/>
      <c r="AU389" s="84"/>
      <c r="AV389" s="211"/>
      <c r="AW389" s="211"/>
      <c r="AX389" s="211"/>
      <c r="AY389" s="211"/>
      <c r="AZ389" s="84"/>
      <c r="BA389" s="211"/>
      <c r="BB389" s="211"/>
      <c r="BC389" s="211"/>
      <c r="BD389" s="211"/>
      <c r="BE389" s="84"/>
      <c r="BF389" s="211"/>
      <c r="BG389" s="451"/>
    </row>
    <row r="390" spans="1:59" ht="12.75">
      <c r="A390" s="211"/>
      <c r="B390" s="449"/>
      <c r="C390" s="450"/>
      <c r="D390" s="211"/>
      <c r="E390" s="211"/>
      <c r="F390" s="211"/>
      <c r="G390" s="84"/>
      <c r="H390" s="211"/>
      <c r="I390" s="211"/>
      <c r="J390" s="211"/>
      <c r="K390" s="211"/>
      <c r="L390" s="84"/>
      <c r="M390" s="211"/>
      <c r="N390" s="211"/>
      <c r="O390" s="211"/>
      <c r="P390" s="211"/>
      <c r="Q390" s="84"/>
      <c r="R390" s="211"/>
      <c r="S390" s="211"/>
      <c r="T390" s="211"/>
      <c r="U390" s="211"/>
      <c r="V390" s="84"/>
      <c r="W390" s="211"/>
      <c r="X390" s="211"/>
      <c r="Y390" s="211"/>
      <c r="Z390" s="211"/>
      <c r="AA390" s="84"/>
      <c r="AB390" s="146"/>
      <c r="AC390" s="211"/>
      <c r="AD390" s="211"/>
      <c r="AE390" s="211"/>
      <c r="AF390" s="84"/>
      <c r="AG390" s="146"/>
      <c r="AH390" s="211"/>
      <c r="AI390" s="211"/>
      <c r="AJ390" s="211"/>
      <c r="AK390" s="84"/>
      <c r="AL390" s="146"/>
      <c r="AM390" s="211"/>
      <c r="AN390" s="211"/>
      <c r="AO390" s="211"/>
      <c r="AP390" s="436"/>
      <c r="AQ390" s="146"/>
      <c r="AR390" s="211"/>
      <c r="AS390" s="211"/>
      <c r="AT390" s="211"/>
      <c r="AU390" s="84"/>
      <c r="AV390" s="211"/>
      <c r="AW390" s="211"/>
      <c r="AX390" s="211"/>
      <c r="AY390" s="211"/>
      <c r="AZ390" s="84"/>
      <c r="BA390" s="211"/>
      <c r="BB390" s="211"/>
      <c r="BC390" s="211"/>
      <c r="BD390" s="211"/>
      <c r="BE390" s="84"/>
      <c r="BF390" s="211"/>
      <c r="BG390" s="451"/>
    </row>
    <row r="391" spans="1:59" ht="12.75">
      <c r="A391" s="211"/>
      <c r="B391" s="449"/>
      <c r="C391" s="450"/>
      <c r="D391" s="211"/>
      <c r="E391" s="211"/>
      <c r="F391" s="211"/>
      <c r="G391" s="84"/>
      <c r="H391" s="211"/>
      <c r="I391" s="211"/>
      <c r="J391" s="211"/>
      <c r="K391" s="211"/>
      <c r="L391" s="84"/>
      <c r="M391" s="211"/>
      <c r="N391" s="211"/>
      <c r="O391" s="211"/>
      <c r="P391" s="211"/>
      <c r="Q391" s="84"/>
      <c r="R391" s="211"/>
      <c r="S391" s="211"/>
      <c r="T391" s="211"/>
      <c r="U391" s="211"/>
      <c r="V391" s="84"/>
      <c r="W391" s="211"/>
      <c r="X391" s="211"/>
      <c r="Y391" s="211"/>
      <c r="Z391" s="211"/>
      <c r="AA391" s="84"/>
      <c r="AB391" s="146"/>
      <c r="AC391" s="211"/>
      <c r="AD391" s="211"/>
      <c r="AE391" s="211"/>
      <c r="AF391" s="84"/>
      <c r="AG391" s="146"/>
      <c r="AH391" s="211"/>
      <c r="AI391" s="211"/>
      <c r="AJ391" s="211"/>
      <c r="AK391" s="84"/>
      <c r="AL391" s="146"/>
      <c r="AM391" s="211"/>
      <c r="AN391" s="211"/>
      <c r="AO391" s="211"/>
      <c r="AP391" s="436"/>
      <c r="AQ391" s="146"/>
      <c r="AR391" s="211"/>
      <c r="AS391" s="211"/>
      <c r="AT391" s="211"/>
      <c r="AU391" s="84"/>
      <c r="AV391" s="211"/>
      <c r="AW391" s="211"/>
      <c r="AX391" s="211"/>
      <c r="AY391" s="211"/>
      <c r="AZ391" s="84"/>
      <c r="BA391" s="211"/>
      <c r="BB391" s="211"/>
      <c r="BC391" s="211"/>
      <c r="BD391" s="211"/>
      <c r="BE391" s="84"/>
      <c r="BF391" s="211"/>
      <c r="BG391" s="451"/>
    </row>
    <row r="392" spans="1:59" ht="12.75">
      <c r="A392" s="211"/>
      <c r="B392" s="449"/>
      <c r="C392" s="450"/>
      <c r="D392" s="211"/>
      <c r="E392" s="211"/>
      <c r="F392" s="211"/>
      <c r="G392" s="84"/>
      <c r="H392" s="211"/>
      <c r="I392" s="211"/>
      <c r="J392" s="211"/>
      <c r="K392" s="211"/>
      <c r="L392" s="84"/>
      <c r="M392" s="211"/>
      <c r="N392" s="211"/>
      <c r="O392" s="211"/>
      <c r="P392" s="211"/>
      <c r="Q392" s="84"/>
      <c r="R392" s="211"/>
      <c r="S392" s="211"/>
      <c r="T392" s="211"/>
      <c r="U392" s="211"/>
      <c r="V392" s="84"/>
      <c r="W392" s="211"/>
      <c r="X392" s="211"/>
      <c r="Y392" s="211"/>
      <c r="Z392" s="211"/>
      <c r="AA392" s="84"/>
      <c r="AB392" s="146"/>
      <c r="AC392" s="211"/>
      <c r="AD392" s="211"/>
      <c r="AE392" s="211"/>
      <c r="AF392" s="84"/>
      <c r="AG392" s="146"/>
      <c r="AH392" s="211"/>
      <c r="AI392" s="211"/>
      <c r="AJ392" s="211"/>
      <c r="AK392" s="84"/>
      <c r="AL392" s="146"/>
      <c r="AM392" s="211"/>
      <c r="AN392" s="211"/>
      <c r="AO392" s="211"/>
      <c r="AP392" s="436"/>
      <c r="AQ392" s="146"/>
      <c r="AR392" s="211"/>
      <c r="AS392" s="211"/>
      <c r="AT392" s="211"/>
      <c r="AU392" s="84"/>
      <c r="AV392" s="211"/>
      <c r="AW392" s="211"/>
      <c r="AX392" s="211"/>
      <c r="AY392" s="211"/>
      <c r="AZ392" s="84"/>
      <c r="BA392" s="211"/>
      <c r="BB392" s="211"/>
      <c r="BC392" s="211"/>
      <c r="BD392" s="211"/>
      <c r="BE392" s="84"/>
      <c r="BF392" s="211"/>
      <c r="BG392" s="451"/>
    </row>
    <row r="393" spans="1:59" ht="12.75">
      <c r="A393" s="211"/>
      <c r="B393" s="449"/>
      <c r="C393" s="450"/>
      <c r="D393" s="211"/>
      <c r="E393" s="211"/>
      <c r="F393" s="211"/>
      <c r="G393" s="84"/>
      <c r="H393" s="211"/>
      <c r="I393" s="211"/>
      <c r="J393" s="211"/>
      <c r="K393" s="211"/>
      <c r="L393" s="84"/>
      <c r="M393" s="211"/>
      <c r="N393" s="211"/>
      <c r="O393" s="211"/>
      <c r="P393" s="211"/>
      <c r="Q393" s="84"/>
      <c r="R393" s="211"/>
      <c r="S393" s="211"/>
      <c r="T393" s="211"/>
      <c r="U393" s="211"/>
      <c r="V393" s="84"/>
      <c r="W393" s="211"/>
      <c r="X393" s="211"/>
      <c r="Y393" s="211"/>
      <c r="Z393" s="211"/>
      <c r="AA393" s="84"/>
      <c r="AB393" s="146"/>
      <c r="AC393" s="211"/>
      <c r="AD393" s="211"/>
      <c r="AE393" s="211"/>
      <c r="AF393" s="84"/>
      <c r="AG393" s="146"/>
      <c r="AH393" s="211"/>
      <c r="AI393" s="211"/>
      <c r="AJ393" s="211"/>
      <c r="AK393" s="84"/>
      <c r="AL393" s="146"/>
      <c r="AM393" s="211"/>
      <c r="AN393" s="211"/>
      <c r="AO393" s="211"/>
      <c r="AP393" s="436"/>
      <c r="AQ393" s="146"/>
      <c r="AR393" s="211"/>
      <c r="AS393" s="211"/>
      <c r="AT393" s="211"/>
      <c r="AU393" s="84"/>
      <c r="AV393" s="211"/>
      <c r="AW393" s="211"/>
      <c r="AX393" s="211"/>
      <c r="AY393" s="211"/>
      <c r="AZ393" s="84"/>
      <c r="BA393" s="211"/>
      <c r="BB393" s="211"/>
      <c r="BC393" s="211"/>
      <c r="BD393" s="211"/>
      <c r="BE393" s="84"/>
      <c r="BF393" s="211"/>
      <c r="BG393" s="451"/>
    </row>
    <row r="394" spans="1:59" ht="12.75">
      <c r="A394" s="211"/>
      <c r="B394" s="449"/>
      <c r="C394" s="450"/>
      <c r="D394" s="211"/>
      <c r="E394" s="211"/>
      <c r="F394" s="211"/>
      <c r="G394" s="84"/>
      <c r="H394" s="211"/>
      <c r="I394" s="211"/>
      <c r="J394" s="211"/>
      <c r="K394" s="211"/>
      <c r="L394" s="84"/>
      <c r="M394" s="211"/>
      <c r="N394" s="211"/>
      <c r="O394" s="211"/>
      <c r="P394" s="211"/>
      <c r="Q394" s="84"/>
      <c r="R394" s="211"/>
      <c r="S394" s="211"/>
      <c r="T394" s="211"/>
      <c r="U394" s="211"/>
      <c r="V394" s="84"/>
      <c r="W394" s="211"/>
      <c r="X394" s="211"/>
      <c r="Y394" s="211"/>
      <c r="Z394" s="211"/>
      <c r="AA394" s="84"/>
      <c r="AB394" s="146"/>
      <c r="AC394" s="211"/>
      <c r="AD394" s="211"/>
      <c r="AE394" s="211"/>
      <c r="AF394" s="84"/>
      <c r="AG394" s="146"/>
      <c r="AH394" s="211"/>
      <c r="AI394" s="211"/>
      <c r="AJ394" s="211"/>
      <c r="AK394" s="84"/>
      <c r="AL394" s="146"/>
      <c r="AM394" s="211"/>
      <c r="AN394" s="211"/>
      <c r="AO394" s="211"/>
      <c r="AP394" s="436"/>
      <c r="AQ394" s="146"/>
      <c r="AR394" s="211"/>
      <c r="AS394" s="211"/>
      <c r="AT394" s="211"/>
      <c r="AU394" s="84"/>
      <c r="AV394" s="211"/>
      <c r="AW394" s="211"/>
      <c r="AX394" s="211"/>
      <c r="AY394" s="211"/>
      <c r="AZ394" s="84"/>
      <c r="BA394" s="211"/>
      <c r="BB394" s="211"/>
      <c r="BC394" s="211"/>
      <c r="BD394" s="211"/>
      <c r="BE394" s="84"/>
      <c r="BF394" s="211"/>
      <c r="BG394" s="451"/>
    </row>
    <row r="395" spans="1:59" ht="12.75">
      <c r="A395" s="211"/>
      <c r="B395" s="449"/>
      <c r="C395" s="450"/>
      <c r="D395" s="211"/>
      <c r="E395" s="211"/>
      <c r="F395" s="211"/>
      <c r="G395" s="84"/>
      <c r="H395" s="211"/>
      <c r="I395" s="211"/>
      <c r="J395" s="211"/>
      <c r="K395" s="211"/>
      <c r="L395" s="84"/>
      <c r="M395" s="211"/>
      <c r="N395" s="211"/>
      <c r="O395" s="211"/>
      <c r="P395" s="211"/>
      <c r="Q395" s="84"/>
      <c r="R395" s="211"/>
      <c r="S395" s="211"/>
      <c r="T395" s="211"/>
      <c r="U395" s="211"/>
      <c r="V395" s="84"/>
      <c r="W395" s="211"/>
      <c r="X395" s="211"/>
      <c r="Y395" s="211"/>
      <c r="Z395" s="211"/>
      <c r="AA395" s="84"/>
      <c r="AB395" s="146"/>
      <c r="AC395" s="211"/>
      <c r="AD395" s="211"/>
      <c r="AE395" s="211"/>
      <c r="AF395" s="84"/>
      <c r="AG395" s="146"/>
      <c r="AH395" s="211"/>
      <c r="AI395" s="211"/>
      <c r="AJ395" s="211"/>
      <c r="AK395" s="84"/>
      <c r="AL395" s="146"/>
      <c r="AM395" s="211"/>
      <c r="AN395" s="211"/>
      <c r="AO395" s="211"/>
      <c r="AP395" s="436"/>
      <c r="AQ395" s="146"/>
      <c r="AR395" s="211"/>
      <c r="AS395" s="211"/>
      <c r="AT395" s="211"/>
      <c r="AU395" s="84"/>
      <c r="AV395" s="211"/>
      <c r="AW395" s="211"/>
      <c r="AX395" s="211"/>
      <c r="AY395" s="211"/>
      <c r="AZ395" s="84"/>
      <c r="BA395" s="211"/>
      <c r="BB395" s="211"/>
      <c r="BC395" s="211"/>
      <c r="BD395" s="211"/>
      <c r="BE395" s="84"/>
      <c r="BF395" s="211"/>
      <c r="BG395" s="451"/>
    </row>
    <row r="396" spans="1:59" ht="12.75">
      <c r="A396" s="211"/>
      <c r="B396" s="449"/>
      <c r="C396" s="450"/>
      <c r="D396" s="211"/>
      <c r="E396" s="211"/>
      <c r="F396" s="211"/>
      <c r="G396" s="84"/>
      <c r="H396" s="211"/>
      <c r="I396" s="211"/>
      <c r="J396" s="211"/>
      <c r="K396" s="211"/>
      <c r="L396" s="84"/>
      <c r="M396" s="211"/>
      <c r="N396" s="211"/>
      <c r="O396" s="211"/>
      <c r="P396" s="211"/>
      <c r="Q396" s="84"/>
      <c r="R396" s="211"/>
      <c r="S396" s="211"/>
      <c r="T396" s="211"/>
      <c r="U396" s="211"/>
      <c r="V396" s="84"/>
      <c r="W396" s="211"/>
      <c r="X396" s="211"/>
      <c r="Y396" s="211"/>
      <c r="Z396" s="211"/>
      <c r="AA396" s="84"/>
      <c r="AB396" s="146"/>
      <c r="AC396" s="211"/>
      <c r="AD396" s="211"/>
      <c r="AE396" s="211"/>
      <c r="AF396" s="84"/>
      <c r="AG396" s="146"/>
      <c r="AH396" s="211"/>
      <c r="AI396" s="211"/>
      <c r="AJ396" s="211"/>
      <c r="AK396" s="84"/>
      <c r="AL396" s="146"/>
      <c r="AM396" s="211"/>
      <c r="AN396" s="211"/>
      <c r="AO396" s="211"/>
      <c r="AP396" s="436"/>
      <c r="AQ396" s="146"/>
      <c r="AR396" s="211"/>
      <c r="AS396" s="211"/>
      <c r="AT396" s="211"/>
      <c r="AU396" s="84"/>
      <c r="AV396" s="211"/>
      <c r="AW396" s="211"/>
      <c r="AX396" s="211"/>
      <c r="AY396" s="211"/>
      <c r="AZ396" s="84"/>
      <c r="BA396" s="211"/>
      <c r="BB396" s="211"/>
      <c r="BC396" s="211"/>
      <c r="BD396" s="211"/>
      <c r="BE396" s="84"/>
      <c r="BF396" s="211"/>
      <c r="BG396" s="451"/>
    </row>
    <row r="397" spans="1:59" ht="12.75">
      <c r="A397" s="211"/>
      <c r="B397" s="449"/>
      <c r="C397" s="450"/>
      <c r="D397" s="211"/>
      <c r="E397" s="211"/>
      <c r="F397" s="211"/>
      <c r="G397" s="84"/>
      <c r="H397" s="211"/>
      <c r="I397" s="211"/>
      <c r="J397" s="211"/>
      <c r="K397" s="211"/>
      <c r="L397" s="84"/>
      <c r="M397" s="211"/>
      <c r="N397" s="211"/>
      <c r="O397" s="211"/>
      <c r="P397" s="211"/>
      <c r="Q397" s="84"/>
      <c r="R397" s="211"/>
      <c r="S397" s="211"/>
      <c r="T397" s="211"/>
      <c r="U397" s="211"/>
      <c r="V397" s="84"/>
      <c r="W397" s="211"/>
      <c r="X397" s="211"/>
      <c r="Y397" s="211"/>
      <c r="Z397" s="211"/>
      <c r="AA397" s="84"/>
      <c r="AB397" s="146"/>
      <c r="AC397" s="211"/>
      <c r="AD397" s="211"/>
      <c r="AE397" s="211"/>
      <c r="AF397" s="84"/>
      <c r="AG397" s="146"/>
      <c r="AH397" s="211"/>
      <c r="AI397" s="211"/>
      <c r="AJ397" s="211"/>
      <c r="AK397" s="84"/>
      <c r="AL397" s="146"/>
      <c r="AM397" s="211"/>
      <c r="AN397" s="211"/>
      <c r="AO397" s="211"/>
      <c r="AP397" s="436"/>
      <c r="AQ397" s="146"/>
      <c r="AR397" s="211"/>
      <c r="AS397" s="211"/>
      <c r="AT397" s="211"/>
      <c r="AU397" s="84"/>
      <c r="AV397" s="211"/>
      <c r="AW397" s="211"/>
      <c r="AX397" s="211"/>
      <c r="AY397" s="211"/>
      <c r="AZ397" s="84"/>
      <c r="BA397" s="211"/>
      <c r="BB397" s="211"/>
      <c r="BC397" s="211"/>
      <c r="BD397" s="211"/>
      <c r="BE397" s="84"/>
      <c r="BF397" s="211"/>
      <c r="BG397" s="451"/>
    </row>
    <row r="398" spans="1:59" ht="12.75">
      <c r="A398" s="211"/>
      <c r="B398" s="449"/>
      <c r="C398" s="450"/>
      <c r="D398" s="211"/>
      <c r="E398" s="211"/>
      <c r="F398" s="211"/>
      <c r="G398" s="84"/>
      <c r="H398" s="211"/>
      <c r="I398" s="211"/>
      <c r="J398" s="211"/>
      <c r="K398" s="211"/>
      <c r="L398" s="84"/>
      <c r="M398" s="211"/>
      <c r="N398" s="211"/>
      <c r="O398" s="211"/>
      <c r="P398" s="211"/>
      <c r="Q398" s="84"/>
      <c r="R398" s="211"/>
      <c r="S398" s="211"/>
      <c r="T398" s="211"/>
      <c r="U398" s="211"/>
      <c r="V398" s="84"/>
      <c r="W398" s="211"/>
      <c r="X398" s="211"/>
      <c r="Y398" s="211"/>
      <c r="Z398" s="211"/>
      <c r="AA398" s="84"/>
      <c r="AB398" s="146"/>
      <c r="AC398" s="211"/>
      <c r="AD398" s="211"/>
      <c r="AE398" s="211"/>
      <c r="AF398" s="84"/>
      <c r="AG398" s="146"/>
      <c r="AH398" s="211"/>
      <c r="AI398" s="211"/>
      <c r="AJ398" s="211"/>
      <c r="AK398" s="84"/>
      <c r="AL398" s="146"/>
      <c r="AM398" s="211"/>
      <c r="AN398" s="211"/>
      <c r="AO398" s="211"/>
      <c r="AP398" s="436"/>
      <c r="AQ398" s="146"/>
      <c r="AR398" s="211"/>
      <c r="AS398" s="211"/>
      <c r="AT398" s="211"/>
      <c r="AU398" s="84"/>
      <c r="AV398" s="211"/>
      <c r="AW398" s="211"/>
      <c r="AX398" s="211"/>
      <c r="AY398" s="211"/>
      <c r="AZ398" s="84"/>
      <c r="BA398" s="211"/>
      <c r="BB398" s="211"/>
      <c r="BC398" s="211"/>
      <c r="BD398" s="211"/>
      <c r="BE398" s="84"/>
      <c r="BF398" s="211"/>
      <c r="BG398" s="451"/>
    </row>
    <row r="399" spans="1:59" ht="12.75">
      <c r="A399" s="211"/>
      <c r="B399" s="449"/>
      <c r="C399" s="450"/>
      <c r="D399" s="211"/>
      <c r="E399" s="211"/>
      <c r="F399" s="211"/>
      <c r="G399" s="84"/>
      <c r="H399" s="211"/>
      <c r="I399" s="211"/>
      <c r="J399" s="211"/>
      <c r="K399" s="211"/>
      <c r="L399" s="84"/>
      <c r="M399" s="211"/>
      <c r="N399" s="211"/>
      <c r="O399" s="211"/>
      <c r="P399" s="211"/>
      <c r="Q399" s="84"/>
      <c r="R399" s="211"/>
      <c r="S399" s="211"/>
      <c r="T399" s="211"/>
      <c r="U399" s="211"/>
      <c r="V399" s="84"/>
      <c r="W399" s="211"/>
      <c r="X399" s="211"/>
      <c r="Y399" s="211"/>
      <c r="Z399" s="211"/>
      <c r="AA399" s="84"/>
      <c r="AB399" s="146"/>
      <c r="AC399" s="211"/>
      <c r="AD399" s="211"/>
      <c r="AE399" s="211"/>
      <c r="AF399" s="84"/>
      <c r="AG399" s="146"/>
      <c r="AH399" s="211"/>
      <c r="AI399" s="211"/>
      <c r="AJ399" s="211"/>
      <c r="AK399" s="84"/>
      <c r="AL399" s="146"/>
      <c r="AM399" s="211"/>
      <c r="AN399" s="211"/>
      <c r="AO399" s="211"/>
      <c r="AP399" s="436"/>
      <c r="AQ399" s="146"/>
      <c r="AR399" s="211"/>
      <c r="AS399" s="211"/>
      <c r="AT399" s="211"/>
      <c r="AU399" s="84"/>
      <c r="AV399" s="211"/>
      <c r="AW399" s="211"/>
      <c r="AX399" s="211"/>
      <c r="AY399" s="211"/>
      <c r="AZ399" s="84"/>
      <c r="BA399" s="211"/>
      <c r="BB399" s="211"/>
      <c r="BC399" s="211"/>
      <c r="BD399" s="211"/>
      <c r="BE399" s="84"/>
      <c r="BF399" s="211"/>
      <c r="BG399" s="451"/>
    </row>
    <row r="400" spans="1:59" ht="12.75">
      <c r="A400" s="211"/>
      <c r="B400" s="449"/>
      <c r="C400" s="450"/>
      <c r="D400" s="211"/>
      <c r="E400" s="211"/>
      <c r="F400" s="211"/>
      <c r="G400" s="84"/>
      <c r="H400" s="211"/>
      <c r="I400" s="211"/>
      <c r="J400" s="211"/>
      <c r="K400" s="211"/>
      <c r="L400" s="84"/>
      <c r="M400" s="211"/>
      <c r="N400" s="211"/>
      <c r="O400" s="211"/>
      <c r="P400" s="211"/>
      <c r="Q400" s="84"/>
      <c r="R400" s="211"/>
      <c r="S400" s="211"/>
      <c r="T400" s="211"/>
      <c r="U400" s="211"/>
      <c r="V400" s="84"/>
      <c r="W400" s="211"/>
      <c r="X400" s="211"/>
      <c r="Y400" s="211"/>
      <c r="Z400" s="211"/>
      <c r="AA400" s="84"/>
      <c r="AB400" s="146"/>
      <c r="AC400" s="211"/>
      <c r="AD400" s="211"/>
      <c r="AE400" s="211"/>
      <c r="AF400" s="84"/>
      <c r="AG400" s="146"/>
      <c r="AH400" s="211"/>
      <c r="AI400" s="211"/>
      <c r="AJ400" s="211"/>
      <c r="AK400" s="84"/>
      <c r="AL400" s="146"/>
      <c r="AM400" s="211"/>
      <c r="AN400" s="211"/>
      <c r="AO400" s="211"/>
      <c r="AP400" s="436"/>
      <c r="AQ400" s="146"/>
      <c r="AR400" s="211"/>
      <c r="AS400" s="211"/>
      <c r="AT400" s="211"/>
      <c r="AU400" s="84"/>
      <c r="AV400" s="211"/>
      <c r="AW400" s="211"/>
      <c r="AX400" s="211"/>
      <c r="AY400" s="211"/>
      <c r="AZ400" s="84"/>
      <c r="BA400" s="211"/>
      <c r="BB400" s="211"/>
      <c r="BC400" s="211"/>
      <c r="BD400" s="211"/>
      <c r="BE400" s="84"/>
      <c r="BF400" s="211"/>
      <c r="BG400" s="451"/>
    </row>
    <row r="401" spans="1:59" ht="12.75">
      <c r="A401" s="211"/>
      <c r="B401" s="449"/>
      <c r="C401" s="450"/>
      <c r="D401" s="211"/>
      <c r="E401" s="211"/>
      <c r="F401" s="211"/>
      <c r="G401" s="84"/>
      <c r="H401" s="211"/>
      <c r="I401" s="211"/>
      <c r="J401" s="211"/>
      <c r="K401" s="211"/>
      <c r="L401" s="84"/>
      <c r="M401" s="211"/>
      <c r="N401" s="211"/>
      <c r="O401" s="211"/>
      <c r="P401" s="211"/>
      <c r="Q401" s="84"/>
      <c r="R401" s="211"/>
      <c r="S401" s="211"/>
      <c r="T401" s="211"/>
      <c r="U401" s="211"/>
      <c r="V401" s="84"/>
      <c r="W401" s="211"/>
      <c r="X401" s="211"/>
      <c r="Y401" s="211"/>
      <c r="Z401" s="211"/>
      <c r="AA401" s="84"/>
      <c r="AB401" s="146"/>
      <c r="AC401" s="211"/>
      <c r="AD401" s="211"/>
      <c r="AE401" s="211"/>
      <c r="AF401" s="84"/>
      <c r="AG401" s="146"/>
      <c r="AH401" s="211"/>
      <c r="AI401" s="211"/>
      <c r="AJ401" s="211"/>
      <c r="AK401" s="84"/>
      <c r="AL401" s="146"/>
      <c r="AM401" s="211"/>
      <c r="AN401" s="211"/>
      <c r="AO401" s="211"/>
      <c r="AP401" s="436"/>
      <c r="AQ401" s="146"/>
      <c r="AR401" s="211"/>
      <c r="AS401" s="211"/>
      <c r="AT401" s="211"/>
      <c r="AU401" s="84"/>
      <c r="AV401" s="211"/>
      <c r="AW401" s="211"/>
      <c r="AX401" s="211"/>
      <c r="AY401" s="211"/>
      <c r="AZ401" s="84"/>
      <c r="BA401" s="211"/>
      <c r="BB401" s="211"/>
      <c r="BC401" s="211"/>
      <c r="BD401" s="211"/>
      <c r="BE401" s="84"/>
      <c r="BF401" s="211"/>
      <c r="BG401" s="451"/>
    </row>
    <row r="402" spans="1:59" ht="12.75">
      <c r="A402" s="211"/>
      <c r="B402" s="449"/>
      <c r="C402" s="450"/>
      <c r="D402" s="211"/>
      <c r="E402" s="211"/>
      <c r="F402" s="211"/>
      <c r="G402" s="84"/>
      <c r="H402" s="211"/>
      <c r="I402" s="211"/>
      <c r="J402" s="211"/>
      <c r="K402" s="211"/>
      <c r="L402" s="84"/>
      <c r="M402" s="211"/>
      <c r="N402" s="211"/>
      <c r="O402" s="211"/>
      <c r="P402" s="211"/>
      <c r="Q402" s="84"/>
      <c r="R402" s="211"/>
      <c r="S402" s="211"/>
      <c r="T402" s="211"/>
      <c r="U402" s="211"/>
      <c r="V402" s="84"/>
      <c r="W402" s="211"/>
      <c r="X402" s="211"/>
      <c r="Y402" s="211"/>
      <c r="Z402" s="211"/>
      <c r="AA402" s="84"/>
      <c r="AB402" s="146"/>
      <c r="AC402" s="211"/>
      <c r="AD402" s="211"/>
      <c r="AE402" s="211"/>
      <c r="AF402" s="84"/>
      <c r="AG402" s="146"/>
      <c r="AH402" s="211"/>
      <c r="AI402" s="211"/>
      <c r="AJ402" s="211"/>
      <c r="AK402" s="84"/>
      <c r="AL402" s="146"/>
      <c r="AM402" s="211"/>
      <c r="AN402" s="211"/>
      <c r="AO402" s="211"/>
      <c r="AP402" s="436"/>
      <c r="AQ402" s="146"/>
      <c r="AR402" s="211"/>
      <c r="AS402" s="211"/>
      <c r="AT402" s="211"/>
      <c r="AU402" s="84"/>
      <c r="AV402" s="211"/>
      <c r="AW402" s="211"/>
      <c r="AX402" s="211"/>
      <c r="AY402" s="211"/>
      <c r="AZ402" s="84"/>
      <c r="BA402" s="211"/>
      <c r="BB402" s="211"/>
      <c r="BC402" s="211"/>
      <c r="BD402" s="211"/>
      <c r="BE402" s="84"/>
      <c r="BF402" s="211"/>
      <c r="BG402" s="451"/>
    </row>
    <row r="403" spans="1:59" ht="12.75">
      <c r="A403" s="211"/>
      <c r="B403" s="449"/>
      <c r="C403" s="450"/>
      <c r="D403" s="211"/>
      <c r="E403" s="211"/>
      <c r="F403" s="211"/>
      <c r="G403" s="84"/>
      <c r="H403" s="211"/>
      <c r="I403" s="211"/>
      <c r="J403" s="211"/>
      <c r="K403" s="211"/>
      <c r="L403" s="84"/>
      <c r="M403" s="211"/>
      <c r="N403" s="211"/>
      <c r="O403" s="211"/>
      <c r="P403" s="211"/>
      <c r="Q403" s="84"/>
      <c r="R403" s="211"/>
      <c r="S403" s="211"/>
      <c r="T403" s="211"/>
      <c r="U403" s="211"/>
      <c r="V403" s="84"/>
      <c r="W403" s="211"/>
      <c r="X403" s="211"/>
      <c r="Y403" s="211"/>
      <c r="Z403" s="211"/>
      <c r="AA403" s="84"/>
      <c r="AB403" s="146"/>
      <c r="AC403" s="211"/>
      <c r="AD403" s="211"/>
      <c r="AE403" s="211"/>
      <c r="AF403" s="84"/>
      <c r="AG403" s="146"/>
      <c r="AH403" s="211"/>
      <c r="AI403" s="211"/>
      <c r="AJ403" s="211"/>
      <c r="AK403" s="84"/>
      <c r="AL403" s="146"/>
      <c r="AM403" s="211"/>
      <c r="AN403" s="211"/>
      <c r="AO403" s="211"/>
      <c r="AP403" s="436"/>
      <c r="AQ403" s="146"/>
      <c r="AR403" s="211"/>
      <c r="AS403" s="211"/>
      <c r="AT403" s="211"/>
      <c r="AU403" s="84"/>
      <c r="AV403" s="211"/>
      <c r="AW403" s="211"/>
      <c r="AX403" s="211"/>
      <c r="AY403" s="211"/>
      <c r="AZ403" s="84"/>
      <c r="BA403" s="211"/>
      <c r="BB403" s="211"/>
      <c r="BC403" s="211"/>
      <c r="BD403" s="211"/>
      <c r="BE403" s="84"/>
      <c r="BF403" s="211"/>
      <c r="BG403" s="451"/>
    </row>
    <row r="404" spans="1:59" ht="12.75">
      <c r="A404" s="211"/>
      <c r="B404" s="449"/>
      <c r="C404" s="450"/>
      <c r="D404" s="211"/>
      <c r="E404" s="211"/>
      <c r="F404" s="211"/>
      <c r="G404" s="84"/>
      <c r="H404" s="211"/>
      <c r="I404" s="211"/>
      <c r="J404" s="211"/>
      <c r="K404" s="211"/>
      <c r="L404" s="84"/>
      <c r="M404" s="211"/>
      <c r="N404" s="211"/>
      <c r="O404" s="211"/>
      <c r="P404" s="211"/>
      <c r="Q404" s="84"/>
      <c r="R404" s="211"/>
      <c r="S404" s="211"/>
      <c r="T404" s="211"/>
      <c r="U404" s="211"/>
      <c r="V404" s="84"/>
      <c r="W404" s="211"/>
      <c r="X404" s="211"/>
      <c r="Y404" s="211"/>
      <c r="Z404" s="211"/>
      <c r="AA404" s="84"/>
      <c r="AB404" s="146"/>
      <c r="AC404" s="211"/>
      <c r="AD404" s="211"/>
      <c r="AE404" s="211"/>
      <c r="AF404" s="84"/>
      <c r="AG404" s="146"/>
      <c r="AH404" s="211"/>
      <c r="AI404" s="211"/>
      <c r="AJ404" s="211"/>
      <c r="AK404" s="84"/>
      <c r="AL404" s="146"/>
      <c r="AM404" s="211"/>
      <c r="AN404" s="211"/>
      <c r="AO404" s="211"/>
      <c r="AP404" s="436"/>
      <c r="AQ404" s="146"/>
      <c r="AR404" s="211"/>
      <c r="AS404" s="211"/>
      <c r="AT404" s="211"/>
      <c r="AU404" s="84"/>
      <c r="AV404" s="211"/>
      <c r="AW404" s="211"/>
      <c r="AX404" s="211"/>
      <c r="AY404" s="211"/>
      <c r="AZ404" s="84"/>
      <c r="BA404" s="211"/>
      <c r="BB404" s="211"/>
      <c r="BC404" s="211"/>
      <c r="BD404" s="211"/>
      <c r="BE404" s="84"/>
      <c r="BF404" s="211"/>
      <c r="BG404" s="451"/>
    </row>
    <row r="405" spans="1:59" ht="12.75">
      <c r="A405" s="211"/>
      <c r="B405" s="449"/>
      <c r="C405" s="450"/>
      <c r="D405" s="211"/>
      <c r="E405" s="211"/>
      <c r="F405" s="211"/>
      <c r="G405" s="84"/>
      <c r="H405" s="211"/>
      <c r="I405" s="211"/>
      <c r="J405" s="211"/>
      <c r="K405" s="211"/>
      <c r="L405" s="84"/>
      <c r="M405" s="211"/>
      <c r="N405" s="211"/>
      <c r="O405" s="211"/>
      <c r="P405" s="211"/>
      <c r="Q405" s="84"/>
      <c r="R405" s="211"/>
      <c r="S405" s="211"/>
      <c r="T405" s="211"/>
      <c r="U405" s="211"/>
      <c r="V405" s="84"/>
      <c r="W405" s="211"/>
      <c r="X405" s="211"/>
      <c r="Y405" s="211"/>
      <c r="Z405" s="211"/>
      <c r="AA405" s="84"/>
      <c r="AB405" s="146"/>
      <c r="AC405" s="211"/>
      <c r="AD405" s="211"/>
      <c r="AE405" s="211"/>
      <c r="AF405" s="84"/>
      <c r="AG405" s="146"/>
      <c r="AH405" s="211"/>
      <c r="AI405" s="211"/>
      <c r="AJ405" s="211"/>
      <c r="AK405" s="84"/>
      <c r="AL405" s="146"/>
      <c r="AM405" s="211"/>
      <c r="AN405" s="211"/>
      <c r="AO405" s="211"/>
      <c r="AP405" s="436"/>
      <c r="AQ405" s="146"/>
      <c r="AR405" s="211"/>
      <c r="AS405" s="211"/>
      <c r="AT405" s="211"/>
      <c r="AU405" s="84"/>
      <c r="AV405" s="211"/>
      <c r="AW405" s="211"/>
      <c r="AX405" s="211"/>
      <c r="AY405" s="211"/>
      <c r="AZ405" s="84"/>
      <c r="BA405" s="211"/>
      <c r="BB405" s="211"/>
      <c r="BC405" s="211"/>
      <c r="BD405" s="211"/>
      <c r="BE405" s="84"/>
      <c r="BF405" s="211"/>
      <c r="BG405" s="451"/>
    </row>
    <row r="406" spans="1:59" ht="12.75">
      <c r="A406" s="211"/>
      <c r="B406" s="449"/>
      <c r="C406" s="450"/>
      <c r="D406" s="211"/>
      <c r="E406" s="211"/>
      <c r="F406" s="211"/>
      <c r="G406" s="84"/>
      <c r="H406" s="211"/>
      <c r="I406" s="211"/>
      <c r="J406" s="211"/>
      <c r="K406" s="211"/>
      <c r="L406" s="84"/>
      <c r="M406" s="211"/>
      <c r="N406" s="211"/>
      <c r="O406" s="211"/>
      <c r="P406" s="211"/>
      <c r="Q406" s="84"/>
      <c r="R406" s="211"/>
      <c r="S406" s="211"/>
      <c r="T406" s="211"/>
      <c r="U406" s="211"/>
      <c r="V406" s="84"/>
      <c r="W406" s="211"/>
      <c r="X406" s="211"/>
      <c r="Y406" s="211"/>
      <c r="Z406" s="211"/>
      <c r="AA406" s="84"/>
      <c r="AB406" s="146"/>
      <c r="AC406" s="211"/>
      <c r="AD406" s="211"/>
      <c r="AE406" s="211"/>
      <c r="AF406" s="84"/>
      <c r="AG406" s="146"/>
      <c r="AH406" s="211"/>
      <c r="AI406" s="211"/>
      <c r="AJ406" s="211"/>
      <c r="AK406" s="84"/>
      <c r="AL406" s="146"/>
      <c r="AM406" s="211"/>
      <c r="AN406" s="211"/>
      <c r="AO406" s="211"/>
      <c r="AP406" s="436"/>
      <c r="AQ406" s="146"/>
      <c r="AR406" s="211"/>
      <c r="AS406" s="211"/>
      <c r="AT406" s="211"/>
      <c r="AU406" s="84"/>
      <c r="AV406" s="211"/>
      <c r="AW406" s="211"/>
      <c r="AX406" s="211"/>
      <c r="AY406" s="211"/>
      <c r="AZ406" s="84"/>
      <c r="BA406" s="211"/>
      <c r="BB406" s="211"/>
      <c r="BC406" s="211"/>
      <c r="BD406" s="211"/>
      <c r="BE406" s="84"/>
      <c r="BF406" s="211"/>
      <c r="BG406" s="451"/>
    </row>
    <row r="407" spans="1:59" ht="12.75">
      <c r="A407" s="211"/>
      <c r="B407" s="449"/>
      <c r="C407" s="450"/>
      <c r="D407" s="211"/>
      <c r="E407" s="211"/>
      <c r="F407" s="211"/>
      <c r="G407" s="84"/>
      <c r="H407" s="211"/>
      <c r="I407" s="211"/>
      <c r="J407" s="211"/>
      <c r="K407" s="211"/>
      <c r="L407" s="84"/>
      <c r="M407" s="211"/>
      <c r="N407" s="211"/>
      <c r="O407" s="211"/>
      <c r="P407" s="211"/>
      <c r="Q407" s="84"/>
      <c r="R407" s="211"/>
      <c r="S407" s="211"/>
      <c r="T407" s="211"/>
      <c r="U407" s="211"/>
      <c r="V407" s="84"/>
      <c r="W407" s="211"/>
      <c r="X407" s="211"/>
      <c r="Y407" s="211"/>
      <c r="Z407" s="211"/>
      <c r="AA407" s="84"/>
      <c r="AB407" s="146"/>
      <c r="AC407" s="211"/>
      <c r="AD407" s="211"/>
      <c r="AE407" s="211"/>
      <c r="AF407" s="84"/>
      <c r="AG407" s="146"/>
      <c r="AH407" s="211"/>
      <c r="AI407" s="211"/>
      <c r="AJ407" s="211"/>
      <c r="AK407" s="84"/>
      <c r="AL407" s="146"/>
      <c r="AM407" s="211"/>
      <c r="AN407" s="211"/>
      <c r="AO407" s="211"/>
      <c r="AP407" s="436"/>
      <c r="AQ407" s="146"/>
      <c r="AR407" s="211"/>
      <c r="AS407" s="211"/>
      <c r="AT407" s="211"/>
      <c r="AU407" s="84"/>
      <c r="AV407" s="211"/>
      <c r="AW407" s="211"/>
      <c r="AX407" s="211"/>
      <c r="AY407" s="211"/>
      <c r="AZ407" s="84"/>
      <c r="BA407" s="211"/>
      <c r="BB407" s="211"/>
      <c r="BC407" s="211"/>
      <c r="BD407" s="211"/>
      <c r="BE407" s="84"/>
      <c r="BF407" s="211"/>
      <c r="BG407" s="451"/>
    </row>
    <row r="408" spans="1:59" ht="12.75">
      <c r="A408" s="211"/>
      <c r="B408" s="449"/>
      <c r="C408" s="450"/>
      <c r="D408" s="211"/>
      <c r="E408" s="211"/>
      <c r="F408" s="211"/>
      <c r="G408" s="84"/>
      <c r="H408" s="211"/>
      <c r="I408" s="211"/>
      <c r="J408" s="211"/>
      <c r="K408" s="211"/>
      <c r="L408" s="84"/>
      <c r="M408" s="211"/>
      <c r="N408" s="211"/>
      <c r="O408" s="211"/>
      <c r="P408" s="211"/>
      <c r="Q408" s="84"/>
      <c r="R408" s="211"/>
      <c r="S408" s="211"/>
      <c r="T408" s="211"/>
      <c r="U408" s="211"/>
      <c r="V408" s="84"/>
      <c r="W408" s="211"/>
      <c r="X408" s="211"/>
      <c r="Y408" s="211"/>
      <c r="Z408" s="211"/>
      <c r="AA408" s="84"/>
      <c r="AB408" s="146"/>
      <c r="AC408" s="211"/>
      <c r="AD408" s="211"/>
      <c r="AE408" s="211"/>
      <c r="AF408" s="84"/>
      <c r="AG408" s="146"/>
      <c r="AH408" s="211"/>
      <c r="AI408" s="211"/>
      <c r="AJ408" s="211"/>
      <c r="AK408" s="84"/>
      <c r="AL408" s="146"/>
      <c r="AM408" s="211"/>
      <c r="AN408" s="211"/>
      <c r="AO408" s="211"/>
      <c r="AP408" s="436"/>
      <c r="AQ408" s="146"/>
      <c r="AR408" s="211"/>
      <c r="AS408" s="211"/>
      <c r="AT408" s="211"/>
      <c r="AU408" s="84"/>
      <c r="AV408" s="211"/>
      <c r="AW408" s="211"/>
      <c r="AX408" s="211"/>
      <c r="AY408" s="211"/>
      <c r="AZ408" s="84"/>
      <c r="BA408" s="211"/>
      <c r="BB408" s="211"/>
      <c r="BC408" s="211"/>
      <c r="BD408" s="211"/>
      <c r="BE408" s="84"/>
      <c r="BF408" s="211"/>
      <c r="BG408" s="451"/>
    </row>
    <row r="409" spans="1:59" ht="12.75">
      <c r="A409" s="211"/>
      <c r="B409" s="449"/>
      <c r="C409" s="450"/>
      <c r="D409" s="211"/>
      <c r="E409" s="211"/>
      <c r="F409" s="211"/>
      <c r="G409" s="84"/>
      <c r="H409" s="211"/>
      <c r="I409" s="211"/>
      <c r="J409" s="211"/>
      <c r="K409" s="211"/>
      <c r="L409" s="84"/>
      <c r="M409" s="211"/>
      <c r="N409" s="211"/>
      <c r="O409" s="211"/>
      <c r="P409" s="211"/>
      <c r="Q409" s="84"/>
      <c r="R409" s="211"/>
      <c r="S409" s="211"/>
      <c r="T409" s="211"/>
      <c r="U409" s="211"/>
      <c r="V409" s="84"/>
      <c r="W409" s="211"/>
      <c r="X409" s="211"/>
      <c r="Y409" s="211"/>
      <c r="Z409" s="211"/>
      <c r="AA409" s="84"/>
      <c r="AB409" s="146"/>
      <c r="AC409" s="211"/>
      <c r="AD409" s="211"/>
      <c r="AE409" s="211"/>
      <c r="AF409" s="84"/>
      <c r="AG409" s="146"/>
      <c r="AH409" s="211"/>
      <c r="AI409" s="211"/>
      <c r="AJ409" s="211"/>
      <c r="AK409" s="84"/>
      <c r="AL409" s="146"/>
      <c r="AM409" s="211"/>
      <c r="AN409" s="211"/>
      <c r="AO409" s="211"/>
      <c r="AP409" s="436"/>
      <c r="AQ409" s="146"/>
      <c r="AR409" s="211"/>
      <c r="AS409" s="211"/>
      <c r="AT409" s="211"/>
      <c r="AU409" s="84"/>
      <c r="AV409" s="211"/>
      <c r="AW409" s="211"/>
      <c r="AX409" s="211"/>
      <c r="AY409" s="211"/>
      <c r="AZ409" s="84"/>
      <c r="BA409" s="211"/>
      <c r="BB409" s="211"/>
      <c r="BC409" s="211"/>
      <c r="BD409" s="211"/>
      <c r="BE409" s="84"/>
      <c r="BF409" s="211"/>
      <c r="BG409" s="451"/>
    </row>
    <row r="410" spans="1:59" ht="12.75">
      <c r="A410" s="211"/>
      <c r="B410" s="449"/>
      <c r="C410" s="450"/>
      <c r="D410" s="211"/>
      <c r="E410" s="211"/>
      <c r="F410" s="211"/>
      <c r="G410" s="84"/>
      <c r="H410" s="211"/>
      <c r="I410" s="211"/>
      <c r="J410" s="211"/>
      <c r="K410" s="211"/>
      <c r="L410" s="84"/>
      <c r="M410" s="211"/>
      <c r="N410" s="211"/>
      <c r="O410" s="211"/>
      <c r="P410" s="211"/>
      <c r="Q410" s="84"/>
      <c r="R410" s="211"/>
      <c r="S410" s="211"/>
      <c r="T410" s="211"/>
      <c r="U410" s="211"/>
      <c r="V410" s="84"/>
      <c r="W410" s="211"/>
      <c r="X410" s="211"/>
      <c r="Y410" s="211"/>
      <c r="Z410" s="211"/>
      <c r="AA410" s="84"/>
      <c r="AB410" s="146"/>
      <c r="AC410" s="211"/>
      <c r="AD410" s="211"/>
      <c r="AE410" s="211"/>
      <c r="AF410" s="84"/>
      <c r="AG410" s="146"/>
      <c r="AH410" s="211"/>
      <c r="AI410" s="211"/>
      <c r="AJ410" s="211"/>
      <c r="AK410" s="84"/>
      <c r="AL410" s="146"/>
      <c r="AM410" s="211"/>
      <c r="AN410" s="211"/>
      <c r="AO410" s="211"/>
      <c r="AP410" s="436"/>
      <c r="AQ410" s="146"/>
      <c r="AR410" s="211"/>
      <c r="AS410" s="211"/>
      <c r="AT410" s="211"/>
      <c r="AU410" s="84"/>
      <c r="AV410" s="211"/>
      <c r="AW410" s="211"/>
      <c r="AX410" s="211"/>
      <c r="AY410" s="211"/>
      <c r="AZ410" s="84"/>
      <c r="BA410" s="211"/>
      <c r="BB410" s="211"/>
      <c r="BC410" s="211"/>
      <c r="BD410" s="211"/>
      <c r="BE410" s="84"/>
      <c r="BF410" s="211"/>
      <c r="BG410" s="451"/>
    </row>
    <row r="411" spans="1:59" ht="12.75">
      <c r="A411" s="211"/>
      <c r="B411" s="449"/>
      <c r="C411" s="450"/>
      <c r="D411" s="211"/>
      <c r="E411" s="211"/>
      <c r="F411" s="211"/>
      <c r="G411" s="84"/>
      <c r="H411" s="211"/>
      <c r="I411" s="211"/>
      <c r="J411" s="211"/>
      <c r="K411" s="211"/>
      <c r="L411" s="84"/>
      <c r="M411" s="211"/>
      <c r="N411" s="211"/>
      <c r="O411" s="211"/>
      <c r="P411" s="211"/>
      <c r="Q411" s="84"/>
      <c r="R411" s="211"/>
      <c r="S411" s="211"/>
      <c r="T411" s="211"/>
      <c r="U411" s="211"/>
      <c r="V411" s="84"/>
      <c r="W411" s="211"/>
      <c r="X411" s="211"/>
      <c r="Y411" s="211"/>
      <c r="Z411" s="211"/>
      <c r="AA411" s="84"/>
      <c r="AB411" s="146"/>
      <c r="AC411" s="211"/>
      <c r="AD411" s="211"/>
      <c r="AE411" s="211"/>
      <c r="AF411" s="84"/>
      <c r="AG411" s="146"/>
      <c r="AH411" s="211"/>
      <c r="AI411" s="211"/>
      <c r="AJ411" s="211"/>
      <c r="AK411" s="84"/>
      <c r="AL411" s="146"/>
      <c r="AM411" s="211"/>
      <c r="AN411" s="211"/>
      <c r="AO411" s="211"/>
      <c r="AP411" s="436"/>
      <c r="AQ411" s="146"/>
      <c r="AR411" s="211"/>
      <c r="AS411" s="211"/>
      <c r="AT411" s="211"/>
      <c r="AU411" s="84"/>
      <c r="AV411" s="211"/>
      <c r="AW411" s="211"/>
      <c r="AX411" s="211"/>
      <c r="AY411" s="211"/>
      <c r="AZ411" s="84"/>
      <c r="BA411" s="211"/>
      <c r="BB411" s="211"/>
      <c r="BC411" s="211"/>
      <c r="BD411" s="211"/>
      <c r="BE411" s="84"/>
      <c r="BF411" s="211"/>
      <c r="BG411" s="451"/>
    </row>
    <row r="412" spans="1:59" ht="12.75">
      <c r="A412" s="211"/>
      <c r="B412" s="449"/>
      <c r="C412" s="450"/>
      <c r="D412" s="211"/>
      <c r="E412" s="211"/>
      <c r="F412" s="211"/>
      <c r="G412" s="84"/>
      <c r="H412" s="211"/>
      <c r="I412" s="211"/>
      <c r="J412" s="211"/>
      <c r="K412" s="211"/>
      <c r="L412" s="84"/>
      <c r="M412" s="211"/>
      <c r="N412" s="211"/>
      <c r="O412" s="211"/>
      <c r="P412" s="211"/>
      <c r="Q412" s="84"/>
      <c r="R412" s="211"/>
      <c r="S412" s="211"/>
      <c r="T412" s="211"/>
      <c r="U412" s="211"/>
      <c r="V412" s="84"/>
      <c r="W412" s="211"/>
      <c r="X412" s="211"/>
      <c r="Y412" s="211"/>
      <c r="Z412" s="211"/>
      <c r="AA412" s="84"/>
      <c r="AB412" s="146"/>
      <c r="AC412" s="211"/>
      <c r="AD412" s="211"/>
      <c r="AE412" s="211"/>
      <c r="AF412" s="84"/>
      <c r="AG412" s="146"/>
      <c r="AH412" s="211"/>
      <c r="AI412" s="211"/>
      <c r="AJ412" s="211"/>
      <c r="AK412" s="84"/>
      <c r="AL412" s="146"/>
      <c r="AM412" s="211"/>
      <c r="AN412" s="211"/>
      <c r="AO412" s="211"/>
      <c r="AP412" s="436"/>
      <c r="AQ412" s="146"/>
      <c r="AR412" s="211"/>
      <c r="AS412" s="211"/>
      <c r="AT412" s="211"/>
      <c r="AU412" s="84"/>
      <c r="AV412" s="211"/>
      <c r="AW412" s="211"/>
      <c r="AX412" s="211"/>
      <c r="AY412" s="211"/>
      <c r="AZ412" s="84"/>
      <c r="BA412" s="211"/>
      <c r="BB412" s="211"/>
      <c r="BC412" s="211"/>
      <c r="BD412" s="211"/>
      <c r="BE412" s="84"/>
      <c r="BF412" s="211"/>
      <c r="BG412" s="451"/>
    </row>
    <row r="413" spans="1:59" ht="12.75">
      <c r="A413" s="211"/>
      <c r="B413" s="449"/>
      <c r="C413" s="450"/>
      <c r="D413" s="211"/>
      <c r="E413" s="211"/>
      <c r="F413" s="211"/>
      <c r="G413" s="84"/>
      <c r="H413" s="211"/>
      <c r="I413" s="211"/>
      <c r="J413" s="211"/>
      <c r="K413" s="211"/>
      <c r="L413" s="84"/>
      <c r="M413" s="211"/>
      <c r="N413" s="211"/>
      <c r="O413" s="211"/>
      <c r="P413" s="211"/>
      <c r="Q413" s="84"/>
      <c r="R413" s="211"/>
      <c r="S413" s="211"/>
      <c r="T413" s="211"/>
      <c r="U413" s="211"/>
      <c r="V413" s="84"/>
      <c r="W413" s="211"/>
      <c r="X413" s="211"/>
      <c r="Y413" s="211"/>
      <c r="Z413" s="211"/>
      <c r="AA413" s="84"/>
      <c r="AB413" s="146"/>
      <c r="AC413" s="211"/>
      <c r="AD413" s="211"/>
      <c r="AE413" s="211"/>
      <c r="AF413" s="84"/>
      <c r="AG413" s="146"/>
      <c r="AH413" s="211"/>
      <c r="AI413" s="211"/>
      <c r="AJ413" s="211"/>
      <c r="AK413" s="84"/>
      <c r="AL413" s="146"/>
      <c r="AM413" s="211"/>
      <c r="AN413" s="211"/>
      <c r="AO413" s="211"/>
      <c r="AP413" s="436"/>
      <c r="AQ413" s="146"/>
      <c r="AR413" s="211"/>
      <c r="AS413" s="211"/>
      <c r="AT413" s="211"/>
      <c r="AU413" s="84"/>
      <c r="AV413" s="211"/>
      <c r="AW413" s="211"/>
      <c r="AX413" s="211"/>
      <c r="AY413" s="211"/>
      <c r="AZ413" s="84"/>
      <c r="BA413" s="211"/>
      <c r="BB413" s="211"/>
      <c r="BC413" s="211"/>
      <c r="BD413" s="211"/>
      <c r="BE413" s="84"/>
      <c r="BF413" s="211"/>
      <c r="BG413" s="451"/>
    </row>
    <row r="414" spans="1:59" ht="12.75">
      <c r="A414" s="211"/>
      <c r="B414" s="449"/>
      <c r="C414" s="450"/>
      <c r="D414" s="211"/>
      <c r="E414" s="211"/>
      <c r="F414" s="211"/>
      <c r="G414" s="84"/>
      <c r="H414" s="211"/>
      <c r="I414" s="211"/>
      <c r="J414" s="211"/>
      <c r="K414" s="211"/>
      <c r="L414" s="84"/>
      <c r="M414" s="211"/>
      <c r="N414" s="211"/>
      <c r="O414" s="211"/>
      <c r="P414" s="211"/>
      <c r="Q414" s="84"/>
      <c r="R414" s="211"/>
      <c r="S414" s="211"/>
      <c r="T414" s="211"/>
      <c r="U414" s="211"/>
      <c r="V414" s="84"/>
      <c r="W414" s="211"/>
      <c r="X414" s="211"/>
      <c r="Y414" s="211"/>
      <c r="Z414" s="211"/>
      <c r="AA414" s="84"/>
      <c r="AB414" s="146"/>
      <c r="AC414" s="211"/>
      <c r="AD414" s="211"/>
      <c r="AE414" s="211"/>
      <c r="AF414" s="84"/>
      <c r="AG414" s="146"/>
      <c r="AH414" s="211"/>
      <c r="AI414" s="211"/>
      <c r="AJ414" s="211"/>
      <c r="AK414" s="84"/>
      <c r="AL414" s="146"/>
      <c r="AM414" s="211"/>
      <c r="AN414" s="211"/>
      <c r="AO414" s="211"/>
      <c r="AP414" s="436"/>
      <c r="AQ414" s="146"/>
      <c r="AR414" s="211"/>
      <c r="AS414" s="211"/>
      <c r="AT414" s="211"/>
      <c r="AU414" s="84"/>
      <c r="AV414" s="211"/>
      <c r="AW414" s="211"/>
      <c r="AX414" s="211"/>
      <c r="AY414" s="211"/>
      <c r="AZ414" s="84"/>
      <c r="BA414" s="211"/>
      <c r="BB414" s="211"/>
      <c r="BC414" s="211"/>
      <c r="BD414" s="211"/>
      <c r="BE414" s="84"/>
      <c r="BF414" s="211"/>
      <c r="BG414" s="451"/>
    </row>
    <row r="415" spans="1:59" ht="12.75">
      <c r="A415" s="211"/>
      <c r="B415" s="449"/>
      <c r="C415" s="450"/>
      <c r="D415" s="211"/>
      <c r="E415" s="211"/>
      <c r="F415" s="211"/>
      <c r="G415" s="84"/>
      <c r="H415" s="211"/>
      <c r="I415" s="211"/>
      <c r="J415" s="211"/>
      <c r="K415" s="211"/>
      <c r="L415" s="84"/>
      <c r="M415" s="211"/>
      <c r="N415" s="211"/>
      <c r="O415" s="211"/>
      <c r="P415" s="211"/>
      <c r="Q415" s="84"/>
      <c r="R415" s="211"/>
      <c r="S415" s="211"/>
      <c r="T415" s="211"/>
      <c r="U415" s="211"/>
      <c r="V415" s="84"/>
      <c r="W415" s="211"/>
      <c r="X415" s="211"/>
      <c r="Y415" s="211"/>
      <c r="Z415" s="211"/>
      <c r="AA415" s="84"/>
      <c r="AB415" s="146"/>
      <c r="AC415" s="211"/>
      <c r="AD415" s="211"/>
      <c r="AE415" s="211"/>
      <c r="AF415" s="84"/>
      <c r="AG415" s="146"/>
      <c r="AH415" s="211"/>
      <c r="AI415" s="211"/>
      <c r="AJ415" s="211"/>
      <c r="AK415" s="84"/>
      <c r="AL415" s="146"/>
      <c r="AM415" s="211"/>
      <c r="AN415" s="211"/>
      <c r="AO415" s="211"/>
      <c r="AP415" s="436"/>
      <c r="AQ415" s="146"/>
      <c r="AR415" s="211"/>
      <c r="AS415" s="211"/>
      <c r="AT415" s="211"/>
      <c r="AU415" s="84"/>
      <c r="AV415" s="211"/>
      <c r="AW415" s="211"/>
      <c r="AX415" s="211"/>
      <c r="AY415" s="211"/>
      <c r="AZ415" s="84"/>
      <c r="BA415" s="211"/>
      <c r="BB415" s="211"/>
      <c r="BC415" s="211"/>
      <c r="BD415" s="211"/>
      <c r="BE415" s="84"/>
      <c r="BF415" s="211"/>
      <c r="BG415" s="451"/>
    </row>
    <row r="416" spans="1:59" ht="12.75">
      <c r="A416" s="211"/>
      <c r="B416" s="449"/>
      <c r="C416" s="450"/>
      <c r="D416" s="211"/>
      <c r="E416" s="211"/>
      <c r="F416" s="211"/>
      <c r="G416" s="84"/>
      <c r="H416" s="211"/>
      <c r="I416" s="211"/>
      <c r="J416" s="211"/>
      <c r="K416" s="211"/>
      <c r="L416" s="84"/>
      <c r="M416" s="211"/>
      <c r="N416" s="211"/>
      <c r="O416" s="211"/>
      <c r="P416" s="211"/>
      <c r="Q416" s="84"/>
      <c r="R416" s="211"/>
      <c r="S416" s="211"/>
      <c r="T416" s="211"/>
      <c r="U416" s="211"/>
      <c r="V416" s="84"/>
      <c r="W416" s="211"/>
      <c r="X416" s="211"/>
      <c r="Y416" s="211"/>
      <c r="Z416" s="211"/>
      <c r="AA416" s="84"/>
      <c r="AB416" s="146"/>
      <c r="AC416" s="211"/>
      <c r="AD416" s="211"/>
      <c r="AE416" s="211"/>
      <c r="AF416" s="84"/>
      <c r="AG416" s="146"/>
      <c r="AH416" s="211"/>
      <c r="AI416" s="211"/>
      <c r="AJ416" s="211"/>
      <c r="AK416" s="84"/>
      <c r="AL416" s="146"/>
      <c r="AM416" s="211"/>
      <c r="AN416" s="211"/>
      <c r="AO416" s="211"/>
      <c r="AP416" s="436"/>
      <c r="AQ416" s="146"/>
      <c r="AR416" s="211"/>
      <c r="AS416" s="211"/>
      <c r="AT416" s="211"/>
      <c r="AU416" s="84"/>
      <c r="AV416" s="211"/>
      <c r="AW416" s="211"/>
      <c r="AX416" s="211"/>
      <c r="AY416" s="211"/>
      <c r="AZ416" s="84"/>
      <c r="BA416" s="211"/>
      <c r="BB416" s="211"/>
      <c r="BC416" s="211"/>
      <c r="BD416" s="211"/>
      <c r="BE416" s="84"/>
      <c r="BF416" s="211"/>
      <c r="BG416" s="451"/>
    </row>
    <row r="417" spans="1:59" ht="12.75">
      <c r="A417" s="211"/>
      <c r="B417" s="449"/>
      <c r="C417" s="450"/>
      <c r="D417" s="211"/>
      <c r="E417" s="211"/>
      <c r="F417" s="211"/>
      <c r="G417" s="84"/>
      <c r="H417" s="211"/>
      <c r="I417" s="211"/>
      <c r="J417" s="211"/>
      <c r="K417" s="211"/>
      <c r="L417" s="84"/>
      <c r="M417" s="211"/>
      <c r="N417" s="211"/>
      <c r="O417" s="211"/>
      <c r="P417" s="211"/>
      <c r="Q417" s="84"/>
      <c r="R417" s="211"/>
      <c r="S417" s="211"/>
      <c r="T417" s="211"/>
      <c r="U417" s="211"/>
      <c r="V417" s="84"/>
      <c r="W417" s="211"/>
      <c r="X417" s="211"/>
      <c r="Y417" s="211"/>
      <c r="Z417" s="211"/>
      <c r="AA417" s="84"/>
      <c r="AB417" s="146"/>
      <c r="AC417" s="211"/>
      <c r="AD417" s="211"/>
      <c r="AE417" s="211"/>
      <c r="AF417" s="84"/>
      <c r="AG417" s="146"/>
      <c r="AH417" s="211"/>
      <c r="AI417" s="211"/>
      <c r="AJ417" s="211"/>
      <c r="AK417" s="84"/>
      <c r="AL417" s="146"/>
      <c r="AM417" s="211"/>
      <c r="AN417" s="211"/>
      <c r="AO417" s="211"/>
      <c r="AP417" s="436"/>
      <c r="AQ417" s="146"/>
      <c r="AR417" s="211"/>
      <c r="AS417" s="211"/>
      <c r="AT417" s="211"/>
      <c r="AU417" s="84"/>
      <c r="AV417" s="211"/>
      <c r="AW417" s="211"/>
      <c r="AX417" s="211"/>
      <c r="AY417" s="211"/>
      <c r="AZ417" s="84"/>
      <c r="BA417" s="211"/>
      <c r="BB417" s="211"/>
      <c r="BC417" s="211"/>
      <c r="BD417" s="211"/>
      <c r="BE417" s="84"/>
      <c r="BF417" s="211"/>
      <c r="BG417" s="451"/>
    </row>
    <row r="418" spans="1:59" ht="12.75">
      <c r="A418" s="211"/>
      <c r="B418" s="449"/>
      <c r="C418" s="450"/>
      <c r="D418" s="211"/>
      <c r="E418" s="211"/>
      <c r="F418" s="211"/>
      <c r="G418" s="84"/>
      <c r="H418" s="211"/>
      <c r="I418" s="211"/>
      <c r="J418" s="211"/>
      <c r="K418" s="211"/>
      <c r="L418" s="84"/>
      <c r="M418" s="211"/>
      <c r="N418" s="211"/>
      <c r="O418" s="211"/>
      <c r="P418" s="211"/>
      <c r="Q418" s="84"/>
      <c r="R418" s="211"/>
      <c r="S418" s="211"/>
      <c r="T418" s="211"/>
      <c r="U418" s="211"/>
      <c r="V418" s="84"/>
      <c r="W418" s="211"/>
      <c r="X418" s="211"/>
      <c r="Y418" s="211"/>
      <c r="Z418" s="211"/>
      <c r="AA418" s="84"/>
      <c r="AB418" s="146"/>
      <c r="AC418" s="211"/>
      <c r="AD418" s="211"/>
      <c r="AE418" s="211"/>
      <c r="AF418" s="84"/>
      <c r="AG418" s="146"/>
      <c r="AH418" s="211"/>
      <c r="AI418" s="211"/>
      <c r="AJ418" s="211"/>
      <c r="AK418" s="84"/>
      <c r="AL418" s="146"/>
      <c r="AM418" s="211"/>
      <c r="AN418" s="211"/>
      <c r="AO418" s="211"/>
      <c r="AP418" s="436"/>
      <c r="AQ418" s="146"/>
      <c r="AR418" s="211"/>
      <c r="AS418" s="211"/>
      <c r="AT418" s="211"/>
      <c r="AU418" s="84"/>
      <c r="AV418" s="211"/>
      <c r="AW418" s="211"/>
      <c r="AX418" s="211"/>
      <c r="AY418" s="211"/>
      <c r="AZ418" s="84"/>
      <c r="BA418" s="211"/>
      <c r="BB418" s="211"/>
      <c r="BC418" s="211"/>
      <c r="BD418" s="211"/>
      <c r="BE418" s="84"/>
      <c r="BF418" s="211"/>
      <c r="BG418" s="451"/>
    </row>
    <row r="419" spans="1:59" ht="12.75">
      <c r="A419" s="211"/>
      <c r="B419" s="449"/>
      <c r="C419" s="450"/>
      <c r="D419" s="211"/>
      <c r="E419" s="211"/>
      <c r="F419" s="211"/>
      <c r="G419" s="84"/>
      <c r="H419" s="211"/>
      <c r="I419" s="211"/>
      <c r="J419" s="211"/>
      <c r="K419" s="211"/>
      <c r="L419" s="84"/>
      <c r="M419" s="211"/>
      <c r="N419" s="211"/>
      <c r="O419" s="211"/>
      <c r="P419" s="211"/>
      <c r="Q419" s="84"/>
      <c r="R419" s="211"/>
      <c r="S419" s="211"/>
      <c r="T419" s="211"/>
      <c r="U419" s="211"/>
      <c r="V419" s="84"/>
      <c r="W419" s="211"/>
      <c r="X419" s="211"/>
      <c r="Y419" s="211"/>
      <c r="Z419" s="211"/>
      <c r="AA419" s="84"/>
      <c r="AB419" s="146"/>
      <c r="AC419" s="211"/>
      <c r="AD419" s="211"/>
      <c r="AE419" s="211"/>
      <c r="AF419" s="84"/>
      <c r="AG419" s="146"/>
      <c r="AH419" s="211"/>
      <c r="AI419" s="211"/>
      <c r="AJ419" s="211"/>
      <c r="AK419" s="84"/>
      <c r="AL419" s="146"/>
      <c r="AM419" s="211"/>
      <c r="AN419" s="211"/>
      <c r="AO419" s="211"/>
      <c r="AP419" s="436"/>
      <c r="AQ419" s="146"/>
      <c r="AR419" s="211"/>
      <c r="AS419" s="211"/>
      <c r="AT419" s="211"/>
      <c r="AU419" s="84"/>
      <c r="AV419" s="211"/>
      <c r="AW419" s="211"/>
      <c r="AX419" s="211"/>
      <c r="AY419" s="211"/>
      <c r="AZ419" s="84"/>
      <c r="BA419" s="211"/>
      <c r="BB419" s="211"/>
      <c r="BC419" s="211"/>
      <c r="BD419" s="211"/>
      <c r="BE419" s="84"/>
      <c r="BF419" s="211"/>
      <c r="BG419" s="451"/>
    </row>
    <row r="420" spans="1:59" ht="12.75">
      <c r="A420" s="211"/>
      <c r="B420" s="449"/>
      <c r="C420" s="450"/>
      <c r="D420" s="211"/>
      <c r="E420" s="211"/>
      <c r="F420" s="211"/>
      <c r="G420" s="84"/>
      <c r="H420" s="211"/>
      <c r="I420" s="211"/>
      <c r="J420" s="211"/>
      <c r="K420" s="211"/>
      <c r="L420" s="84"/>
      <c r="M420" s="211"/>
      <c r="N420" s="211"/>
      <c r="O420" s="211"/>
      <c r="P420" s="211"/>
      <c r="Q420" s="84"/>
      <c r="R420" s="211"/>
      <c r="S420" s="211"/>
      <c r="T420" s="211"/>
      <c r="U420" s="211"/>
      <c r="V420" s="84"/>
      <c r="W420" s="211"/>
      <c r="X420" s="211"/>
      <c r="Y420" s="211"/>
      <c r="Z420" s="211"/>
      <c r="AA420" s="84"/>
      <c r="AB420" s="146"/>
      <c r="AC420" s="211"/>
      <c r="AD420" s="211"/>
      <c r="AE420" s="211"/>
      <c r="AF420" s="84"/>
      <c r="AG420" s="146"/>
      <c r="AH420" s="211"/>
      <c r="AI420" s="211"/>
      <c r="AJ420" s="211"/>
      <c r="AK420" s="84"/>
      <c r="AL420" s="146"/>
      <c r="AM420" s="211"/>
      <c r="AN420" s="211"/>
      <c r="AO420" s="211"/>
      <c r="AP420" s="436"/>
      <c r="AQ420" s="146"/>
      <c r="AR420" s="211"/>
      <c r="AS420" s="211"/>
      <c r="AT420" s="211"/>
      <c r="AU420" s="84"/>
      <c r="AV420" s="211"/>
      <c r="AW420" s="211"/>
      <c r="AX420" s="211"/>
      <c r="AY420" s="211"/>
      <c r="AZ420" s="84"/>
      <c r="BA420" s="211"/>
      <c r="BB420" s="211"/>
      <c r="BC420" s="211"/>
      <c r="BD420" s="211"/>
      <c r="BE420" s="84"/>
      <c r="BF420" s="211"/>
      <c r="BG420" s="451"/>
    </row>
    <row r="421" spans="1:59" ht="12.75">
      <c r="A421" s="211"/>
      <c r="B421" s="449"/>
      <c r="C421" s="450"/>
      <c r="D421" s="211"/>
      <c r="E421" s="211"/>
      <c r="F421" s="211"/>
      <c r="G421" s="84"/>
      <c r="H421" s="211"/>
      <c r="I421" s="211"/>
      <c r="J421" s="211"/>
      <c r="K421" s="211"/>
      <c r="L421" s="84"/>
      <c r="M421" s="211"/>
      <c r="N421" s="211"/>
      <c r="O421" s="211"/>
      <c r="P421" s="211"/>
      <c r="Q421" s="84"/>
      <c r="R421" s="211"/>
      <c r="S421" s="211"/>
      <c r="T421" s="211"/>
      <c r="U421" s="211"/>
      <c r="V421" s="84"/>
      <c r="W421" s="211"/>
      <c r="X421" s="211"/>
      <c r="Y421" s="211"/>
      <c r="Z421" s="211"/>
      <c r="AA421" s="84"/>
      <c r="AB421" s="146"/>
      <c r="AC421" s="211"/>
      <c r="AD421" s="211"/>
      <c r="AE421" s="211"/>
      <c r="AF421" s="84"/>
      <c r="AG421" s="146"/>
      <c r="AH421" s="211"/>
      <c r="AI421" s="211"/>
      <c r="AJ421" s="211"/>
      <c r="AK421" s="84"/>
      <c r="AL421" s="146"/>
      <c r="AM421" s="211"/>
      <c r="AN421" s="211"/>
      <c r="AO421" s="211"/>
      <c r="AP421" s="436"/>
      <c r="AQ421" s="146"/>
      <c r="AR421" s="211"/>
      <c r="AS421" s="211"/>
      <c r="AT421" s="211"/>
      <c r="AU421" s="84"/>
      <c r="AV421" s="211"/>
      <c r="AW421" s="211"/>
      <c r="AX421" s="211"/>
      <c r="AY421" s="211"/>
      <c r="AZ421" s="84"/>
      <c r="BA421" s="211"/>
      <c r="BB421" s="211"/>
      <c r="BC421" s="211"/>
      <c r="BD421" s="211"/>
      <c r="BE421" s="84"/>
      <c r="BF421" s="211"/>
      <c r="BG421" s="451"/>
    </row>
    <row r="422" spans="1:59" ht="12.75">
      <c r="A422" s="211"/>
      <c r="B422" s="449"/>
      <c r="C422" s="450"/>
      <c r="D422" s="211"/>
      <c r="E422" s="211"/>
      <c r="F422" s="211"/>
      <c r="G422" s="84"/>
      <c r="H422" s="211"/>
      <c r="I422" s="211"/>
      <c r="J422" s="211"/>
      <c r="K422" s="211"/>
      <c r="L422" s="84"/>
      <c r="M422" s="211"/>
      <c r="N422" s="211"/>
      <c r="O422" s="211"/>
      <c r="P422" s="211"/>
      <c r="Q422" s="84"/>
      <c r="R422" s="211"/>
      <c r="S422" s="211"/>
      <c r="T422" s="211"/>
      <c r="U422" s="211"/>
      <c r="V422" s="84"/>
      <c r="W422" s="211"/>
      <c r="X422" s="211"/>
      <c r="Y422" s="211"/>
      <c r="Z422" s="211"/>
      <c r="AA422" s="84"/>
      <c r="AB422" s="146"/>
      <c r="AC422" s="211"/>
      <c r="AD422" s="211"/>
      <c r="AE422" s="211"/>
      <c r="AF422" s="84"/>
      <c r="AG422" s="146"/>
      <c r="AH422" s="211"/>
      <c r="AI422" s="211"/>
      <c r="AJ422" s="211"/>
      <c r="AK422" s="84"/>
      <c r="AL422" s="146"/>
      <c r="AM422" s="211"/>
      <c r="AN422" s="211"/>
      <c r="AO422" s="211"/>
      <c r="AP422" s="436"/>
      <c r="AQ422" s="146"/>
      <c r="AR422" s="211"/>
      <c r="AS422" s="211"/>
      <c r="AT422" s="211"/>
      <c r="AU422" s="84"/>
      <c r="AV422" s="211"/>
      <c r="AW422" s="211"/>
      <c r="AX422" s="211"/>
      <c r="AY422" s="211"/>
      <c r="AZ422" s="84"/>
      <c r="BA422" s="211"/>
      <c r="BB422" s="211"/>
      <c r="BC422" s="211"/>
      <c r="BD422" s="211"/>
      <c r="BE422" s="84"/>
      <c r="BF422" s="211"/>
      <c r="BG422" s="451"/>
    </row>
    <row r="423" spans="1:59" ht="12.75">
      <c r="A423" s="211"/>
      <c r="B423" s="449"/>
      <c r="C423" s="450"/>
      <c r="D423" s="211"/>
      <c r="E423" s="211"/>
      <c r="F423" s="211"/>
      <c r="G423" s="84"/>
      <c r="H423" s="211"/>
      <c r="I423" s="211"/>
      <c r="J423" s="211"/>
      <c r="K423" s="211"/>
      <c r="L423" s="84"/>
      <c r="M423" s="211"/>
      <c r="N423" s="211"/>
      <c r="O423" s="211"/>
      <c r="P423" s="211"/>
      <c r="Q423" s="84"/>
      <c r="R423" s="211"/>
      <c r="S423" s="211"/>
      <c r="T423" s="211"/>
      <c r="U423" s="211"/>
      <c r="V423" s="84"/>
      <c r="W423" s="211"/>
      <c r="X423" s="211"/>
      <c r="Y423" s="211"/>
      <c r="Z423" s="211"/>
      <c r="AA423" s="84"/>
      <c r="AB423" s="146"/>
      <c r="AC423" s="211"/>
      <c r="AD423" s="211"/>
      <c r="AE423" s="211"/>
      <c r="AF423" s="84"/>
      <c r="AG423" s="146"/>
      <c r="AH423" s="211"/>
      <c r="AI423" s="211"/>
      <c r="AJ423" s="211"/>
      <c r="AK423" s="84"/>
      <c r="AL423" s="146"/>
      <c r="AM423" s="211"/>
      <c r="AN423" s="211"/>
      <c r="AO423" s="211"/>
      <c r="AP423" s="436"/>
      <c r="AQ423" s="146"/>
      <c r="AR423" s="211"/>
      <c r="AS423" s="211"/>
      <c r="AT423" s="211"/>
      <c r="AU423" s="84"/>
      <c r="AV423" s="211"/>
      <c r="AW423" s="211"/>
      <c r="AX423" s="211"/>
      <c r="AY423" s="211"/>
      <c r="AZ423" s="84"/>
      <c r="BA423" s="211"/>
      <c r="BB423" s="211"/>
      <c r="BC423" s="211"/>
      <c r="BD423" s="211"/>
      <c r="BE423" s="84"/>
      <c r="BF423" s="211"/>
      <c r="BG423" s="451"/>
    </row>
    <row r="424" spans="1:59" ht="12.75">
      <c r="A424" s="211"/>
      <c r="B424" s="449"/>
      <c r="C424" s="450"/>
      <c r="D424" s="211"/>
      <c r="E424" s="211"/>
      <c r="F424" s="211"/>
      <c r="G424" s="84"/>
      <c r="H424" s="211"/>
      <c r="I424" s="211"/>
      <c r="J424" s="211"/>
      <c r="K424" s="211"/>
      <c r="L424" s="84"/>
      <c r="M424" s="211"/>
      <c r="N424" s="211"/>
      <c r="O424" s="211"/>
      <c r="P424" s="211"/>
      <c r="Q424" s="84"/>
      <c r="R424" s="211"/>
      <c r="S424" s="211"/>
      <c r="T424" s="211"/>
      <c r="U424" s="211"/>
      <c r="V424" s="84"/>
      <c r="W424" s="211"/>
      <c r="X424" s="211"/>
      <c r="Y424" s="211"/>
      <c r="Z424" s="211"/>
      <c r="AA424" s="84"/>
      <c r="AB424" s="146"/>
      <c r="AC424" s="211"/>
      <c r="AD424" s="211"/>
      <c r="AE424" s="211"/>
      <c r="AF424" s="84"/>
      <c r="AG424" s="146"/>
      <c r="AH424" s="211"/>
      <c r="AI424" s="211"/>
      <c r="AJ424" s="211"/>
      <c r="AK424" s="84"/>
      <c r="AL424" s="146"/>
      <c r="AM424" s="211"/>
      <c r="AN424" s="211"/>
      <c r="AO424" s="211"/>
      <c r="AP424" s="436"/>
      <c r="AQ424" s="146"/>
      <c r="AR424" s="211"/>
      <c r="AS424" s="211"/>
      <c r="AT424" s="211"/>
      <c r="AU424" s="84"/>
      <c r="AV424" s="211"/>
      <c r="AW424" s="211"/>
      <c r="AX424" s="211"/>
      <c r="AY424" s="211"/>
      <c r="AZ424" s="84"/>
      <c r="BA424" s="211"/>
      <c r="BB424" s="211"/>
      <c r="BC424" s="211"/>
      <c r="BD424" s="211"/>
      <c r="BE424" s="84"/>
      <c r="BF424" s="211"/>
      <c r="BG424" s="451"/>
    </row>
    <row r="425" spans="1:59" ht="12.75">
      <c r="A425" s="211"/>
      <c r="B425" s="449"/>
      <c r="C425" s="450"/>
      <c r="D425" s="211"/>
      <c r="E425" s="211"/>
      <c r="F425" s="211"/>
      <c r="G425" s="84"/>
      <c r="H425" s="211"/>
      <c r="I425" s="211"/>
      <c r="J425" s="211"/>
      <c r="K425" s="211"/>
      <c r="L425" s="84"/>
      <c r="M425" s="211"/>
      <c r="N425" s="211"/>
      <c r="O425" s="211"/>
      <c r="P425" s="211"/>
      <c r="Q425" s="84"/>
      <c r="R425" s="211"/>
      <c r="S425" s="211"/>
      <c r="T425" s="211"/>
      <c r="U425" s="211"/>
      <c r="V425" s="84"/>
      <c r="W425" s="211"/>
      <c r="X425" s="211"/>
      <c r="Y425" s="211"/>
      <c r="Z425" s="211"/>
      <c r="AA425" s="84"/>
      <c r="AB425" s="146"/>
      <c r="AC425" s="211"/>
      <c r="AD425" s="211"/>
      <c r="AE425" s="211"/>
      <c r="AF425" s="84"/>
      <c r="AG425" s="146"/>
      <c r="AH425" s="211"/>
      <c r="AI425" s="211"/>
      <c r="AJ425" s="211"/>
      <c r="AK425" s="84"/>
      <c r="AL425" s="146"/>
      <c r="AM425" s="211"/>
      <c r="AN425" s="211"/>
      <c r="AO425" s="211"/>
      <c r="AP425" s="436"/>
      <c r="AQ425" s="146"/>
      <c r="AR425" s="211"/>
      <c r="AS425" s="211"/>
      <c r="AT425" s="211"/>
      <c r="AU425" s="84"/>
      <c r="AV425" s="211"/>
      <c r="AW425" s="211"/>
      <c r="AX425" s="211"/>
      <c r="AY425" s="211"/>
      <c r="AZ425" s="84"/>
      <c r="BA425" s="211"/>
      <c r="BB425" s="211"/>
      <c r="BC425" s="211"/>
      <c r="BD425" s="211"/>
      <c r="BE425" s="84"/>
      <c r="BF425" s="211"/>
      <c r="BG425" s="451"/>
    </row>
    <row r="426" spans="1:59" ht="12.75">
      <c r="A426" s="211"/>
      <c r="B426" s="449"/>
      <c r="C426" s="450"/>
      <c r="D426" s="211"/>
      <c r="E426" s="211"/>
      <c r="F426" s="211"/>
      <c r="G426" s="84"/>
      <c r="H426" s="211"/>
      <c r="I426" s="211"/>
      <c r="J426" s="211"/>
      <c r="K426" s="211"/>
      <c r="L426" s="84"/>
      <c r="M426" s="211"/>
      <c r="N426" s="211"/>
      <c r="O426" s="211"/>
      <c r="P426" s="211"/>
      <c r="Q426" s="84"/>
      <c r="R426" s="211"/>
      <c r="S426" s="211"/>
      <c r="T426" s="211"/>
      <c r="U426" s="211"/>
      <c r="V426" s="84"/>
      <c r="W426" s="211"/>
      <c r="X426" s="211"/>
      <c r="Y426" s="211"/>
      <c r="Z426" s="211"/>
      <c r="AA426" s="84"/>
      <c r="AB426" s="146"/>
      <c r="AC426" s="211"/>
      <c r="AD426" s="211"/>
      <c r="AE426" s="211"/>
      <c r="AF426" s="84"/>
      <c r="AG426" s="146"/>
      <c r="AH426" s="211"/>
      <c r="AI426" s="211"/>
      <c r="AJ426" s="211"/>
      <c r="AK426" s="84"/>
      <c r="AL426" s="146"/>
      <c r="AM426" s="211"/>
      <c r="AN426" s="211"/>
      <c r="AO426" s="211"/>
      <c r="AP426" s="436"/>
      <c r="AQ426" s="146"/>
      <c r="AR426" s="211"/>
      <c r="AS426" s="211"/>
      <c r="AT426" s="211"/>
      <c r="AU426" s="84"/>
      <c r="AV426" s="211"/>
      <c r="AW426" s="211"/>
      <c r="AX426" s="211"/>
      <c r="AY426" s="211"/>
      <c r="AZ426" s="84"/>
      <c r="BA426" s="211"/>
      <c r="BB426" s="211"/>
      <c r="BC426" s="211"/>
      <c r="BD426" s="211"/>
      <c r="BE426" s="84"/>
      <c r="BF426" s="211"/>
      <c r="BG426" s="451"/>
    </row>
    <row r="427" spans="1:59" ht="12.75">
      <c r="A427" s="211"/>
      <c r="B427" s="449"/>
      <c r="C427" s="450"/>
      <c r="D427" s="211"/>
      <c r="E427" s="211"/>
      <c r="F427" s="211"/>
      <c r="G427" s="84"/>
      <c r="H427" s="211"/>
      <c r="I427" s="211"/>
      <c r="J427" s="211"/>
      <c r="K427" s="211"/>
      <c r="L427" s="84"/>
      <c r="M427" s="211"/>
      <c r="N427" s="211"/>
      <c r="O427" s="211"/>
      <c r="P427" s="211"/>
      <c r="Q427" s="84"/>
      <c r="R427" s="211"/>
      <c r="S427" s="211"/>
      <c r="T427" s="211"/>
      <c r="U427" s="211"/>
      <c r="V427" s="84"/>
      <c r="W427" s="211"/>
      <c r="X427" s="211"/>
      <c r="Y427" s="211"/>
      <c r="Z427" s="211"/>
      <c r="AA427" s="84"/>
      <c r="AB427" s="146"/>
      <c r="AC427" s="211"/>
      <c r="AD427" s="211"/>
      <c r="AE427" s="211"/>
      <c r="AF427" s="84"/>
      <c r="AG427" s="146"/>
      <c r="AH427" s="211"/>
      <c r="AI427" s="211"/>
      <c r="AJ427" s="211"/>
      <c r="AK427" s="84"/>
      <c r="AL427" s="146"/>
      <c r="AM427" s="211"/>
      <c r="AN427" s="211"/>
      <c r="AO427" s="211"/>
      <c r="AP427" s="436"/>
      <c r="AQ427" s="146"/>
      <c r="AR427" s="211"/>
      <c r="AS427" s="211"/>
      <c r="AT427" s="211"/>
      <c r="AU427" s="84"/>
      <c r="AV427" s="211"/>
      <c r="AW427" s="211"/>
      <c r="AX427" s="211"/>
      <c r="AY427" s="211"/>
      <c r="AZ427" s="84"/>
      <c r="BA427" s="211"/>
      <c r="BB427" s="211"/>
      <c r="BC427" s="211"/>
      <c r="BD427" s="211"/>
      <c r="BE427" s="84"/>
      <c r="BF427" s="211"/>
      <c r="BG427" s="451"/>
    </row>
    <row r="428" spans="1:59" ht="12.75">
      <c r="A428" s="211"/>
      <c r="B428" s="449"/>
      <c r="C428" s="450"/>
      <c r="D428" s="211"/>
      <c r="E428" s="211"/>
      <c r="F428" s="211"/>
      <c r="G428" s="84"/>
      <c r="H428" s="211"/>
      <c r="I428" s="211"/>
      <c r="J428" s="211"/>
      <c r="K428" s="211"/>
      <c r="L428" s="84"/>
      <c r="M428" s="211"/>
      <c r="N428" s="211"/>
      <c r="O428" s="211"/>
      <c r="P428" s="211"/>
      <c r="Q428" s="84"/>
      <c r="R428" s="211"/>
      <c r="S428" s="211"/>
      <c r="T428" s="211"/>
      <c r="U428" s="211"/>
      <c r="V428" s="84"/>
      <c r="W428" s="211"/>
      <c r="X428" s="211"/>
      <c r="Y428" s="211"/>
      <c r="Z428" s="211"/>
      <c r="AA428" s="84"/>
      <c r="AB428" s="146"/>
      <c r="AC428" s="211"/>
      <c r="AD428" s="211"/>
      <c r="AE428" s="211"/>
      <c r="AF428" s="84"/>
      <c r="AG428" s="146"/>
      <c r="AH428" s="211"/>
      <c r="AI428" s="211"/>
      <c r="AJ428" s="211"/>
      <c r="AK428" s="84"/>
      <c r="AL428" s="146"/>
      <c r="AM428" s="211"/>
      <c r="AN428" s="211"/>
      <c r="AO428" s="211"/>
      <c r="AP428" s="436"/>
      <c r="AQ428" s="146"/>
      <c r="AR428" s="211"/>
      <c r="AS428" s="211"/>
      <c r="AT428" s="211"/>
      <c r="AU428" s="84"/>
      <c r="AV428" s="211"/>
      <c r="AW428" s="211"/>
      <c r="AX428" s="211"/>
      <c r="AY428" s="211"/>
      <c r="AZ428" s="84"/>
      <c r="BA428" s="211"/>
      <c r="BB428" s="211"/>
      <c r="BC428" s="211"/>
      <c r="BD428" s="211"/>
      <c r="BE428" s="84"/>
      <c r="BF428" s="211"/>
      <c r="BG428" s="451"/>
    </row>
    <row r="429" spans="1:59" ht="12.75">
      <c r="A429" s="211"/>
      <c r="B429" s="449"/>
      <c r="C429" s="450"/>
      <c r="D429" s="211"/>
      <c r="E429" s="211"/>
      <c r="F429" s="211"/>
      <c r="G429" s="84"/>
      <c r="H429" s="211"/>
      <c r="I429" s="211"/>
      <c r="J429" s="211"/>
      <c r="K429" s="211"/>
      <c r="L429" s="84"/>
      <c r="M429" s="211"/>
      <c r="N429" s="211"/>
      <c r="O429" s="211"/>
      <c r="P429" s="211"/>
      <c r="Q429" s="84"/>
      <c r="R429" s="211"/>
      <c r="S429" s="211"/>
      <c r="T429" s="211"/>
      <c r="U429" s="211"/>
      <c r="V429" s="84"/>
      <c r="W429" s="211"/>
      <c r="X429" s="211"/>
      <c r="Y429" s="211"/>
      <c r="Z429" s="211"/>
      <c r="AA429" s="84"/>
      <c r="AB429" s="146"/>
      <c r="AC429" s="211"/>
      <c r="AD429" s="211"/>
      <c r="AE429" s="211"/>
      <c r="AF429" s="84"/>
      <c r="AG429" s="146"/>
      <c r="AH429" s="211"/>
      <c r="AI429" s="211"/>
      <c r="AJ429" s="211"/>
      <c r="AK429" s="84"/>
      <c r="AL429" s="146"/>
      <c r="AM429" s="211"/>
      <c r="AN429" s="211"/>
      <c r="AO429" s="211"/>
      <c r="AP429" s="436"/>
      <c r="AQ429" s="146"/>
      <c r="AR429" s="211"/>
      <c r="AS429" s="211"/>
      <c r="AT429" s="211"/>
      <c r="AU429" s="84"/>
      <c r="AV429" s="211"/>
      <c r="AW429" s="211"/>
      <c r="AX429" s="211"/>
      <c r="AY429" s="211"/>
      <c r="AZ429" s="84"/>
      <c r="BA429" s="211"/>
      <c r="BB429" s="211"/>
      <c r="BC429" s="211"/>
      <c r="BD429" s="211"/>
      <c r="BE429" s="84"/>
      <c r="BF429" s="211"/>
      <c r="BG429" s="451"/>
    </row>
    <row r="430" spans="1:59" ht="12.75">
      <c r="A430" s="211"/>
      <c r="B430" s="449"/>
      <c r="C430" s="450"/>
      <c r="D430" s="211"/>
      <c r="E430" s="211"/>
      <c r="F430" s="211"/>
      <c r="G430" s="84"/>
      <c r="H430" s="211"/>
      <c r="I430" s="211"/>
      <c r="J430" s="211"/>
      <c r="K430" s="211"/>
      <c r="L430" s="84"/>
      <c r="M430" s="211"/>
      <c r="N430" s="211"/>
      <c r="O430" s="211"/>
      <c r="P430" s="211"/>
      <c r="Q430" s="84"/>
      <c r="R430" s="211"/>
      <c r="S430" s="211"/>
      <c r="T430" s="211"/>
      <c r="U430" s="211"/>
      <c r="V430" s="84"/>
      <c r="W430" s="211"/>
      <c r="X430" s="211"/>
      <c r="Y430" s="211"/>
      <c r="Z430" s="211"/>
      <c r="AA430" s="84"/>
      <c r="AB430" s="146"/>
      <c r="AC430" s="211"/>
      <c r="AD430" s="211"/>
      <c r="AE430" s="211"/>
      <c r="AF430" s="84"/>
      <c r="AG430" s="146"/>
      <c r="AH430" s="211"/>
      <c r="AI430" s="211"/>
      <c r="AJ430" s="211"/>
      <c r="AK430" s="84"/>
      <c r="AL430" s="146"/>
      <c r="AM430" s="211"/>
      <c r="AN430" s="211"/>
      <c r="AO430" s="211"/>
      <c r="AP430" s="436"/>
      <c r="AQ430" s="146"/>
      <c r="AR430" s="211"/>
      <c r="AS430" s="211"/>
      <c r="AT430" s="211"/>
      <c r="AU430" s="84"/>
      <c r="AV430" s="211"/>
      <c r="AW430" s="211"/>
      <c r="AX430" s="211"/>
      <c r="AY430" s="211"/>
      <c r="AZ430" s="84"/>
      <c r="BA430" s="211"/>
      <c r="BB430" s="211"/>
      <c r="BC430" s="211"/>
      <c r="BD430" s="211"/>
      <c r="BE430" s="84"/>
      <c r="BF430" s="211"/>
      <c r="BG430" s="451"/>
    </row>
    <row r="431" spans="1:59" ht="12.75">
      <c r="A431" s="211"/>
      <c r="B431" s="449"/>
      <c r="C431" s="450"/>
      <c r="D431" s="211"/>
      <c r="E431" s="211"/>
      <c r="F431" s="211"/>
      <c r="G431" s="84"/>
      <c r="H431" s="211"/>
      <c r="I431" s="211"/>
      <c r="J431" s="211"/>
      <c r="K431" s="211"/>
      <c r="L431" s="84"/>
      <c r="M431" s="211"/>
      <c r="N431" s="211"/>
      <c r="O431" s="211"/>
      <c r="P431" s="211"/>
      <c r="Q431" s="84"/>
      <c r="R431" s="211"/>
      <c r="S431" s="211"/>
      <c r="T431" s="211"/>
      <c r="U431" s="211"/>
      <c r="V431" s="84"/>
      <c r="W431" s="211"/>
      <c r="X431" s="211"/>
      <c r="Y431" s="211"/>
      <c r="Z431" s="211"/>
      <c r="AA431" s="84"/>
      <c r="AB431" s="146"/>
      <c r="AC431" s="211"/>
      <c r="AD431" s="211"/>
      <c r="AE431" s="211"/>
      <c r="AF431" s="84"/>
      <c r="AG431" s="146"/>
      <c r="AH431" s="211"/>
      <c r="AI431" s="211"/>
      <c r="AJ431" s="211"/>
      <c r="AK431" s="84"/>
      <c r="AL431" s="146"/>
      <c r="AM431" s="211"/>
      <c r="AN431" s="211"/>
      <c r="AO431" s="211"/>
      <c r="AP431" s="436"/>
      <c r="AQ431" s="146"/>
      <c r="AR431" s="211"/>
      <c r="AS431" s="211"/>
      <c r="AT431" s="211"/>
      <c r="AU431" s="84"/>
      <c r="AV431" s="211"/>
      <c r="AW431" s="211"/>
      <c r="AX431" s="211"/>
      <c r="AY431" s="211"/>
      <c r="AZ431" s="84"/>
      <c r="BA431" s="211"/>
      <c r="BB431" s="211"/>
      <c r="BC431" s="211"/>
      <c r="BD431" s="211"/>
      <c r="BE431" s="84"/>
      <c r="BF431" s="211"/>
      <c r="BG431" s="451"/>
    </row>
    <row r="432" spans="1:59" ht="12.75">
      <c r="A432" s="211"/>
      <c r="B432" s="449"/>
      <c r="C432" s="450"/>
      <c r="D432" s="211"/>
      <c r="E432" s="211"/>
      <c r="F432" s="211"/>
      <c r="G432" s="84"/>
      <c r="H432" s="211"/>
      <c r="I432" s="211"/>
      <c r="J432" s="211"/>
      <c r="K432" s="211"/>
      <c r="L432" s="84"/>
      <c r="M432" s="211"/>
      <c r="N432" s="211"/>
      <c r="O432" s="211"/>
      <c r="P432" s="211"/>
      <c r="Q432" s="84"/>
      <c r="R432" s="211"/>
      <c r="S432" s="211"/>
      <c r="T432" s="211"/>
      <c r="U432" s="211"/>
      <c r="V432" s="84"/>
      <c r="W432" s="211"/>
      <c r="X432" s="211"/>
      <c r="Y432" s="211"/>
      <c r="Z432" s="211"/>
      <c r="AA432" s="84"/>
      <c r="AB432" s="146"/>
      <c r="AC432" s="211"/>
      <c r="AD432" s="211"/>
      <c r="AE432" s="211"/>
      <c r="AF432" s="84"/>
      <c r="AG432" s="146"/>
      <c r="AH432" s="211"/>
      <c r="AI432" s="211"/>
      <c r="AJ432" s="211"/>
      <c r="AK432" s="84"/>
      <c r="AL432" s="146"/>
      <c r="AM432" s="211"/>
      <c r="AN432" s="211"/>
      <c r="AO432" s="211"/>
      <c r="AP432" s="436"/>
      <c r="AQ432" s="146"/>
      <c r="AR432" s="211"/>
      <c r="AS432" s="211"/>
      <c r="AT432" s="211"/>
      <c r="AU432" s="84"/>
      <c r="AV432" s="211"/>
      <c r="AW432" s="211"/>
      <c r="AX432" s="211"/>
      <c r="AY432" s="211"/>
      <c r="AZ432" s="84"/>
      <c r="BA432" s="211"/>
      <c r="BB432" s="211"/>
      <c r="BC432" s="211"/>
      <c r="BD432" s="211"/>
      <c r="BE432" s="84"/>
      <c r="BF432" s="211"/>
      <c r="BG432" s="451"/>
    </row>
    <row r="433" spans="1:59" ht="12.75">
      <c r="A433" s="211"/>
      <c r="B433" s="449"/>
      <c r="C433" s="450"/>
      <c r="D433" s="211"/>
      <c r="E433" s="211"/>
      <c r="F433" s="211"/>
      <c r="G433" s="84"/>
      <c r="H433" s="211"/>
      <c r="I433" s="211"/>
      <c r="J433" s="211"/>
      <c r="K433" s="211"/>
      <c r="L433" s="84"/>
      <c r="M433" s="211"/>
      <c r="N433" s="211"/>
      <c r="O433" s="211"/>
      <c r="P433" s="211"/>
      <c r="Q433" s="84"/>
      <c r="R433" s="211"/>
      <c r="S433" s="211"/>
      <c r="T433" s="211"/>
      <c r="U433" s="211"/>
      <c r="V433" s="84"/>
      <c r="W433" s="211"/>
      <c r="X433" s="211"/>
      <c r="Y433" s="211"/>
      <c r="Z433" s="211"/>
      <c r="AA433" s="84"/>
      <c r="AB433" s="146"/>
      <c r="AC433" s="211"/>
      <c r="AD433" s="211"/>
      <c r="AE433" s="211"/>
      <c r="AF433" s="84"/>
      <c r="AG433" s="146"/>
      <c r="AH433" s="211"/>
      <c r="AI433" s="211"/>
      <c r="AJ433" s="211"/>
      <c r="AK433" s="84"/>
      <c r="AL433" s="146"/>
      <c r="AM433" s="211"/>
      <c r="AN433" s="211"/>
      <c r="AO433" s="211"/>
      <c r="AP433" s="436"/>
      <c r="AQ433" s="146"/>
      <c r="AR433" s="211"/>
      <c r="AS433" s="211"/>
      <c r="AT433" s="211"/>
      <c r="AU433" s="84"/>
      <c r="AV433" s="211"/>
      <c r="AW433" s="211"/>
      <c r="AX433" s="211"/>
      <c r="AY433" s="211"/>
      <c r="AZ433" s="84"/>
      <c r="BA433" s="211"/>
      <c r="BB433" s="211"/>
      <c r="BC433" s="211"/>
      <c r="BD433" s="211"/>
      <c r="BE433" s="84"/>
      <c r="BF433" s="211"/>
      <c r="BG433" s="451"/>
    </row>
    <row r="434" spans="1:59" ht="12.75">
      <c r="A434" s="211"/>
      <c r="B434" s="449"/>
      <c r="C434" s="450"/>
      <c r="D434" s="211"/>
      <c r="E434" s="211"/>
      <c r="F434" s="211"/>
      <c r="G434" s="84"/>
      <c r="H434" s="211"/>
      <c r="I434" s="211"/>
      <c r="J434" s="211"/>
      <c r="K434" s="211"/>
      <c r="L434" s="84"/>
      <c r="M434" s="211"/>
      <c r="N434" s="211"/>
      <c r="O434" s="211"/>
      <c r="P434" s="211"/>
      <c r="Q434" s="84"/>
      <c r="R434" s="211"/>
      <c r="S434" s="211"/>
      <c r="T434" s="211"/>
      <c r="U434" s="211"/>
      <c r="V434" s="84"/>
      <c r="W434" s="211"/>
      <c r="X434" s="211"/>
      <c r="Y434" s="211"/>
      <c r="Z434" s="211"/>
      <c r="AA434" s="84"/>
      <c r="AB434" s="146"/>
      <c r="AC434" s="211"/>
      <c r="AD434" s="211"/>
      <c r="AE434" s="211"/>
      <c r="AF434" s="84"/>
      <c r="AG434" s="146"/>
      <c r="AH434" s="211"/>
      <c r="AI434" s="211"/>
      <c r="AJ434" s="211"/>
      <c r="AK434" s="84"/>
      <c r="AL434" s="146"/>
      <c r="AM434" s="211"/>
      <c r="AN434" s="211"/>
      <c r="AO434" s="211"/>
      <c r="AP434" s="436"/>
      <c r="AQ434" s="146"/>
      <c r="AR434" s="211"/>
      <c r="AS434" s="211"/>
      <c r="AT434" s="211"/>
      <c r="AU434" s="84"/>
      <c r="AV434" s="211"/>
      <c r="AW434" s="211"/>
      <c r="AX434" s="211"/>
      <c r="AY434" s="211"/>
      <c r="AZ434" s="84"/>
      <c r="BA434" s="211"/>
      <c r="BB434" s="211"/>
      <c r="BC434" s="211"/>
      <c r="BD434" s="211"/>
      <c r="BE434" s="84"/>
      <c r="BF434" s="211"/>
      <c r="BG434" s="451"/>
    </row>
    <row r="435" spans="1:59" ht="12.75">
      <c r="A435" s="211"/>
      <c r="B435" s="449"/>
      <c r="C435" s="450"/>
      <c r="D435" s="211"/>
      <c r="E435" s="211"/>
      <c r="F435" s="211"/>
      <c r="G435" s="84"/>
      <c r="H435" s="211"/>
      <c r="I435" s="211"/>
      <c r="J435" s="211"/>
      <c r="K435" s="211"/>
      <c r="L435" s="84"/>
      <c r="M435" s="211"/>
      <c r="N435" s="211"/>
      <c r="O435" s="211"/>
      <c r="P435" s="211"/>
      <c r="Q435" s="84"/>
      <c r="R435" s="211"/>
      <c r="S435" s="211"/>
      <c r="T435" s="211"/>
      <c r="U435" s="211"/>
      <c r="V435" s="84"/>
      <c r="W435" s="211"/>
      <c r="X435" s="211"/>
      <c r="Y435" s="211"/>
      <c r="Z435" s="211"/>
      <c r="AA435" s="84"/>
      <c r="AB435" s="146"/>
      <c r="AC435" s="211"/>
      <c r="AD435" s="211"/>
      <c r="AE435" s="211"/>
      <c r="AF435" s="84"/>
      <c r="AG435" s="146"/>
      <c r="AH435" s="211"/>
      <c r="AI435" s="211"/>
      <c r="AJ435" s="211"/>
      <c r="AK435" s="84"/>
      <c r="AL435" s="146"/>
      <c r="AM435" s="211"/>
      <c r="AN435" s="211"/>
      <c r="AO435" s="211"/>
      <c r="AP435" s="436"/>
      <c r="AQ435" s="146"/>
      <c r="AR435" s="211"/>
      <c r="AS435" s="211"/>
      <c r="AT435" s="211"/>
      <c r="AU435" s="84"/>
      <c r="AV435" s="211"/>
      <c r="AW435" s="211"/>
      <c r="AX435" s="211"/>
      <c r="AY435" s="211"/>
      <c r="AZ435" s="84"/>
      <c r="BA435" s="211"/>
      <c r="BB435" s="211"/>
      <c r="BC435" s="211"/>
      <c r="BD435" s="211"/>
      <c r="BE435" s="84"/>
      <c r="BF435" s="211"/>
      <c r="BG435" s="451"/>
    </row>
    <row r="436" spans="1:59" ht="12.75">
      <c r="A436" s="211"/>
      <c r="B436" s="449"/>
      <c r="C436" s="450"/>
      <c r="D436" s="211"/>
      <c r="E436" s="211"/>
      <c r="F436" s="211"/>
      <c r="G436" s="84"/>
      <c r="H436" s="211"/>
      <c r="I436" s="211"/>
      <c r="J436" s="211"/>
      <c r="K436" s="211"/>
      <c r="L436" s="84"/>
      <c r="M436" s="211"/>
      <c r="N436" s="211"/>
      <c r="O436" s="211"/>
      <c r="P436" s="211"/>
      <c r="Q436" s="84"/>
      <c r="R436" s="211"/>
      <c r="S436" s="211"/>
      <c r="T436" s="211"/>
      <c r="U436" s="211"/>
      <c r="V436" s="84"/>
      <c r="W436" s="211"/>
      <c r="X436" s="211"/>
      <c r="Y436" s="211"/>
      <c r="Z436" s="211"/>
      <c r="AA436" s="84"/>
      <c r="AB436" s="146"/>
      <c r="AC436" s="211"/>
      <c r="AD436" s="211"/>
      <c r="AE436" s="211"/>
      <c r="AF436" s="84"/>
      <c r="AG436" s="146"/>
      <c r="AH436" s="211"/>
      <c r="AI436" s="211"/>
      <c r="AJ436" s="211"/>
      <c r="AK436" s="84"/>
      <c r="AL436" s="146"/>
      <c r="AM436" s="211"/>
      <c r="AN436" s="211"/>
      <c r="AO436" s="211"/>
      <c r="AP436" s="436"/>
      <c r="AQ436" s="146"/>
      <c r="AR436" s="211"/>
      <c r="AS436" s="211"/>
      <c r="AT436" s="211"/>
      <c r="AU436" s="84"/>
      <c r="AV436" s="211"/>
      <c r="AW436" s="211"/>
      <c r="AX436" s="211"/>
      <c r="AY436" s="211"/>
      <c r="AZ436" s="84"/>
      <c r="BA436" s="211"/>
      <c r="BB436" s="211"/>
      <c r="BC436" s="211"/>
      <c r="BD436" s="211"/>
      <c r="BE436" s="84"/>
      <c r="BF436" s="211"/>
      <c r="BG436" s="451"/>
    </row>
    <row r="437" spans="1:59" ht="12.75">
      <c r="A437" s="211"/>
      <c r="B437" s="449"/>
      <c r="C437" s="450"/>
      <c r="D437" s="211"/>
      <c r="E437" s="211"/>
      <c r="F437" s="211"/>
      <c r="G437" s="84"/>
      <c r="H437" s="211"/>
      <c r="I437" s="211"/>
      <c r="J437" s="211"/>
      <c r="K437" s="211"/>
      <c r="L437" s="84"/>
      <c r="M437" s="211"/>
      <c r="N437" s="211"/>
      <c r="O437" s="211"/>
      <c r="P437" s="211"/>
      <c r="Q437" s="84"/>
      <c r="R437" s="211"/>
      <c r="S437" s="211"/>
      <c r="T437" s="211"/>
      <c r="U437" s="211"/>
      <c r="V437" s="84"/>
      <c r="W437" s="211"/>
      <c r="X437" s="211"/>
      <c r="Y437" s="211"/>
      <c r="Z437" s="211"/>
      <c r="AA437" s="84"/>
      <c r="AB437" s="146"/>
      <c r="AC437" s="211"/>
      <c r="AD437" s="211"/>
      <c r="AE437" s="211"/>
      <c r="AF437" s="84"/>
      <c r="AG437" s="146"/>
      <c r="AH437" s="211"/>
      <c r="AI437" s="211"/>
      <c r="AJ437" s="211"/>
      <c r="AK437" s="84"/>
      <c r="AL437" s="146"/>
      <c r="AM437" s="211"/>
      <c r="AN437" s="211"/>
      <c r="AO437" s="211"/>
      <c r="AP437" s="436"/>
      <c r="AQ437" s="146"/>
      <c r="AR437" s="211"/>
      <c r="AS437" s="211"/>
      <c r="AT437" s="211"/>
      <c r="AU437" s="84"/>
      <c r="AV437" s="211"/>
      <c r="AW437" s="211"/>
      <c r="AX437" s="211"/>
      <c r="AY437" s="211"/>
      <c r="AZ437" s="84"/>
      <c r="BA437" s="211"/>
      <c r="BB437" s="211"/>
      <c r="BC437" s="211"/>
      <c r="BD437" s="211"/>
      <c r="BE437" s="84"/>
      <c r="BF437" s="211"/>
      <c r="BG437" s="451"/>
    </row>
    <row r="438" spans="1:59" ht="12.75">
      <c r="A438" s="211"/>
      <c r="B438" s="449"/>
      <c r="C438" s="450"/>
      <c r="D438" s="211"/>
      <c r="E438" s="211"/>
      <c r="F438" s="211"/>
      <c r="G438" s="84"/>
      <c r="H438" s="211"/>
      <c r="I438" s="211"/>
      <c r="J438" s="211"/>
      <c r="K438" s="211"/>
      <c r="L438" s="84"/>
      <c r="M438" s="211"/>
      <c r="N438" s="211"/>
      <c r="O438" s="211"/>
      <c r="P438" s="211"/>
      <c r="Q438" s="84"/>
      <c r="R438" s="211"/>
      <c r="S438" s="211"/>
      <c r="T438" s="211"/>
      <c r="U438" s="211"/>
      <c r="V438" s="84"/>
      <c r="W438" s="211"/>
      <c r="X438" s="211"/>
      <c r="Y438" s="211"/>
      <c r="Z438" s="211"/>
      <c r="AA438" s="84"/>
      <c r="AB438" s="146"/>
      <c r="AC438" s="211"/>
      <c r="AD438" s="211"/>
      <c r="AE438" s="211"/>
      <c r="AF438" s="84"/>
      <c r="AG438" s="146"/>
      <c r="AH438" s="211"/>
      <c r="AI438" s="211"/>
      <c r="AJ438" s="211"/>
      <c r="AK438" s="84"/>
      <c r="AL438" s="146"/>
      <c r="AM438" s="211"/>
      <c r="AN438" s="211"/>
      <c r="AO438" s="211"/>
      <c r="AP438" s="436"/>
      <c r="AQ438" s="146"/>
      <c r="AR438" s="211"/>
      <c r="AS438" s="211"/>
      <c r="AT438" s="211"/>
      <c r="AU438" s="84"/>
      <c r="AV438" s="211"/>
      <c r="AW438" s="211"/>
      <c r="AX438" s="211"/>
      <c r="AY438" s="211"/>
      <c r="AZ438" s="84"/>
      <c r="BA438" s="211"/>
      <c r="BB438" s="211"/>
      <c r="BC438" s="211"/>
      <c r="BD438" s="211"/>
      <c r="BE438" s="84"/>
      <c r="BF438" s="211"/>
      <c r="BG438" s="451"/>
    </row>
    <row r="439" spans="1:59" ht="12.75">
      <c r="A439" s="211"/>
      <c r="B439" s="449"/>
      <c r="C439" s="450"/>
      <c r="D439" s="211"/>
      <c r="E439" s="211"/>
      <c r="F439" s="211"/>
      <c r="G439" s="84"/>
      <c r="H439" s="211"/>
      <c r="I439" s="211"/>
      <c r="J439" s="211"/>
      <c r="K439" s="211"/>
      <c r="L439" s="84"/>
      <c r="M439" s="211"/>
      <c r="N439" s="211"/>
      <c r="O439" s="211"/>
      <c r="P439" s="211"/>
      <c r="Q439" s="84"/>
      <c r="R439" s="211"/>
      <c r="S439" s="211"/>
      <c r="T439" s="211"/>
      <c r="U439" s="211"/>
      <c r="V439" s="84"/>
      <c r="W439" s="211"/>
      <c r="X439" s="211"/>
      <c r="Y439" s="211"/>
      <c r="Z439" s="211"/>
      <c r="AA439" s="84"/>
      <c r="AB439" s="146"/>
      <c r="AC439" s="211"/>
      <c r="AD439" s="211"/>
      <c r="AE439" s="211"/>
      <c r="AF439" s="84"/>
      <c r="AG439" s="146"/>
      <c r="AH439" s="211"/>
      <c r="AI439" s="211"/>
      <c r="AJ439" s="211"/>
      <c r="AK439" s="84"/>
      <c r="AL439" s="146"/>
      <c r="AM439" s="211"/>
      <c r="AN439" s="211"/>
      <c r="AO439" s="211"/>
      <c r="AP439" s="436"/>
      <c r="AQ439" s="146"/>
      <c r="AR439" s="211"/>
      <c r="AS439" s="211"/>
      <c r="AT439" s="211"/>
      <c r="AU439" s="84"/>
      <c r="AV439" s="211"/>
      <c r="AW439" s="211"/>
      <c r="AX439" s="211"/>
      <c r="AY439" s="211"/>
      <c r="AZ439" s="84"/>
      <c r="BA439" s="211"/>
      <c r="BB439" s="211"/>
      <c r="BC439" s="211"/>
      <c r="BD439" s="211"/>
      <c r="BE439" s="84"/>
      <c r="BF439" s="211"/>
      <c r="BG439" s="451"/>
    </row>
    <row r="440" spans="1:59" ht="12.75">
      <c r="A440" s="211"/>
      <c r="B440" s="449"/>
      <c r="C440" s="450"/>
      <c r="D440" s="211"/>
      <c r="E440" s="211"/>
      <c r="F440" s="211"/>
      <c r="G440" s="84"/>
      <c r="H440" s="211"/>
      <c r="I440" s="211"/>
      <c r="J440" s="211"/>
      <c r="K440" s="211"/>
      <c r="L440" s="84"/>
      <c r="M440" s="211"/>
      <c r="N440" s="211"/>
      <c r="O440" s="211"/>
      <c r="P440" s="211"/>
      <c r="Q440" s="84"/>
      <c r="R440" s="211"/>
      <c r="S440" s="211"/>
      <c r="T440" s="211"/>
      <c r="U440" s="211"/>
      <c r="V440" s="84"/>
      <c r="W440" s="211"/>
      <c r="X440" s="211"/>
      <c r="Y440" s="211"/>
      <c r="Z440" s="211"/>
      <c r="AA440" s="84"/>
      <c r="AB440" s="146"/>
      <c r="AC440" s="211"/>
      <c r="AD440" s="211"/>
      <c r="AE440" s="211"/>
      <c r="AF440" s="84"/>
      <c r="AG440" s="146"/>
      <c r="AH440" s="211"/>
      <c r="AI440" s="211"/>
      <c r="AJ440" s="211"/>
      <c r="AK440" s="84"/>
      <c r="AL440" s="146"/>
      <c r="AM440" s="211"/>
      <c r="AN440" s="211"/>
      <c r="AO440" s="211"/>
      <c r="AP440" s="436"/>
      <c r="AQ440" s="146"/>
      <c r="AR440" s="211"/>
      <c r="AS440" s="211"/>
      <c r="AT440" s="211"/>
      <c r="AU440" s="84"/>
      <c r="AV440" s="211"/>
      <c r="AW440" s="211"/>
      <c r="AX440" s="211"/>
      <c r="AY440" s="211"/>
      <c r="AZ440" s="84"/>
      <c r="BA440" s="211"/>
      <c r="BB440" s="211"/>
      <c r="BC440" s="211"/>
      <c r="BD440" s="211"/>
      <c r="BE440" s="84"/>
      <c r="BF440" s="211"/>
      <c r="BG440" s="451"/>
    </row>
    <row r="441" spans="1:59" ht="12.75">
      <c r="A441" s="211"/>
      <c r="B441" s="449"/>
      <c r="C441" s="450"/>
      <c r="D441" s="211"/>
      <c r="E441" s="211"/>
      <c r="F441" s="211"/>
      <c r="G441" s="84"/>
      <c r="H441" s="211"/>
      <c r="I441" s="211"/>
      <c r="J441" s="211"/>
      <c r="K441" s="211"/>
      <c r="L441" s="84"/>
      <c r="M441" s="211"/>
      <c r="N441" s="211"/>
      <c r="O441" s="211"/>
      <c r="P441" s="211"/>
      <c r="Q441" s="84"/>
      <c r="R441" s="211"/>
      <c r="S441" s="211"/>
      <c r="T441" s="211"/>
      <c r="U441" s="211"/>
      <c r="V441" s="84"/>
      <c r="W441" s="211"/>
      <c r="X441" s="211"/>
      <c r="Y441" s="211"/>
      <c r="Z441" s="211"/>
      <c r="AA441" s="84"/>
      <c r="AB441" s="146"/>
      <c r="AC441" s="211"/>
      <c r="AD441" s="211"/>
      <c r="AE441" s="211"/>
      <c r="AF441" s="84"/>
      <c r="AG441" s="146"/>
      <c r="AH441" s="211"/>
      <c r="AI441" s="211"/>
      <c r="AJ441" s="211"/>
      <c r="AK441" s="84"/>
      <c r="AL441" s="146"/>
      <c r="AM441" s="211"/>
      <c r="AN441" s="211"/>
      <c r="AO441" s="211"/>
      <c r="AP441" s="436"/>
      <c r="AQ441" s="146"/>
      <c r="AR441" s="211"/>
      <c r="AS441" s="211"/>
      <c r="AT441" s="211"/>
      <c r="AU441" s="84"/>
      <c r="AV441" s="211"/>
      <c r="AW441" s="211"/>
      <c r="AX441" s="211"/>
      <c r="AY441" s="211"/>
      <c r="AZ441" s="84"/>
      <c r="BA441" s="211"/>
      <c r="BB441" s="211"/>
      <c r="BC441" s="211"/>
      <c r="BD441" s="211"/>
      <c r="BE441" s="84"/>
      <c r="BF441" s="211"/>
      <c r="BG441" s="451"/>
    </row>
    <row r="442" spans="1:59" ht="12.75">
      <c r="A442" s="211"/>
      <c r="B442" s="449"/>
      <c r="C442" s="450"/>
      <c r="D442" s="211"/>
      <c r="E442" s="211"/>
      <c r="F442" s="211"/>
      <c r="G442" s="84"/>
      <c r="H442" s="211"/>
      <c r="I442" s="211"/>
      <c r="J442" s="211"/>
      <c r="K442" s="211"/>
      <c r="L442" s="84"/>
      <c r="M442" s="211"/>
      <c r="N442" s="211"/>
      <c r="O442" s="211"/>
      <c r="P442" s="211"/>
      <c r="Q442" s="84"/>
      <c r="R442" s="211"/>
      <c r="S442" s="211"/>
      <c r="T442" s="211"/>
      <c r="U442" s="211"/>
      <c r="V442" s="84"/>
      <c r="W442" s="211"/>
      <c r="X442" s="211"/>
      <c r="Y442" s="211"/>
      <c r="Z442" s="211"/>
      <c r="AA442" s="84"/>
      <c r="AB442" s="146"/>
      <c r="AC442" s="211"/>
      <c r="AD442" s="211"/>
      <c r="AE442" s="211"/>
      <c r="AF442" s="84"/>
      <c r="AG442" s="146"/>
      <c r="AH442" s="211"/>
      <c r="AI442" s="211"/>
      <c r="AJ442" s="211"/>
      <c r="AK442" s="84"/>
      <c r="AL442" s="146"/>
      <c r="AM442" s="211"/>
      <c r="AN442" s="211"/>
      <c r="AO442" s="211"/>
      <c r="AP442" s="436"/>
      <c r="AQ442" s="146"/>
      <c r="AR442" s="211"/>
      <c r="AS442" s="211"/>
      <c r="AT442" s="211"/>
      <c r="AU442" s="84"/>
      <c r="AV442" s="211"/>
      <c r="AW442" s="211"/>
      <c r="AX442" s="211"/>
      <c r="AY442" s="211"/>
      <c r="AZ442" s="84"/>
      <c r="BA442" s="211"/>
      <c r="BB442" s="211"/>
      <c r="BC442" s="211"/>
      <c r="BD442" s="211"/>
      <c r="BE442" s="84"/>
      <c r="BF442" s="211"/>
      <c r="BG442" s="451"/>
    </row>
    <row r="443" spans="1:59" ht="12.75">
      <c r="A443" s="211"/>
      <c r="B443" s="449"/>
      <c r="C443" s="450"/>
      <c r="D443" s="211"/>
      <c r="E443" s="211"/>
      <c r="F443" s="211"/>
      <c r="G443" s="84"/>
      <c r="H443" s="211"/>
      <c r="I443" s="211"/>
      <c r="J443" s="211"/>
      <c r="K443" s="211"/>
      <c r="L443" s="84"/>
      <c r="M443" s="211"/>
      <c r="N443" s="211"/>
      <c r="O443" s="211"/>
      <c r="P443" s="211"/>
      <c r="Q443" s="84"/>
      <c r="R443" s="211"/>
      <c r="S443" s="211"/>
      <c r="T443" s="211"/>
      <c r="U443" s="211"/>
      <c r="V443" s="84"/>
      <c r="W443" s="211"/>
      <c r="X443" s="211"/>
      <c r="Y443" s="211"/>
      <c r="Z443" s="211"/>
      <c r="AA443" s="84"/>
      <c r="AB443" s="146"/>
      <c r="AC443" s="211"/>
      <c r="AD443" s="211"/>
      <c r="AE443" s="211"/>
      <c r="AF443" s="84"/>
      <c r="AG443" s="146"/>
      <c r="AH443" s="211"/>
      <c r="AI443" s="211"/>
      <c r="AJ443" s="211"/>
      <c r="AK443" s="84"/>
      <c r="AL443" s="146"/>
      <c r="AM443" s="211"/>
      <c r="AN443" s="211"/>
      <c r="AO443" s="211"/>
      <c r="AP443" s="436"/>
      <c r="AQ443" s="146"/>
      <c r="AR443" s="211"/>
      <c r="AS443" s="211"/>
      <c r="AT443" s="211"/>
      <c r="AU443" s="84"/>
      <c r="AV443" s="211"/>
      <c r="AW443" s="211"/>
      <c r="AX443" s="211"/>
      <c r="AY443" s="211"/>
      <c r="AZ443" s="84"/>
      <c r="BA443" s="211"/>
      <c r="BB443" s="211"/>
      <c r="BC443" s="211"/>
      <c r="BD443" s="211"/>
      <c r="BE443" s="84"/>
      <c r="BF443" s="211"/>
      <c r="BG443" s="451"/>
    </row>
    <row r="444" spans="1:59" ht="12.75">
      <c r="A444" s="211"/>
      <c r="B444" s="449"/>
      <c r="C444" s="450"/>
      <c r="D444" s="211"/>
      <c r="E444" s="211"/>
      <c r="F444" s="211"/>
      <c r="G444" s="84"/>
      <c r="H444" s="211"/>
      <c r="I444" s="211"/>
      <c r="J444" s="211"/>
      <c r="K444" s="211"/>
      <c r="L444" s="84"/>
      <c r="M444" s="211"/>
      <c r="N444" s="211"/>
      <c r="O444" s="211"/>
      <c r="P444" s="211"/>
      <c r="Q444" s="84"/>
      <c r="R444" s="211"/>
      <c r="S444" s="211"/>
      <c r="T444" s="211"/>
      <c r="U444" s="211"/>
      <c r="V444" s="84"/>
      <c r="W444" s="211"/>
      <c r="X444" s="211"/>
      <c r="Y444" s="211"/>
      <c r="Z444" s="211"/>
      <c r="AA444" s="84"/>
      <c r="AB444" s="146"/>
      <c r="AC444" s="211"/>
      <c r="AD444" s="211"/>
      <c r="AE444" s="211"/>
      <c r="AF444" s="84"/>
      <c r="AG444" s="146"/>
      <c r="AH444" s="211"/>
      <c r="AI444" s="211"/>
      <c r="AJ444" s="211"/>
      <c r="AK444" s="84"/>
      <c r="AL444" s="146"/>
      <c r="AM444" s="211"/>
      <c r="AN444" s="211"/>
      <c r="AO444" s="211"/>
      <c r="AP444" s="436"/>
      <c r="AQ444" s="146"/>
      <c r="AR444" s="211"/>
      <c r="AS444" s="211"/>
      <c r="AT444" s="211"/>
      <c r="AU444" s="84"/>
      <c r="AV444" s="211"/>
      <c r="AW444" s="211"/>
      <c r="AX444" s="211"/>
      <c r="AY444" s="211"/>
      <c r="AZ444" s="84"/>
      <c r="BA444" s="211"/>
      <c r="BB444" s="211"/>
      <c r="BC444" s="211"/>
      <c r="BD444" s="211"/>
      <c r="BE444" s="84"/>
      <c r="BF444" s="211"/>
      <c r="BG444" s="451"/>
    </row>
    <row r="445" spans="1:59" ht="12.75">
      <c r="A445" s="211"/>
      <c r="B445" s="449"/>
      <c r="C445" s="450"/>
      <c r="D445" s="211"/>
      <c r="E445" s="211"/>
      <c r="F445" s="211"/>
      <c r="G445" s="84"/>
      <c r="H445" s="211"/>
      <c r="I445" s="211"/>
      <c r="J445" s="211"/>
      <c r="K445" s="211"/>
      <c r="L445" s="84"/>
      <c r="M445" s="211"/>
      <c r="N445" s="211"/>
      <c r="O445" s="211"/>
      <c r="P445" s="211"/>
      <c r="Q445" s="84"/>
      <c r="R445" s="211"/>
      <c r="S445" s="211"/>
      <c r="T445" s="211"/>
      <c r="U445" s="211"/>
      <c r="V445" s="84"/>
      <c r="W445" s="211"/>
      <c r="X445" s="211"/>
      <c r="Y445" s="211"/>
      <c r="Z445" s="211"/>
      <c r="AA445" s="84"/>
      <c r="AB445" s="146"/>
      <c r="AC445" s="211"/>
      <c r="AD445" s="211"/>
      <c r="AE445" s="211"/>
      <c r="AF445" s="84"/>
      <c r="AG445" s="146"/>
      <c r="AH445" s="211"/>
      <c r="AI445" s="211"/>
      <c r="AJ445" s="211"/>
      <c r="AK445" s="84"/>
      <c r="AL445" s="146"/>
      <c r="AM445" s="211"/>
      <c r="AN445" s="211"/>
      <c r="AO445" s="211"/>
      <c r="AP445" s="436"/>
      <c r="AQ445" s="146"/>
      <c r="AR445" s="211"/>
      <c r="AS445" s="211"/>
      <c r="AT445" s="211"/>
      <c r="AU445" s="84"/>
      <c r="AV445" s="211"/>
      <c r="AW445" s="211"/>
      <c r="AX445" s="211"/>
      <c r="AY445" s="211"/>
      <c r="AZ445" s="84"/>
      <c r="BA445" s="211"/>
      <c r="BB445" s="211"/>
      <c r="BC445" s="211"/>
      <c r="BD445" s="211"/>
      <c r="BE445" s="84"/>
      <c r="BF445" s="211"/>
      <c r="BG445" s="451"/>
    </row>
    <row r="446" spans="1:59" ht="12.75">
      <c r="A446" s="211"/>
      <c r="B446" s="449"/>
      <c r="C446" s="450"/>
      <c r="D446" s="211"/>
      <c r="E446" s="211"/>
      <c r="F446" s="211"/>
      <c r="G446" s="84"/>
      <c r="H446" s="211"/>
      <c r="I446" s="211"/>
      <c r="J446" s="211"/>
      <c r="K446" s="211"/>
      <c r="L446" s="84"/>
      <c r="M446" s="211"/>
      <c r="N446" s="211"/>
      <c r="O446" s="211"/>
      <c r="P446" s="211"/>
      <c r="Q446" s="84"/>
      <c r="R446" s="211"/>
      <c r="S446" s="211"/>
      <c r="T446" s="211"/>
      <c r="U446" s="211"/>
      <c r="V446" s="84"/>
      <c r="W446" s="211"/>
      <c r="X446" s="211"/>
      <c r="Y446" s="211"/>
      <c r="Z446" s="211"/>
      <c r="AA446" s="84"/>
      <c r="AB446" s="146"/>
      <c r="AC446" s="211"/>
      <c r="AD446" s="211"/>
      <c r="AE446" s="211"/>
      <c r="AF446" s="84"/>
      <c r="AG446" s="146"/>
      <c r="AH446" s="211"/>
      <c r="AI446" s="211"/>
      <c r="AJ446" s="211"/>
      <c r="AK446" s="84"/>
      <c r="AL446" s="146"/>
      <c r="AM446" s="211"/>
      <c r="AN446" s="211"/>
      <c r="AO446" s="211"/>
      <c r="AP446" s="436"/>
      <c r="AQ446" s="146"/>
      <c r="AR446" s="211"/>
      <c r="AS446" s="211"/>
      <c r="AT446" s="211"/>
      <c r="AU446" s="84"/>
      <c r="AV446" s="211"/>
      <c r="AW446" s="211"/>
      <c r="AX446" s="211"/>
      <c r="AY446" s="211"/>
      <c r="AZ446" s="84"/>
      <c r="BA446" s="211"/>
      <c r="BB446" s="211"/>
      <c r="BC446" s="211"/>
      <c r="BD446" s="211"/>
      <c r="BE446" s="84"/>
      <c r="BF446" s="211"/>
      <c r="BG446" s="451"/>
    </row>
    <row r="447" spans="1:59" ht="12.75">
      <c r="A447" s="211"/>
      <c r="B447" s="449"/>
      <c r="C447" s="450"/>
      <c r="D447" s="211"/>
      <c r="E447" s="211"/>
      <c r="F447" s="211"/>
      <c r="G447" s="84"/>
      <c r="H447" s="211"/>
      <c r="I447" s="211"/>
      <c r="J447" s="211"/>
      <c r="K447" s="211"/>
      <c r="L447" s="84"/>
      <c r="M447" s="211"/>
      <c r="N447" s="211"/>
      <c r="O447" s="211"/>
      <c r="P447" s="211"/>
      <c r="Q447" s="84"/>
      <c r="R447" s="211"/>
      <c r="S447" s="211"/>
      <c r="T447" s="211"/>
      <c r="U447" s="211"/>
      <c r="V447" s="84"/>
      <c r="W447" s="211"/>
      <c r="X447" s="211"/>
      <c r="Y447" s="211"/>
      <c r="Z447" s="211"/>
      <c r="AA447" s="84"/>
      <c r="AB447" s="146"/>
      <c r="AC447" s="211"/>
      <c r="AD447" s="211"/>
      <c r="AE447" s="211"/>
      <c r="AF447" s="84"/>
      <c r="AG447" s="146"/>
      <c r="AH447" s="211"/>
      <c r="AI447" s="211"/>
      <c r="AJ447" s="211"/>
      <c r="AK447" s="84"/>
      <c r="AL447" s="146"/>
      <c r="AM447" s="211"/>
      <c r="AN447" s="211"/>
      <c r="AO447" s="211"/>
      <c r="AP447" s="436"/>
      <c r="AQ447" s="146"/>
      <c r="AR447" s="211"/>
      <c r="AS447" s="211"/>
      <c r="AT447" s="211"/>
      <c r="AU447" s="84"/>
      <c r="AV447" s="211"/>
      <c r="AW447" s="211"/>
      <c r="AX447" s="211"/>
      <c r="AY447" s="211"/>
      <c r="AZ447" s="84"/>
      <c r="BA447" s="211"/>
      <c r="BB447" s="211"/>
      <c r="BC447" s="211"/>
      <c r="BD447" s="211"/>
      <c r="BE447" s="84"/>
      <c r="BF447" s="211"/>
      <c r="BG447" s="451"/>
    </row>
    <row r="448" spans="1:59" ht="12.75">
      <c r="A448" s="211"/>
      <c r="B448" s="449"/>
      <c r="C448" s="450"/>
      <c r="D448" s="211"/>
      <c r="E448" s="211"/>
      <c r="F448" s="211"/>
      <c r="G448" s="84"/>
      <c r="H448" s="211"/>
      <c r="I448" s="211"/>
      <c r="J448" s="211"/>
      <c r="K448" s="211"/>
      <c r="L448" s="84"/>
      <c r="M448" s="211"/>
      <c r="N448" s="211"/>
      <c r="O448" s="211"/>
      <c r="P448" s="211"/>
      <c r="Q448" s="84"/>
      <c r="R448" s="211"/>
      <c r="S448" s="211"/>
      <c r="T448" s="211"/>
      <c r="U448" s="211"/>
      <c r="V448" s="84"/>
      <c r="W448" s="211"/>
      <c r="X448" s="211"/>
      <c r="Y448" s="211"/>
      <c r="Z448" s="211"/>
      <c r="AA448" s="84"/>
      <c r="AB448" s="146"/>
      <c r="AC448" s="211"/>
      <c r="AD448" s="211"/>
      <c r="AE448" s="211"/>
      <c r="AF448" s="84"/>
      <c r="AG448" s="146"/>
      <c r="AH448" s="211"/>
      <c r="AI448" s="211"/>
      <c r="AJ448" s="211"/>
      <c r="AK448" s="84"/>
      <c r="AL448" s="146"/>
      <c r="AM448" s="211"/>
      <c r="AN448" s="211"/>
      <c r="AO448" s="211"/>
      <c r="AP448" s="436"/>
      <c r="AQ448" s="146"/>
      <c r="AR448" s="211"/>
      <c r="AS448" s="211"/>
      <c r="AT448" s="211"/>
      <c r="AU448" s="84"/>
      <c r="AV448" s="211"/>
      <c r="AW448" s="211"/>
      <c r="AX448" s="211"/>
      <c r="AY448" s="211"/>
      <c r="AZ448" s="84"/>
      <c r="BA448" s="211"/>
      <c r="BB448" s="211"/>
      <c r="BC448" s="211"/>
      <c r="BD448" s="211"/>
      <c r="BE448" s="84"/>
      <c r="BF448" s="211"/>
      <c r="BG448" s="451"/>
    </row>
    <row r="449" spans="1:59" ht="12.75">
      <c r="A449" s="211"/>
      <c r="B449" s="449"/>
      <c r="C449" s="450"/>
      <c r="D449" s="211"/>
      <c r="E449" s="211"/>
      <c r="F449" s="211"/>
      <c r="G449" s="84"/>
      <c r="H449" s="211"/>
      <c r="I449" s="211"/>
      <c r="J449" s="211"/>
      <c r="K449" s="211"/>
      <c r="L449" s="84"/>
      <c r="M449" s="211"/>
      <c r="N449" s="211"/>
      <c r="O449" s="211"/>
      <c r="P449" s="211"/>
      <c r="Q449" s="84"/>
      <c r="R449" s="211"/>
      <c r="S449" s="211"/>
      <c r="T449" s="211"/>
      <c r="U449" s="211"/>
      <c r="V449" s="84"/>
      <c r="W449" s="211"/>
      <c r="X449" s="211"/>
      <c r="Y449" s="211"/>
      <c r="Z449" s="211"/>
      <c r="AA449" s="84"/>
      <c r="AB449" s="146"/>
      <c r="AC449" s="211"/>
      <c r="AD449" s="211"/>
      <c r="AE449" s="211"/>
      <c r="AF449" s="84"/>
      <c r="AG449" s="146"/>
      <c r="AH449" s="211"/>
      <c r="AI449" s="211"/>
      <c r="AJ449" s="211"/>
      <c r="AK449" s="84"/>
      <c r="AL449" s="146"/>
      <c r="AM449" s="211"/>
      <c r="AN449" s="211"/>
      <c r="AO449" s="211"/>
      <c r="AP449" s="436"/>
      <c r="AQ449" s="146"/>
      <c r="AR449" s="211"/>
      <c r="AS449" s="211"/>
      <c r="AT449" s="211"/>
      <c r="AU449" s="84"/>
      <c r="AV449" s="211"/>
      <c r="AW449" s="211"/>
      <c r="AX449" s="211"/>
      <c r="AY449" s="211"/>
      <c r="AZ449" s="84"/>
      <c r="BA449" s="211"/>
      <c r="BB449" s="211"/>
      <c r="BC449" s="211"/>
      <c r="BD449" s="211"/>
      <c r="BE449" s="84"/>
      <c r="BF449" s="211"/>
      <c r="BG449" s="451"/>
    </row>
    <row r="450" spans="1:59" ht="12.75">
      <c r="A450" s="211"/>
      <c r="B450" s="449"/>
      <c r="C450" s="450"/>
      <c r="D450" s="211"/>
      <c r="E450" s="211"/>
      <c r="F450" s="211"/>
      <c r="G450" s="84"/>
      <c r="H450" s="211"/>
      <c r="I450" s="211"/>
      <c r="J450" s="211"/>
      <c r="K450" s="211"/>
      <c r="L450" s="84"/>
      <c r="M450" s="211"/>
      <c r="N450" s="211"/>
      <c r="O450" s="211"/>
      <c r="P450" s="211"/>
      <c r="Q450" s="84"/>
      <c r="R450" s="211"/>
      <c r="S450" s="211"/>
      <c r="T450" s="211"/>
      <c r="U450" s="211"/>
      <c r="V450" s="84"/>
      <c r="W450" s="211"/>
      <c r="X450" s="211"/>
      <c r="Y450" s="211"/>
      <c r="Z450" s="211"/>
      <c r="AA450" s="84"/>
      <c r="AB450" s="146"/>
      <c r="AC450" s="211"/>
      <c r="AD450" s="211"/>
      <c r="AE450" s="211"/>
      <c r="AF450" s="84"/>
      <c r="AG450" s="146"/>
      <c r="AH450" s="211"/>
      <c r="AI450" s="211"/>
      <c r="AJ450" s="211"/>
      <c r="AK450" s="84"/>
      <c r="AL450" s="146"/>
      <c r="AM450" s="211"/>
      <c r="AN450" s="211"/>
      <c r="AO450" s="211"/>
      <c r="AP450" s="436"/>
      <c r="AQ450" s="146"/>
      <c r="AR450" s="211"/>
      <c r="AS450" s="211"/>
      <c r="AT450" s="211"/>
      <c r="AU450" s="84"/>
      <c r="AV450" s="211"/>
      <c r="AW450" s="211"/>
      <c r="AX450" s="211"/>
      <c r="AY450" s="211"/>
      <c r="AZ450" s="84"/>
      <c r="BA450" s="211"/>
      <c r="BB450" s="211"/>
      <c r="BC450" s="211"/>
      <c r="BD450" s="211"/>
      <c r="BE450" s="84"/>
      <c r="BF450" s="211"/>
      <c r="BG450" s="451"/>
    </row>
    <row r="451" spans="1:59" ht="12.75">
      <c r="A451" s="211"/>
      <c r="B451" s="449"/>
      <c r="C451" s="450"/>
      <c r="D451" s="211"/>
      <c r="E451" s="211"/>
      <c r="F451" s="211"/>
      <c r="G451" s="84"/>
      <c r="H451" s="211"/>
      <c r="I451" s="211"/>
      <c r="J451" s="211"/>
      <c r="K451" s="211"/>
      <c r="L451" s="84"/>
      <c r="M451" s="211"/>
      <c r="N451" s="211"/>
      <c r="O451" s="211"/>
      <c r="P451" s="211"/>
      <c r="Q451" s="84"/>
      <c r="R451" s="211"/>
      <c r="S451" s="211"/>
      <c r="T451" s="211"/>
      <c r="U451" s="211"/>
      <c r="V451" s="84"/>
      <c r="W451" s="211"/>
      <c r="X451" s="211"/>
      <c r="Y451" s="211"/>
      <c r="Z451" s="211"/>
      <c r="AA451" s="84"/>
      <c r="AB451" s="146"/>
      <c r="AC451" s="211"/>
      <c r="AD451" s="211"/>
      <c r="AE451" s="211"/>
      <c r="AF451" s="84"/>
      <c r="AG451" s="146"/>
      <c r="AH451" s="211"/>
      <c r="AI451" s="211"/>
      <c r="AJ451" s="211"/>
      <c r="AK451" s="84"/>
      <c r="AL451" s="146"/>
      <c r="AM451" s="211"/>
      <c r="AN451" s="211"/>
      <c r="AO451" s="211"/>
      <c r="AP451" s="436"/>
      <c r="AQ451" s="146"/>
      <c r="AR451" s="211"/>
      <c r="AS451" s="211"/>
      <c r="AT451" s="211"/>
      <c r="AU451" s="84"/>
      <c r="AV451" s="211"/>
      <c r="AW451" s="211"/>
      <c r="AX451" s="211"/>
      <c r="AY451" s="211"/>
      <c r="AZ451" s="84"/>
      <c r="BA451" s="211"/>
      <c r="BB451" s="211"/>
      <c r="BC451" s="211"/>
      <c r="BD451" s="211"/>
      <c r="BE451" s="84"/>
      <c r="BF451" s="211"/>
      <c r="BG451" s="451"/>
    </row>
    <row r="452" spans="1:59" ht="12.75">
      <c r="A452" s="211"/>
      <c r="B452" s="449"/>
      <c r="C452" s="450"/>
      <c r="D452" s="211"/>
      <c r="E452" s="211"/>
      <c r="F452" s="211"/>
      <c r="G452" s="84"/>
      <c r="H452" s="211"/>
      <c r="I452" s="211"/>
      <c r="J452" s="211"/>
      <c r="K452" s="211"/>
      <c r="L452" s="84"/>
      <c r="M452" s="211"/>
      <c r="N452" s="211"/>
      <c r="O452" s="211"/>
      <c r="P452" s="211"/>
      <c r="Q452" s="84"/>
      <c r="R452" s="211"/>
      <c r="S452" s="211"/>
      <c r="T452" s="211"/>
      <c r="U452" s="211"/>
      <c r="V452" s="84"/>
      <c r="W452" s="211"/>
      <c r="X452" s="211"/>
      <c r="Y452" s="211"/>
      <c r="Z452" s="211"/>
      <c r="AA452" s="84"/>
      <c r="AB452" s="146"/>
      <c r="AC452" s="211"/>
      <c r="AD452" s="211"/>
      <c r="AE452" s="211"/>
      <c r="AF452" s="84"/>
      <c r="AG452" s="146"/>
      <c r="AH452" s="211"/>
      <c r="AI452" s="211"/>
      <c r="AJ452" s="211"/>
      <c r="AK452" s="84"/>
      <c r="AL452" s="146"/>
      <c r="AM452" s="211"/>
      <c r="AN452" s="211"/>
      <c r="AO452" s="211"/>
      <c r="AP452" s="436"/>
      <c r="AQ452" s="146"/>
      <c r="AR452" s="211"/>
      <c r="AS452" s="211"/>
      <c r="AT452" s="211"/>
      <c r="AU452" s="84"/>
      <c r="AV452" s="211"/>
      <c r="AW452" s="211"/>
      <c r="AX452" s="211"/>
      <c r="AY452" s="211"/>
      <c r="AZ452" s="84"/>
      <c r="BA452" s="211"/>
      <c r="BB452" s="211"/>
      <c r="BC452" s="211"/>
      <c r="BD452" s="211"/>
      <c r="BE452" s="84"/>
      <c r="BF452" s="211"/>
      <c r="BG452" s="451"/>
    </row>
    <row r="453" spans="1:59" ht="12.75">
      <c r="A453" s="211"/>
      <c r="B453" s="449"/>
      <c r="C453" s="450"/>
      <c r="D453" s="211"/>
      <c r="E453" s="211"/>
      <c r="F453" s="211"/>
      <c r="G453" s="84"/>
      <c r="H453" s="211"/>
      <c r="I453" s="211"/>
      <c r="J453" s="211"/>
      <c r="K453" s="211"/>
      <c r="L453" s="84"/>
      <c r="M453" s="211"/>
      <c r="N453" s="211"/>
      <c r="O453" s="211"/>
      <c r="P453" s="211"/>
      <c r="Q453" s="84"/>
      <c r="R453" s="211"/>
      <c r="S453" s="211"/>
      <c r="T453" s="211"/>
      <c r="U453" s="211"/>
      <c r="V453" s="84"/>
      <c r="W453" s="211"/>
      <c r="X453" s="211"/>
      <c r="Y453" s="211"/>
      <c r="Z453" s="211"/>
      <c r="AA453" s="84"/>
      <c r="AB453" s="146"/>
      <c r="AC453" s="211"/>
      <c r="AD453" s="211"/>
      <c r="AE453" s="211"/>
      <c r="AF453" s="84"/>
      <c r="AG453" s="146"/>
      <c r="AH453" s="211"/>
      <c r="AI453" s="211"/>
      <c r="AJ453" s="211"/>
      <c r="AK453" s="84"/>
      <c r="AL453" s="146"/>
      <c r="AM453" s="211"/>
      <c r="AN453" s="211"/>
      <c r="AO453" s="211"/>
      <c r="AP453" s="436"/>
      <c r="AQ453" s="146"/>
      <c r="AR453" s="211"/>
      <c r="AS453" s="211"/>
      <c r="AT453" s="211"/>
      <c r="AU453" s="84"/>
      <c r="AV453" s="211"/>
      <c r="AW453" s="211"/>
      <c r="AX453" s="211"/>
      <c r="AY453" s="211"/>
      <c r="AZ453" s="84"/>
      <c r="BA453" s="211"/>
      <c r="BB453" s="211"/>
      <c r="BC453" s="211"/>
      <c r="BD453" s="211"/>
      <c r="BE453" s="84"/>
      <c r="BF453" s="211"/>
      <c r="BG453" s="451"/>
    </row>
    <row r="454" spans="1:59" ht="12.75">
      <c r="A454" s="211"/>
      <c r="B454" s="449"/>
      <c r="C454" s="450"/>
      <c r="D454" s="211"/>
      <c r="E454" s="211"/>
      <c r="F454" s="211"/>
      <c r="G454" s="84"/>
      <c r="H454" s="211"/>
      <c r="I454" s="211"/>
      <c r="J454" s="211"/>
      <c r="K454" s="211"/>
      <c r="L454" s="84"/>
      <c r="M454" s="211"/>
      <c r="N454" s="211"/>
      <c r="O454" s="211"/>
      <c r="P454" s="211"/>
      <c r="Q454" s="84"/>
      <c r="R454" s="211"/>
      <c r="S454" s="211"/>
      <c r="T454" s="211"/>
      <c r="U454" s="211"/>
      <c r="V454" s="84"/>
      <c r="W454" s="211"/>
      <c r="X454" s="211"/>
      <c r="Y454" s="211"/>
      <c r="Z454" s="211"/>
      <c r="AA454" s="84"/>
      <c r="AB454" s="146"/>
      <c r="AC454" s="211"/>
      <c r="AD454" s="211"/>
      <c r="AE454" s="211"/>
      <c r="AF454" s="84"/>
      <c r="AG454" s="146"/>
      <c r="AH454" s="211"/>
      <c r="AI454" s="211"/>
      <c r="AJ454" s="211"/>
      <c r="AK454" s="84"/>
      <c r="AL454" s="146"/>
      <c r="AM454" s="211"/>
      <c r="AN454" s="211"/>
      <c r="AO454" s="211"/>
      <c r="AP454" s="436"/>
      <c r="AQ454" s="146"/>
      <c r="AR454" s="211"/>
      <c r="AS454" s="211"/>
      <c r="AT454" s="211"/>
      <c r="AU454" s="84"/>
      <c r="AV454" s="211"/>
      <c r="AW454" s="211"/>
      <c r="AX454" s="211"/>
      <c r="AY454" s="211"/>
      <c r="AZ454" s="84"/>
      <c r="BA454" s="211"/>
      <c r="BB454" s="211"/>
      <c r="BC454" s="211"/>
      <c r="BD454" s="211"/>
      <c r="BE454" s="84"/>
      <c r="BF454" s="211"/>
      <c r="BG454" s="451"/>
    </row>
    <row r="455" spans="1:59" ht="12.75">
      <c r="A455" s="211"/>
      <c r="B455" s="449"/>
      <c r="C455" s="450"/>
      <c r="D455" s="211"/>
      <c r="E455" s="211"/>
      <c r="F455" s="211"/>
      <c r="G455" s="84"/>
      <c r="H455" s="211"/>
      <c r="I455" s="211"/>
      <c r="J455" s="211"/>
      <c r="K455" s="211"/>
      <c r="L455" s="84"/>
      <c r="M455" s="211"/>
      <c r="N455" s="211"/>
      <c r="O455" s="211"/>
      <c r="P455" s="211"/>
      <c r="Q455" s="84"/>
      <c r="R455" s="211"/>
      <c r="S455" s="211"/>
      <c r="T455" s="211"/>
      <c r="U455" s="211"/>
      <c r="V455" s="84"/>
      <c r="W455" s="211"/>
      <c r="X455" s="211"/>
      <c r="Y455" s="211"/>
      <c r="Z455" s="211"/>
      <c r="AA455" s="84"/>
      <c r="AB455" s="146"/>
      <c r="AC455" s="211"/>
      <c r="AD455" s="211"/>
      <c r="AE455" s="211"/>
      <c r="AF455" s="84"/>
      <c r="AG455" s="146"/>
      <c r="AH455" s="211"/>
      <c r="AI455" s="211"/>
      <c r="AJ455" s="211"/>
      <c r="AK455" s="84"/>
      <c r="AL455" s="146"/>
      <c r="AM455" s="211"/>
      <c r="AN455" s="211"/>
      <c r="AO455" s="211"/>
      <c r="AP455" s="436"/>
      <c r="AQ455" s="146"/>
      <c r="AR455" s="211"/>
      <c r="AS455" s="211"/>
      <c r="AT455" s="211"/>
      <c r="AU455" s="84"/>
      <c r="AV455" s="211"/>
      <c r="AW455" s="211"/>
      <c r="AX455" s="211"/>
      <c r="AY455" s="211"/>
      <c r="AZ455" s="84"/>
      <c r="BA455" s="211"/>
      <c r="BB455" s="211"/>
      <c r="BC455" s="211"/>
      <c r="BD455" s="211"/>
      <c r="BE455" s="84"/>
      <c r="BF455" s="211"/>
      <c r="BG455" s="451"/>
    </row>
    <row r="456" spans="1:59" ht="12.75">
      <c r="A456" s="211"/>
      <c r="B456" s="449"/>
      <c r="C456" s="450"/>
      <c r="D456" s="211"/>
      <c r="E456" s="211"/>
      <c r="F456" s="211"/>
      <c r="G456" s="84"/>
      <c r="H456" s="211"/>
      <c r="I456" s="211"/>
      <c r="J456" s="211"/>
      <c r="K456" s="211"/>
      <c r="L456" s="84"/>
      <c r="M456" s="211"/>
      <c r="N456" s="211"/>
      <c r="O456" s="211"/>
      <c r="P456" s="211"/>
      <c r="Q456" s="84"/>
      <c r="R456" s="211"/>
      <c r="S456" s="211"/>
      <c r="T456" s="211"/>
      <c r="U456" s="211"/>
      <c r="V456" s="84"/>
      <c r="W456" s="211"/>
      <c r="X456" s="211"/>
      <c r="Y456" s="211"/>
      <c r="Z456" s="211"/>
      <c r="AA456" s="84"/>
      <c r="AB456" s="146"/>
      <c r="AC456" s="211"/>
      <c r="AD456" s="211"/>
      <c r="AE456" s="211"/>
      <c r="AF456" s="84"/>
      <c r="AG456" s="146"/>
      <c r="AH456" s="211"/>
      <c r="AI456" s="211"/>
      <c r="AJ456" s="211"/>
      <c r="AK456" s="84"/>
      <c r="AL456" s="146"/>
      <c r="AM456" s="211"/>
      <c r="AN456" s="211"/>
      <c r="AO456" s="211"/>
      <c r="AP456" s="436"/>
      <c r="AQ456" s="146"/>
      <c r="AR456" s="211"/>
      <c r="AS456" s="211"/>
      <c r="AT456" s="211"/>
      <c r="AU456" s="84"/>
      <c r="AV456" s="211"/>
      <c r="AW456" s="211"/>
      <c r="AX456" s="211"/>
      <c r="AY456" s="211"/>
      <c r="AZ456" s="84"/>
      <c r="BA456" s="211"/>
      <c r="BB456" s="211"/>
      <c r="BC456" s="211"/>
      <c r="BD456" s="211"/>
      <c r="BE456" s="84"/>
      <c r="BF456" s="211"/>
      <c r="BG456" s="451"/>
    </row>
    <row r="457" spans="1:59" ht="12.75">
      <c r="A457" s="211"/>
      <c r="B457" s="449"/>
      <c r="C457" s="450"/>
      <c r="D457" s="211"/>
      <c r="E457" s="211"/>
      <c r="F457" s="211"/>
      <c r="G457" s="84"/>
      <c r="H457" s="211"/>
      <c r="I457" s="211"/>
      <c r="J457" s="211"/>
      <c r="K457" s="211"/>
      <c r="L457" s="84"/>
      <c r="M457" s="211"/>
      <c r="N457" s="211"/>
      <c r="O457" s="211"/>
      <c r="P457" s="211"/>
      <c r="Q457" s="84"/>
      <c r="R457" s="211"/>
      <c r="S457" s="211"/>
      <c r="T457" s="211"/>
      <c r="U457" s="211"/>
      <c r="V457" s="84"/>
      <c r="W457" s="211"/>
      <c r="X457" s="211"/>
      <c r="Y457" s="211"/>
      <c r="Z457" s="211"/>
      <c r="AA457" s="84"/>
      <c r="AB457" s="146"/>
      <c r="AC457" s="211"/>
      <c r="AD457" s="211"/>
      <c r="AE457" s="211"/>
      <c r="AF457" s="84"/>
      <c r="AG457" s="146"/>
      <c r="AH457" s="211"/>
      <c r="AI457" s="211"/>
      <c r="AJ457" s="211"/>
      <c r="AK457" s="84"/>
      <c r="AL457" s="146"/>
      <c r="AM457" s="211"/>
      <c r="AN457" s="211"/>
      <c r="AO457" s="211"/>
      <c r="AP457" s="436"/>
      <c r="AQ457" s="146"/>
      <c r="AR457" s="211"/>
      <c r="AS457" s="211"/>
      <c r="AT457" s="211"/>
      <c r="AU457" s="84"/>
      <c r="AV457" s="211"/>
      <c r="AW457" s="211"/>
      <c r="AX457" s="211"/>
      <c r="AY457" s="211"/>
      <c r="AZ457" s="84"/>
      <c r="BA457" s="211"/>
      <c r="BB457" s="211"/>
      <c r="BC457" s="211"/>
      <c r="BD457" s="211"/>
      <c r="BE457" s="84"/>
      <c r="BF457" s="211"/>
      <c r="BG457" s="451"/>
    </row>
    <row r="458" spans="1:59" ht="12.75">
      <c r="A458" s="211"/>
      <c r="B458" s="449"/>
      <c r="C458" s="450"/>
      <c r="D458" s="211"/>
      <c r="E458" s="211"/>
      <c r="F458" s="211"/>
      <c r="G458" s="84"/>
      <c r="H458" s="211"/>
      <c r="I458" s="211"/>
      <c r="J458" s="211"/>
      <c r="K458" s="211"/>
      <c r="L458" s="84"/>
      <c r="M458" s="211"/>
      <c r="N458" s="211"/>
      <c r="O458" s="211"/>
      <c r="P458" s="211"/>
      <c r="Q458" s="84"/>
      <c r="R458" s="211"/>
      <c r="S458" s="211"/>
      <c r="T458" s="211"/>
      <c r="U458" s="211"/>
      <c r="V458" s="84"/>
      <c r="W458" s="211"/>
      <c r="X458" s="211"/>
      <c r="Y458" s="211"/>
      <c r="Z458" s="211"/>
      <c r="AA458" s="84"/>
      <c r="AB458" s="146"/>
      <c r="AC458" s="211"/>
      <c r="AD458" s="211"/>
      <c r="AE458" s="211"/>
      <c r="AF458" s="84"/>
      <c r="AG458" s="146"/>
      <c r="AH458" s="211"/>
      <c r="AI458" s="211"/>
      <c r="AJ458" s="211"/>
      <c r="AK458" s="84"/>
      <c r="AL458" s="146"/>
      <c r="AM458" s="211"/>
      <c r="AN458" s="211"/>
      <c r="AO458" s="211"/>
      <c r="AP458" s="436"/>
      <c r="AQ458" s="146"/>
      <c r="AR458" s="211"/>
      <c r="AS458" s="211"/>
      <c r="AT458" s="211"/>
      <c r="AU458" s="84"/>
      <c r="AV458" s="211"/>
      <c r="AW458" s="211"/>
      <c r="AX458" s="211"/>
      <c r="AY458" s="211"/>
      <c r="AZ458" s="84"/>
      <c r="BA458" s="211"/>
      <c r="BB458" s="211"/>
      <c r="BC458" s="211"/>
      <c r="BD458" s="211"/>
      <c r="BE458" s="84"/>
      <c r="BF458" s="211"/>
      <c r="BG458" s="451"/>
    </row>
    <row r="459" spans="1:59" ht="12.75">
      <c r="A459" s="211"/>
      <c r="B459" s="449"/>
      <c r="C459" s="450"/>
      <c r="D459" s="211"/>
      <c r="E459" s="211"/>
      <c r="F459" s="211"/>
      <c r="G459" s="84"/>
      <c r="H459" s="211"/>
      <c r="I459" s="211"/>
      <c r="J459" s="211"/>
      <c r="K459" s="211"/>
      <c r="L459" s="84"/>
      <c r="M459" s="211"/>
      <c r="N459" s="211"/>
      <c r="O459" s="211"/>
      <c r="P459" s="211"/>
      <c r="Q459" s="84"/>
      <c r="R459" s="211"/>
      <c r="S459" s="211"/>
      <c r="T459" s="211"/>
      <c r="U459" s="211"/>
      <c r="V459" s="84"/>
      <c r="W459" s="211"/>
      <c r="X459" s="211"/>
      <c r="Y459" s="211"/>
      <c r="Z459" s="211"/>
      <c r="AA459" s="84"/>
      <c r="AB459" s="146"/>
      <c r="AC459" s="211"/>
      <c r="AD459" s="211"/>
      <c r="AE459" s="211"/>
      <c r="AF459" s="84"/>
      <c r="AG459" s="146"/>
      <c r="AH459" s="211"/>
      <c r="AI459" s="211"/>
      <c r="AJ459" s="211"/>
      <c r="AK459" s="84"/>
      <c r="AL459" s="146"/>
      <c r="AM459" s="211"/>
      <c r="AN459" s="211"/>
      <c r="AO459" s="211"/>
      <c r="AP459" s="436"/>
      <c r="AQ459" s="146"/>
      <c r="AR459" s="211"/>
      <c r="AS459" s="211"/>
      <c r="AT459" s="211"/>
      <c r="AU459" s="84"/>
      <c r="AV459" s="211"/>
      <c r="AW459" s="211"/>
      <c r="AX459" s="211"/>
      <c r="AY459" s="211"/>
      <c r="AZ459" s="84"/>
      <c r="BA459" s="211"/>
      <c r="BB459" s="211"/>
      <c r="BC459" s="211"/>
      <c r="BD459" s="211"/>
      <c r="BE459" s="84"/>
      <c r="BF459" s="211"/>
      <c r="BG459" s="451"/>
    </row>
    <row r="460" spans="1:59" ht="12.75">
      <c r="A460" s="211"/>
      <c r="B460" s="449"/>
      <c r="C460" s="450"/>
      <c r="D460" s="211"/>
      <c r="E460" s="211"/>
      <c r="F460" s="211"/>
      <c r="G460" s="84"/>
      <c r="H460" s="211"/>
      <c r="I460" s="211"/>
      <c r="J460" s="211"/>
      <c r="K460" s="211"/>
      <c r="L460" s="84"/>
      <c r="M460" s="211"/>
      <c r="N460" s="211"/>
      <c r="O460" s="211"/>
      <c r="P460" s="211"/>
      <c r="Q460" s="84"/>
      <c r="R460" s="211"/>
      <c r="S460" s="211"/>
      <c r="T460" s="211"/>
      <c r="U460" s="211"/>
      <c r="V460" s="84"/>
      <c r="W460" s="211"/>
      <c r="X460" s="211"/>
      <c r="Y460" s="211"/>
      <c r="Z460" s="211"/>
      <c r="AA460" s="84"/>
      <c r="AB460" s="146"/>
      <c r="AC460" s="211"/>
      <c r="AD460" s="211"/>
      <c r="AE460" s="211"/>
      <c r="AF460" s="84"/>
      <c r="AG460" s="146"/>
      <c r="AH460" s="211"/>
      <c r="AI460" s="211"/>
      <c r="AJ460" s="211"/>
      <c r="AK460" s="84"/>
      <c r="AL460" s="146"/>
      <c r="AM460" s="211"/>
      <c r="AN460" s="211"/>
      <c r="AO460" s="211"/>
      <c r="AP460" s="436"/>
      <c r="AQ460" s="146"/>
      <c r="AR460" s="211"/>
      <c r="AS460" s="211"/>
      <c r="AT460" s="211"/>
      <c r="AU460" s="84"/>
      <c r="AV460" s="211"/>
      <c r="AW460" s="211"/>
      <c r="AX460" s="211"/>
      <c r="AY460" s="211"/>
      <c r="AZ460" s="84"/>
      <c r="BA460" s="211"/>
      <c r="BB460" s="211"/>
      <c r="BC460" s="211"/>
      <c r="BD460" s="211"/>
      <c r="BE460" s="84"/>
      <c r="BF460" s="211"/>
      <c r="BG460" s="451"/>
    </row>
    <row r="461" spans="1:59" ht="12.75">
      <c r="A461" s="211"/>
      <c r="B461" s="449"/>
      <c r="C461" s="450"/>
      <c r="D461" s="211"/>
      <c r="E461" s="211"/>
      <c r="F461" s="211"/>
      <c r="G461" s="84"/>
      <c r="H461" s="211"/>
      <c r="I461" s="211"/>
      <c r="J461" s="211"/>
      <c r="K461" s="211"/>
      <c r="L461" s="84"/>
      <c r="M461" s="211"/>
      <c r="N461" s="211"/>
      <c r="O461" s="211"/>
      <c r="P461" s="211"/>
      <c r="Q461" s="84"/>
      <c r="R461" s="211"/>
      <c r="S461" s="211"/>
      <c r="T461" s="211"/>
      <c r="U461" s="211"/>
      <c r="V461" s="84"/>
      <c r="W461" s="211"/>
      <c r="X461" s="211"/>
      <c r="Y461" s="211"/>
      <c r="Z461" s="211"/>
      <c r="AA461" s="84"/>
      <c r="AB461" s="146"/>
      <c r="AC461" s="211"/>
      <c r="AD461" s="211"/>
      <c r="AE461" s="211"/>
      <c r="AF461" s="84"/>
      <c r="AG461" s="146"/>
      <c r="AH461" s="211"/>
      <c r="AI461" s="211"/>
      <c r="AJ461" s="211"/>
      <c r="AK461" s="84"/>
      <c r="AL461" s="146"/>
      <c r="AM461" s="211"/>
      <c r="AN461" s="211"/>
      <c r="AO461" s="211"/>
      <c r="AP461" s="436"/>
      <c r="AQ461" s="146"/>
      <c r="AR461" s="211"/>
      <c r="AS461" s="211"/>
      <c r="AT461" s="211"/>
      <c r="AU461" s="84"/>
      <c r="AV461" s="211"/>
      <c r="AW461" s="211"/>
      <c r="AX461" s="211"/>
      <c r="AY461" s="211"/>
      <c r="AZ461" s="84"/>
      <c r="BA461" s="211"/>
      <c r="BB461" s="211"/>
      <c r="BC461" s="211"/>
      <c r="BD461" s="211"/>
      <c r="BE461" s="84"/>
      <c r="BF461" s="211"/>
      <c r="BG461" s="451"/>
    </row>
    <row r="462" spans="1:59" ht="12.75">
      <c r="A462" s="211"/>
      <c r="B462" s="449"/>
      <c r="C462" s="450"/>
      <c r="D462" s="211"/>
      <c r="E462" s="211"/>
      <c r="F462" s="211"/>
      <c r="G462" s="84"/>
      <c r="H462" s="211"/>
      <c r="I462" s="211"/>
      <c r="J462" s="211"/>
      <c r="K462" s="211"/>
      <c r="L462" s="84"/>
      <c r="M462" s="211"/>
      <c r="N462" s="211"/>
      <c r="O462" s="211"/>
      <c r="P462" s="211"/>
      <c r="Q462" s="84"/>
      <c r="R462" s="211"/>
      <c r="S462" s="211"/>
      <c r="T462" s="211"/>
      <c r="U462" s="211"/>
      <c r="V462" s="84"/>
      <c r="W462" s="211"/>
      <c r="X462" s="211"/>
      <c r="Y462" s="211"/>
      <c r="Z462" s="211"/>
      <c r="AA462" s="84"/>
      <c r="AB462" s="146"/>
      <c r="AC462" s="211"/>
      <c r="AD462" s="211"/>
      <c r="AE462" s="211"/>
      <c r="AF462" s="84"/>
      <c r="AG462" s="146"/>
      <c r="AH462" s="211"/>
      <c r="AI462" s="211"/>
      <c r="AJ462" s="211"/>
      <c r="AK462" s="84"/>
      <c r="AL462" s="146"/>
      <c r="AM462" s="211"/>
      <c r="AN462" s="211"/>
      <c r="AO462" s="211"/>
      <c r="AP462" s="436"/>
      <c r="AQ462" s="146"/>
      <c r="AR462" s="211"/>
      <c r="AS462" s="211"/>
      <c r="AT462" s="211"/>
      <c r="AU462" s="84"/>
      <c r="AV462" s="211"/>
      <c r="AW462" s="211"/>
      <c r="AX462" s="211"/>
      <c r="AY462" s="211"/>
      <c r="AZ462" s="84"/>
      <c r="BA462" s="211"/>
      <c r="BB462" s="211"/>
      <c r="BC462" s="211"/>
      <c r="BD462" s="211"/>
      <c r="BE462" s="84"/>
      <c r="BF462" s="211"/>
      <c r="BG462" s="451"/>
    </row>
    <row r="463" spans="1:59" ht="12.75">
      <c r="A463" s="211"/>
      <c r="B463" s="449"/>
      <c r="C463" s="450"/>
      <c r="D463" s="211"/>
      <c r="E463" s="211"/>
      <c r="F463" s="211"/>
      <c r="G463" s="84"/>
      <c r="H463" s="211"/>
      <c r="I463" s="211"/>
      <c r="J463" s="211"/>
      <c r="K463" s="211"/>
      <c r="L463" s="84"/>
      <c r="M463" s="211"/>
      <c r="N463" s="211"/>
      <c r="O463" s="211"/>
      <c r="P463" s="211"/>
      <c r="Q463" s="84"/>
      <c r="R463" s="211"/>
      <c r="S463" s="211"/>
      <c r="T463" s="211"/>
      <c r="U463" s="211"/>
      <c r="V463" s="84"/>
      <c r="W463" s="211"/>
      <c r="X463" s="211"/>
      <c r="Y463" s="211"/>
      <c r="Z463" s="211"/>
      <c r="AA463" s="84"/>
      <c r="AB463" s="146"/>
      <c r="AC463" s="211"/>
      <c r="AD463" s="211"/>
      <c r="AE463" s="211"/>
      <c r="AF463" s="84"/>
      <c r="AG463" s="146"/>
      <c r="AH463" s="211"/>
      <c r="AI463" s="211"/>
      <c r="AJ463" s="211"/>
      <c r="AK463" s="84"/>
      <c r="AL463" s="146"/>
      <c r="AM463" s="211"/>
      <c r="AN463" s="211"/>
      <c r="AO463" s="211"/>
      <c r="AP463" s="436"/>
      <c r="AQ463" s="146"/>
      <c r="AR463" s="211"/>
      <c r="AS463" s="211"/>
      <c r="AT463" s="211"/>
      <c r="AU463" s="84"/>
      <c r="AV463" s="211"/>
      <c r="AW463" s="211"/>
      <c r="AX463" s="211"/>
      <c r="AY463" s="211"/>
      <c r="AZ463" s="84"/>
      <c r="BA463" s="211"/>
      <c r="BB463" s="211"/>
      <c r="BC463" s="211"/>
      <c r="BD463" s="211"/>
      <c r="BE463" s="84"/>
      <c r="BF463" s="211"/>
      <c r="BG463" s="451"/>
    </row>
    <row r="464" spans="1:59" ht="12.75">
      <c r="A464" s="211"/>
      <c r="B464" s="449"/>
      <c r="C464" s="450"/>
      <c r="D464" s="211"/>
      <c r="E464" s="211"/>
      <c r="F464" s="211"/>
      <c r="G464" s="84"/>
      <c r="H464" s="211"/>
      <c r="I464" s="211"/>
      <c r="J464" s="211"/>
      <c r="K464" s="211"/>
      <c r="L464" s="84"/>
      <c r="M464" s="211"/>
      <c r="N464" s="211"/>
      <c r="O464" s="211"/>
      <c r="P464" s="211"/>
      <c r="Q464" s="84"/>
      <c r="R464" s="211"/>
      <c r="S464" s="211"/>
      <c r="T464" s="211"/>
      <c r="U464" s="211"/>
      <c r="V464" s="84"/>
      <c r="W464" s="211"/>
      <c r="X464" s="211"/>
      <c r="Y464" s="211"/>
      <c r="Z464" s="211"/>
      <c r="AA464" s="84"/>
      <c r="AB464" s="146"/>
      <c r="AC464" s="211"/>
      <c r="AD464" s="211"/>
      <c r="AE464" s="211"/>
      <c r="AF464" s="84"/>
      <c r="AG464" s="146"/>
      <c r="AH464" s="211"/>
      <c r="AI464" s="211"/>
      <c r="AJ464" s="211"/>
      <c r="AK464" s="84"/>
      <c r="AL464" s="146"/>
      <c r="AM464" s="211"/>
      <c r="AN464" s="211"/>
      <c r="AO464" s="211"/>
      <c r="AP464" s="436"/>
      <c r="AQ464" s="146"/>
      <c r="AR464" s="211"/>
      <c r="AS464" s="211"/>
      <c r="AT464" s="211"/>
      <c r="AU464" s="84"/>
      <c r="AV464" s="211"/>
      <c r="AW464" s="211"/>
      <c r="AX464" s="211"/>
      <c r="AY464" s="211"/>
      <c r="AZ464" s="84"/>
      <c r="BA464" s="211"/>
      <c r="BB464" s="211"/>
      <c r="BC464" s="211"/>
      <c r="BD464" s="211"/>
      <c r="BE464" s="84"/>
      <c r="BF464" s="211"/>
      <c r="BG464" s="451"/>
    </row>
    <row r="465" spans="1:59" ht="12.75">
      <c r="A465" s="211"/>
      <c r="B465" s="449"/>
      <c r="C465" s="450"/>
      <c r="D465" s="211"/>
      <c r="E465" s="211"/>
      <c r="F465" s="211"/>
      <c r="G465" s="84"/>
      <c r="H465" s="211"/>
      <c r="I465" s="211"/>
      <c r="J465" s="211"/>
      <c r="K465" s="211"/>
      <c r="L465" s="84"/>
      <c r="M465" s="211"/>
      <c r="N465" s="211"/>
      <c r="O465" s="211"/>
      <c r="P465" s="211"/>
      <c r="Q465" s="84"/>
      <c r="R465" s="211"/>
      <c r="S465" s="211"/>
      <c r="T465" s="211"/>
      <c r="U465" s="211"/>
      <c r="V465" s="84"/>
      <c r="W465" s="211"/>
      <c r="X465" s="211"/>
      <c r="Y465" s="211"/>
      <c r="Z465" s="211"/>
      <c r="AA465" s="84"/>
      <c r="AB465" s="146"/>
      <c r="AC465" s="211"/>
      <c r="AD465" s="211"/>
      <c r="AE465" s="211"/>
      <c r="AF465" s="84"/>
      <c r="AG465" s="146"/>
      <c r="AH465" s="211"/>
      <c r="AI465" s="211"/>
      <c r="AJ465" s="211"/>
      <c r="AK465" s="84"/>
      <c r="AL465" s="146"/>
      <c r="AM465" s="211"/>
      <c r="AN465" s="211"/>
      <c r="AO465" s="211"/>
      <c r="AP465" s="436"/>
      <c r="AQ465" s="146"/>
      <c r="AR465" s="211"/>
      <c r="AS465" s="211"/>
      <c r="AT465" s="211"/>
      <c r="AU465" s="84"/>
      <c r="AV465" s="211"/>
      <c r="AW465" s="211"/>
      <c r="AX465" s="211"/>
      <c r="AY465" s="211"/>
      <c r="AZ465" s="84"/>
      <c r="BA465" s="211"/>
      <c r="BB465" s="211"/>
      <c r="BC465" s="211"/>
      <c r="BD465" s="211"/>
      <c r="BE465" s="84"/>
      <c r="BF465" s="211"/>
      <c r="BG465" s="451"/>
    </row>
    <row r="466" spans="1:59" ht="12.75">
      <c r="A466" s="211"/>
      <c r="B466" s="449"/>
      <c r="C466" s="450"/>
      <c r="D466" s="211"/>
      <c r="E466" s="211"/>
      <c r="F466" s="211"/>
      <c r="G466" s="84"/>
      <c r="H466" s="211"/>
      <c r="I466" s="211"/>
      <c r="J466" s="211"/>
      <c r="K466" s="211"/>
      <c r="L466" s="84"/>
      <c r="M466" s="211"/>
      <c r="N466" s="211"/>
      <c r="O466" s="211"/>
      <c r="P466" s="211"/>
      <c r="Q466" s="84"/>
      <c r="R466" s="211"/>
      <c r="S466" s="211"/>
      <c r="T466" s="211"/>
      <c r="U466" s="211"/>
      <c r="V466" s="84"/>
      <c r="W466" s="211"/>
      <c r="X466" s="211"/>
      <c r="Y466" s="211"/>
      <c r="Z466" s="211"/>
      <c r="AA466" s="84"/>
      <c r="AB466" s="146"/>
      <c r="AC466" s="211"/>
      <c r="AD466" s="211"/>
      <c r="AE466" s="211"/>
      <c r="AF466" s="84"/>
      <c r="AG466" s="146"/>
      <c r="AH466" s="211"/>
      <c r="AI466" s="211"/>
      <c r="AJ466" s="211"/>
      <c r="AK466" s="84"/>
      <c r="AL466" s="146"/>
      <c r="AM466" s="211"/>
      <c r="AN466" s="211"/>
      <c r="AO466" s="211"/>
      <c r="AP466" s="436"/>
      <c r="AQ466" s="146"/>
      <c r="AR466" s="211"/>
      <c r="AS466" s="211"/>
      <c r="AT466" s="211"/>
      <c r="AU466" s="84"/>
      <c r="AV466" s="211"/>
      <c r="AW466" s="211"/>
      <c r="AX466" s="211"/>
      <c r="AY466" s="211"/>
      <c r="AZ466" s="84"/>
      <c r="BA466" s="211"/>
      <c r="BB466" s="211"/>
      <c r="BC466" s="211"/>
      <c r="BD466" s="211"/>
      <c r="BE466" s="84"/>
      <c r="BF466" s="211"/>
      <c r="BG466" s="451"/>
    </row>
    <row r="467" spans="1:59" ht="12.75">
      <c r="A467" s="211"/>
      <c r="B467" s="449"/>
      <c r="C467" s="450"/>
      <c r="D467" s="211"/>
      <c r="E467" s="211"/>
      <c r="F467" s="211"/>
      <c r="G467" s="84"/>
      <c r="H467" s="211"/>
      <c r="I467" s="211"/>
      <c r="J467" s="211"/>
      <c r="K467" s="211"/>
      <c r="L467" s="84"/>
      <c r="M467" s="211"/>
      <c r="N467" s="211"/>
      <c r="O467" s="211"/>
      <c r="P467" s="211"/>
      <c r="Q467" s="84"/>
      <c r="R467" s="211"/>
      <c r="S467" s="211"/>
      <c r="T467" s="211"/>
      <c r="U467" s="211"/>
      <c r="V467" s="84"/>
      <c r="W467" s="211"/>
      <c r="X467" s="211"/>
      <c r="Y467" s="211"/>
      <c r="Z467" s="211"/>
      <c r="AA467" s="84"/>
      <c r="AB467" s="146"/>
      <c r="AC467" s="211"/>
      <c r="AD467" s="211"/>
      <c r="AE467" s="211"/>
      <c r="AF467" s="84"/>
      <c r="AG467" s="146"/>
      <c r="AH467" s="211"/>
      <c r="AI467" s="211"/>
      <c r="AJ467" s="211"/>
      <c r="AK467" s="84"/>
      <c r="AL467" s="146"/>
      <c r="AM467" s="211"/>
      <c r="AN467" s="211"/>
      <c r="AO467" s="211"/>
      <c r="AP467" s="436"/>
      <c r="AQ467" s="146"/>
      <c r="AR467" s="211"/>
      <c r="AS467" s="211"/>
      <c r="AT467" s="211"/>
      <c r="AU467" s="84"/>
      <c r="AV467" s="211"/>
      <c r="AW467" s="211"/>
      <c r="AX467" s="211"/>
      <c r="AY467" s="211"/>
      <c r="AZ467" s="84"/>
      <c r="BA467" s="211"/>
      <c r="BB467" s="211"/>
      <c r="BC467" s="211"/>
      <c r="BD467" s="211"/>
      <c r="BE467" s="84"/>
      <c r="BF467" s="211"/>
      <c r="BG467" s="451"/>
    </row>
    <row r="468" spans="1:59" ht="12.75">
      <c r="A468" s="211"/>
      <c r="B468" s="449"/>
      <c r="C468" s="450"/>
      <c r="D468" s="211"/>
      <c r="E468" s="211"/>
      <c r="F468" s="211"/>
      <c r="G468" s="84"/>
      <c r="H468" s="211"/>
      <c r="I468" s="211"/>
      <c r="J468" s="211"/>
      <c r="K468" s="211"/>
      <c r="L468" s="84"/>
      <c r="M468" s="211"/>
      <c r="N468" s="211"/>
      <c r="O468" s="211"/>
      <c r="P468" s="211"/>
      <c r="Q468" s="84"/>
      <c r="R468" s="211"/>
      <c r="S468" s="211"/>
      <c r="T468" s="211"/>
      <c r="U468" s="211"/>
      <c r="V468" s="84"/>
      <c r="W468" s="211"/>
      <c r="X468" s="211"/>
      <c r="Y468" s="211"/>
      <c r="Z468" s="211"/>
      <c r="AA468" s="84"/>
      <c r="AB468" s="146"/>
      <c r="AC468" s="211"/>
      <c r="AD468" s="211"/>
      <c r="AE468" s="211"/>
      <c r="AF468" s="84"/>
      <c r="AG468" s="146"/>
      <c r="AH468" s="211"/>
      <c r="AI468" s="211"/>
      <c r="AJ468" s="211"/>
      <c r="AK468" s="84"/>
      <c r="AL468" s="146"/>
      <c r="AM468" s="211"/>
      <c r="AN468" s="211"/>
      <c r="AO468" s="211"/>
      <c r="AP468" s="436"/>
      <c r="AQ468" s="146"/>
      <c r="AR468" s="211"/>
      <c r="AS468" s="211"/>
      <c r="AT468" s="211"/>
      <c r="AU468" s="84"/>
      <c r="AV468" s="211"/>
      <c r="AW468" s="211"/>
      <c r="AX468" s="211"/>
      <c r="AY468" s="211"/>
      <c r="AZ468" s="84"/>
      <c r="BA468" s="211"/>
      <c r="BB468" s="211"/>
      <c r="BC468" s="211"/>
      <c r="BD468" s="211"/>
      <c r="BE468" s="84"/>
      <c r="BF468" s="211"/>
      <c r="BG468" s="451"/>
    </row>
    <row r="469" spans="1:59" ht="12.75">
      <c r="A469" s="211"/>
      <c r="B469" s="449"/>
      <c r="C469" s="450"/>
      <c r="D469" s="211"/>
      <c r="E469" s="211"/>
      <c r="F469" s="211"/>
      <c r="G469" s="84"/>
      <c r="H469" s="211"/>
      <c r="I469" s="211"/>
      <c r="J469" s="211"/>
      <c r="K469" s="211"/>
      <c r="L469" s="84"/>
      <c r="M469" s="211"/>
      <c r="N469" s="211"/>
      <c r="O469" s="211"/>
      <c r="P469" s="211"/>
      <c r="Q469" s="84"/>
      <c r="R469" s="211"/>
      <c r="S469" s="211"/>
      <c r="T469" s="211"/>
      <c r="U469" s="211"/>
      <c r="V469" s="84"/>
      <c r="W469" s="211"/>
      <c r="X469" s="211"/>
      <c r="Y469" s="211"/>
      <c r="Z469" s="211"/>
      <c r="AA469" s="84"/>
      <c r="AB469" s="146"/>
      <c r="AC469" s="211"/>
      <c r="AD469" s="211"/>
      <c r="AE469" s="211"/>
      <c r="AF469" s="84"/>
      <c r="AG469" s="146"/>
      <c r="AH469" s="211"/>
      <c r="AI469" s="211"/>
      <c r="AJ469" s="211"/>
      <c r="AK469" s="84"/>
      <c r="AL469" s="146"/>
      <c r="AM469" s="211"/>
      <c r="AN469" s="211"/>
      <c r="AO469" s="211"/>
      <c r="AP469" s="436"/>
      <c r="AQ469" s="146"/>
      <c r="AR469" s="211"/>
      <c r="AS469" s="211"/>
      <c r="AT469" s="211"/>
      <c r="AU469" s="84"/>
      <c r="AV469" s="211"/>
      <c r="AW469" s="211"/>
      <c r="AX469" s="211"/>
      <c r="AY469" s="211"/>
      <c r="AZ469" s="84"/>
      <c r="BA469" s="211"/>
      <c r="BB469" s="211"/>
      <c r="BC469" s="211"/>
      <c r="BD469" s="211"/>
      <c r="BE469" s="84"/>
      <c r="BF469" s="211"/>
      <c r="BG469" s="451"/>
    </row>
    <row r="470" spans="1:59" ht="12.75">
      <c r="A470" s="211"/>
      <c r="B470" s="449"/>
      <c r="C470" s="450"/>
      <c r="D470" s="211"/>
      <c r="E470" s="211"/>
      <c r="F470" s="211"/>
      <c r="G470" s="84"/>
      <c r="H470" s="211"/>
      <c r="I470" s="211"/>
      <c r="J470" s="211"/>
      <c r="K470" s="211"/>
      <c r="L470" s="84"/>
      <c r="M470" s="211"/>
      <c r="N470" s="211"/>
      <c r="O470" s="211"/>
      <c r="P470" s="211"/>
      <c r="Q470" s="84"/>
      <c r="R470" s="211"/>
      <c r="S470" s="211"/>
      <c r="T470" s="211"/>
      <c r="U470" s="211"/>
      <c r="V470" s="84"/>
      <c r="W470" s="211"/>
      <c r="X470" s="211"/>
      <c r="Y470" s="211"/>
      <c r="Z470" s="211"/>
      <c r="AA470" s="84"/>
      <c r="AB470" s="146"/>
      <c r="AC470" s="211"/>
      <c r="AD470" s="211"/>
      <c r="AE470" s="211"/>
      <c r="AF470" s="84"/>
      <c r="AG470" s="146"/>
      <c r="AH470" s="211"/>
      <c r="AI470" s="211"/>
      <c r="AJ470" s="211"/>
      <c r="AK470" s="84"/>
      <c r="AL470" s="146"/>
      <c r="AM470" s="211"/>
      <c r="AN470" s="211"/>
      <c r="AO470" s="211"/>
      <c r="AP470" s="436"/>
      <c r="AQ470" s="146"/>
      <c r="AR470" s="211"/>
      <c r="AS470" s="211"/>
      <c r="AT470" s="211"/>
      <c r="AU470" s="84"/>
      <c r="AV470" s="211"/>
      <c r="AW470" s="211"/>
      <c r="AX470" s="211"/>
      <c r="AY470" s="211"/>
      <c r="AZ470" s="84"/>
      <c r="BA470" s="211"/>
      <c r="BB470" s="211"/>
      <c r="BC470" s="211"/>
      <c r="BD470" s="211"/>
      <c r="BE470" s="84"/>
      <c r="BF470" s="211"/>
      <c r="BG470" s="451"/>
    </row>
    <row r="471" spans="1:59" ht="12.75">
      <c r="A471" s="211"/>
      <c r="B471" s="449"/>
      <c r="C471" s="450"/>
      <c r="D471" s="211"/>
      <c r="E471" s="211"/>
      <c r="F471" s="211"/>
      <c r="G471" s="84"/>
      <c r="H471" s="211"/>
      <c r="I471" s="211"/>
      <c r="J471" s="211"/>
      <c r="K471" s="211"/>
      <c r="L471" s="84"/>
      <c r="M471" s="211"/>
      <c r="N471" s="211"/>
      <c r="O471" s="211"/>
      <c r="P471" s="211"/>
      <c r="Q471" s="84"/>
      <c r="R471" s="211"/>
      <c r="S471" s="211"/>
      <c r="T471" s="211"/>
      <c r="U471" s="211"/>
      <c r="V471" s="84"/>
      <c r="W471" s="211"/>
      <c r="X471" s="211"/>
      <c r="Y471" s="211"/>
      <c r="Z471" s="211"/>
      <c r="AA471" s="84"/>
      <c r="AB471" s="146"/>
      <c r="AC471" s="211"/>
      <c r="AD471" s="211"/>
      <c r="AE471" s="211"/>
      <c r="AF471" s="84"/>
      <c r="AG471" s="146"/>
      <c r="AH471" s="211"/>
      <c r="AI471" s="211"/>
      <c r="AJ471" s="211"/>
      <c r="AK471" s="84"/>
      <c r="AL471" s="146"/>
      <c r="AM471" s="211"/>
      <c r="AN471" s="211"/>
      <c r="AO471" s="211"/>
      <c r="AP471" s="436"/>
      <c r="AQ471" s="146"/>
      <c r="AR471" s="211"/>
      <c r="AS471" s="211"/>
      <c r="AT471" s="211"/>
      <c r="AU471" s="84"/>
      <c r="AV471" s="211"/>
      <c r="AW471" s="211"/>
      <c r="AX471" s="211"/>
      <c r="AY471" s="211"/>
      <c r="AZ471" s="84"/>
      <c r="BA471" s="211"/>
      <c r="BB471" s="211"/>
      <c r="BC471" s="211"/>
      <c r="BD471" s="211"/>
      <c r="BE471" s="84"/>
      <c r="BF471" s="211"/>
      <c r="BG471" s="451"/>
    </row>
    <row r="472" spans="1:59" ht="12.75">
      <c r="A472" s="211"/>
      <c r="B472" s="449"/>
      <c r="C472" s="450"/>
      <c r="D472" s="211"/>
      <c r="E472" s="211"/>
      <c r="F472" s="211"/>
      <c r="G472" s="84"/>
      <c r="H472" s="211"/>
      <c r="I472" s="211"/>
      <c r="J472" s="211"/>
      <c r="K472" s="211"/>
      <c r="L472" s="84"/>
      <c r="M472" s="211"/>
      <c r="N472" s="211"/>
      <c r="O472" s="211"/>
      <c r="P472" s="211"/>
      <c r="Q472" s="84"/>
      <c r="R472" s="211"/>
      <c r="S472" s="211"/>
      <c r="T472" s="211"/>
      <c r="U472" s="211"/>
      <c r="V472" s="84"/>
      <c r="W472" s="211"/>
      <c r="X472" s="211"/>
      <c r="Y472" s="211"/>
      <c r="Z472" s="211"/>
      <c r="AA472" s="84"/>
      <c r="AB472" s="146"/>
      <c r="AC472" s="211"/>
      <c r="AD472" s="211"/>
      <c r="AE472" s="211"/>
      <c r="AF472" s="84"/>
      <c r="AG472" s="146"/>
      <c r="AH472" s="211"/>
      <c r="AI472" s="211"/>
      <c r="AJ472" s="211"/>
      <c r="AK472" s="84"/>
      <c r="AL472" s="146"/>
      <c r="AM472" s="211"/>
      <c r="AN472" s="211"/>
      <c r="AO472" s="211"/>
      <c r="AP472" s="436"/>
      <c r="AQ472" s="146"/>
      <c r="AR472" s="211"/>
      <c r="AS472" s="211"/>
      <c r="AT472" s="211"/>
      <c r="AU472" s="84"/>
      <c r="AV472" s="211"/>
      <c r="AW472" s="211"/>
      <c r="AX472" s="211"/>
      <c r="AY472" s="211"/>
      <c r="AZ472" s="84"/>
      <c r="BA472" s="211"/>
      <c r="BB472" s="211"/>
      <c r="BC472" s="211"/>
      <c r="BD472" s="211"/>
      <c r="BE472" s="84"/>
      <c r="BF472" s="211"/>
      <c r="BG472" s="451"/>
    </row>
    <row r="473" spans="1:59" ht="12.75">
      <c r="A473" s="211"/>
      <c r="B473" s="449"/>
      <c r="C473" s="450"/>
      <c r="D473" s="211"/>
      <c r="E473" s="211"/>
      <c r="F473" s="211"/>
      <c r="G473" s="84"/>
      <c r="H473" s="211"/>
      <c r="I473" s="211"/>
      <c r="J473" s="211"/>
      <c r="K473" s="211"/>
      <c r="L473" s="84"/>
      <c r="M473" s="211"/>
      <c r="N473" s="211"/>
      <c r="O473" s="211"/>
      <c r="P473" s="211"/>
      <c r="Q473" s="84"/>
      <c r="R473" s="211"/>
      <c r="S473" s="211"/>
      <c r="T473" s="211"/>
      <c r="U473" s="211"/>
      <c r="V473" s="84"/>
      <c r="W473" s="211"/>
      <c r="X473" s="211"/>
      <c r="Y473" s="211"/>
      <c r="Z473" s="211"/>
      <c r="AA473" s="84"/>
      <c r="AB473" s="146"/>
      <c r="AC473" s="211"/>
      <c r="AD473" s="211"/>
      <c r="AE473" s="211"/>
      <c r="AF473" s="84"/>
      <c r="AG473" s="146"/>
      <c r="AH473" s="211"/>
      <c r="AI473" s="211"/>
      <c r="AJ473" s="211"/>
      <c r="AK473" s="84"/>
      <c r="AL473" s="146"/>
      <c r="AM473" s="211"/>
      <c r="AN473" s="211"/>
      <c r="AO473" s="211"/>
      <c r="AP473" s="436"/>
      <c r="AQ473" s="146"/>
      <c r="AR473" s="211"/>
      <c r="AS473" s="211"/>
      <c r="AT473" s="211"/>
      <c r="AU473" s="84"/>
      <c r="AV473" s="211"/>
      <c r="AW473" s="211"/>
      <c r="AX473" s="211"/>
      <c r="AY473" s="211"/>
      <c r="AZ473" s="84"/>
      <c r="BA473" s="211"/>
      <c r="BB473" s="211"/>
      <c r="BC473" s="211"/>
      <c r="BD473" s="211"/>
      <c r="BE473" s="84"/>
      <c r="BF473" s="211"/>
      <c r="BG473" s="451"/>
    </row>
    <row r="474" spans="1:59" ht="12.75">
      <c r="A474" s="211"/>
      <c r="B474" s="449"/>
      <c r="C474" s="450"/>
      <c r="D474" s="211"/>
      <c r="E474" s="211"/>
      <c r="F474" s="211"/>
      <c r="G474" s="84"/>
      <c r="H474" s="211"/>
      <c r="I474" s="211"/>
      <c r="J474" s="211"/>
      <c r="K474" s="211"/>
      <c r="L474" s="84"/>
      <c r="M474" s="211"/>
      <c r="N474" s="211"/>
      <c r="O474" s="211"/>
      <c r="P474" s="211"/>
      <c r="Q474" s="84"/>
      <c r="R474" s="211"/>
      <c r="S474" s="211"/>
      <c r="T474" s="211"/>
      <c r="U474" s="211"/>
      <c r="V474" s="84"/>
      <c r="W474" s="211"/>
      <c r="X474" s="211"/>
      <c r="Y474" s="211"/>
      <c r="Z474" s="211"/>
      <c r="AA474" s="84"/>
      <c r="AB474" s="146"/>
      <c r="AC474" s="211"/>
      <c r="AD474" s="211"/>
      <c r="AE474" s="211"/>
      <c r="AF474" s="84"/>
      <c r="AG474" s="146"/>
      <c r="AH474" s="211"/>
      <c r="AI474" s="211"/>
      <c r="AJ474" s="211"/>
      <c r="AK474" s="84"/>
      <c r="AL474" s="146"/>
      <c r="AM474" s="211"/>
      <c r="AN474" s="211"/>
      <c r="AO474" s="211"/>
      <c r="AP474" s="436"/>
      <c r="AQ474" s="146"/>
      <c r="AR474" s="211"/>
      <c r="AS474" s="211"/>
      <c r="AT474" s="211"/>
      <c r="AU474" s="84"/>
      <c r="AV474" s="211"/>
      <c r="AW474" s="211"/>
      <c r="AX474" s="211"/>
      <c r="AY474" s="211"/>
      <c r="AZ474" s="84"/>
      <c r="BA474" s="211"/>
      <c r="BB474" s="211"/>
      <c r="BC474" s="211"/>
      <c r="BD474" s="211"/>
      <c r="BE474" s="84"/>
      <c r="BF474" s="211"/>
      <c r="BG474" s="451"/>
    </row>
    <row r="475" spans="1:59" ht="12.75">
      <c r="A475" s="211"/>
      <c r="B475" s="449"/>
      <c r="C475" s="450"/>
      <c r="D475" s="211"/>
      <c r="E475" s="211"/>
      <c r="F475" s="211"/>
      <c r="G475" s="84"/>
      <c r="H475" s="211"/>
      <c r="I475" s="211"/>
      <c r="J475" s="211"/>
      <c r="K475" s="211"/>
      <c r="L475" s="84"/>
      <c r="M475" s="211"/>
      <c r="N475" s="211"/>
      <c r="O475" s="211"/>
      <c r="P475" s="211"/>
      <c r="Q475" s="84"/>
      <c r="R475" s="211"/>
      <c r="S475" s="211"/>
      <c r="T475" s="211"/>
      <c r="U475" s="211"/>
      <c r="V475" s="84"/>
      <c r="W475" s="211"/>
      <c r="X475" s="211"/>
      <c r="Y475" s="211"/>
      <c r="Z475" s="211"/>
      <c r="AA475" s="84"/>
      <c r="AB475" s="146"/>
      <c r="AC475" s="211"/>
      <c r="AD475" s="211"/>
      <c r="AE475" s="211"/>
      <c r="AF475" s="84"/>
      <c r="AG475" s="146"/>
      <c r="AH475" s="211"/>
      <c r="AI475" s="211"/>
      <c r="AJ475" s="211"/>
      <c r="AK475" s="84"/>
      <c r="AL475" s="146"/>
      <c r="AM475" s="211"/>
      <c r="AN475" s="211"/>
      <c r="AO475" s="211"/>
      <c r="AP475" s="436"/>
      <c r="AQ475" s="146"/>
      <c r="AR475" s="211"/>
      <c r="AS475" s="211"/>
      <c r="AT475" s="211"/>
      <c r="AU475" s="84"/>
      <c r="AV475" s="211"/>
      <c r="AW475" s="211"/>
      <c r="AX475" s="211"/>
      <c r="AY475" s="211"/>
      <c r="AZ475" s="84"/>
      <c r="BA475" s="211"/>
      <c r="BB475" s="211"/>
      <c r="BC475" s="211"/>
      <c r="BD475" s="211"/>
      <c r="BE475" s="84"/>
      <c r="BF475" s="211"/>
      <c r="BG475" s="451"/>
    </row>
    <row r="476" spans="1:59" ht="12.75">
      <c r="A476" s="211"/>
      <c r="B476" s="449"/>
      <c r="C476" s="450"/>
      <c r="D476" s="211"/>
      <c r="E476" s="211"/>
      <c r="F476" s="211"/>
      <c r="G476" s="84"/>
      <c r="H476" s="211"/>
      <c r="I476" s="211"/>
      <c r="J476" s="211"/>
      <c r="K476" s="211"/>
      <c r="L476" s="84"/>
      <c r="M476" s="211"/>
      <c r="N476" s="211"/>
      <c r="O476" s="211"/>
      <c r="P476" s="211"/>
      <c r="Q476" s="84"/>
      <c r="R476" s="211"/>
      <c r="S476" s="211"/>
      <c r="T476" s="211"/>
      <c r="U476" s="211"/>
      <c r="V476" s="84"/>
      <c r="W476" s="211"/>
      <c r="X476" s="211"/>
      <c r="Y476" s="211"/>
      <c r="Z476" s="211"/>
      <c r="AA476" s="84"/>
      <c r="AB476" s="146"/>
      <c r="AC476" s="211"/>
      <c r="AD476" s="211"/>
      <c r="AE476" s="211"/>
      <c r="AF476" s="84"/>
      <c r="AG476" s="146"/>
      <c r="AH476" s="211"/>
      <c r="AI476" s="211"/>
      <c r="AJ476" s="211"/>
      <c r="AK476" s="84"/>
      <c r="AL476" s="146"/>
      <c r="AM476" s="211"/>
      <c r="AN476" s="211"/>
      <c r="AO476" s="211"/>
      <c r="AP476" s="436"/>
      <c r="AQ476" s="146"/>
      <c r="AR476" s="211"/>
      <c r="AS476" s="211"/>
      <c r="AT476" s="211"/>
      <c r="AU476" s="84"/>
      <c r="AV476" s="211"/>
      <c r="AW476" s="211"/>
      <c r="AX476" s="211"/>
      <c r="AY476" s="211"/>
      <c r="AZ476" s="84"/>
      <c r="BA476" s="211"/>
      <c r="BB476" s="211"/>
      <c r="BC476" s="211"/>
      <c r="BD476" s="211"/>
      <c r="BE476" s="84"/>
      <c r="BF476" s="211"/>
      <c r="BG476" s="451"/>
    </row>
    <row r="477" spans="1:59" ht="12.75">
      <c r="A477" s="211"/>
      <c r="B477" s="449"/>
      <c r="C477" s="450"/>
      <c r="D477" s="211"/>
      <c r="E477" s="211"/>
      <c r="F477" s="211"/>
      <c r="G477" s="84"/>
      <c r="H477" s="211"/>
      <c r="I477" s="211"/>
      <c r="J477" s="211"/>
      <c r="K477" s="211"/>
      <c r="L477" s="84"/>
      <c r="M477" s="211"/>
      <c r="N477" s="211"/>
      <c r="O477" s="211"/>
      <c r="P477" s="211"/>
      <c r="Q477" s="84"/>
      <c r="R477" s="211"/>
      <c r="S477" s="211"/>
      <c r="T477" s="211"/>
      <c r="U477" s="211"/>
      <c r="V477" s="84"/>
      <c r="W477" s="211"/>
      <c r="X477" s="211"/>
      <c r="Y477" s="211"/>
      <c r="Z477" s="211"/>
      <c r="AA477" s="84"/>
      <c r="AB477" s="146"/>
      <c r="AC477" s="211"/>
      <c r="AD477" s="211"/>
      <c r="AE477" s="211"/>
      <c r="AF477" s="84"/>
      <c r="AG477" s="146"/>
      <c r="AH477" s="211"/>
      <c r="AI477" s="211"/>
      <c r="AJ477" s="211"/>
      <c r="AK477" s="84"/>
      <c r="AL477" s="146"/>
      <c r="AM477" s="211"/>
      <c r="AN477" s="211"/>
      <c r="AO477" s="211"/>
      <c r="AP477" s="436"/>
      <c r="AQ477" s="146"/>
      <c r="AR477" s="211"/>
      <c r="AS477" s="211"/>
      <c r="AT477" s="211"/>
      <c r="AU477" s="84"/>
      <c r="AV477" s="211"/>
      <c r="AW477" s="211"/>
      <c r="AX477" s="211"/>
      <c r="AY477" s="211"/>
      <c r="AZ477" s="84"/>
      <c r="BA477" s="211"/>
      <c r="BB477" s="211"/>
      <c r="BC477" s="211"/>
      <c r="BD477" s="211"/>
      <c r="BE477" s="84"/>
      <c r="BF477" s="211"/>
      <c r="BG477" s="451"/>
    </row>
    <row r="478" spans="1:59" ht="12.75">
      <c r="A478" s="211"/>
      <c r="B478" s="449"/>
      <c r="C478" s="450"/>
      <c r="D478" s="211"/>
      <c r="E478" s="211"/>
      <c r="F478" s="211"/>
      <c r="G478" s="84"/>
      <c r="H478" s="211"/>
      <c r="I478" s="211"/>
      <c r="J478" s="211"/>
      <c r="K478" s="211"/>
      <c r="L478" s="84"/>
      <c r="M478" s="211"/>
      <c r="N478" s="211"/>
      <c r="O478" s="211"/>
      <c r="P478" s="211"/>
      <c r="Q478" s="84"/>
      <c r="R478" s="211"/>
      <c r="S478" s="211"/>
      <c r="T478" s="211"/>
      <c r="U478" s="211"/>
      <c r="V478" s="84"/>
      <c r="W478" s="211"/>
      <c r="X478" s="211"/>
      <c r="Y478" s="211"/>
      <c r="Z478" s="211"/>
      <c r="AA478" s="84"/>
      <c r="AB478" s="146"/>
      <c r="AC478" s="211"/>
      <c r="AD478" s="211"/>
      <c r="AE478" s="211"/>
      <c r="AF478" s="84"/>
      <c r="AG478" s="146"/>
      <c r="AH478" s="211"/>
      <c r="AI478" s="211"/>
      <c r="AJ478" s="211"/>
      <c r="AK478" s="84"/>
      <c r="AL478" s="146"/>
      <c r="AM478" s="211"/>
      <c r="AN478" s="211"/>
      <c r="AO478" s="211"/>
      <c r="AP478" s="436"/>
      <c r="AQ478" s="146"/>
      <c r="AR478" s="211"/>
      <c r="AS478" s="211"/>
      <c r="AT478" s="211"/>
      <c r="AU478" s="84"/>
      <c r="AV478" s="211"/>
      <c r="AW478" s="211"/>
      <c r="AX478" s="211"/>
      <c r="AY478" s="211"/>
      <c r="AZ478" s="84"/>
      <c r="BA478" s="211"/>
      <c r="BB478" s="211"/>
      <c r="BC478" s="211"/>
      <c r="BD478" s="211"/>
      <c r="BE478" s="84"/>
      <c r="BF478" s="211"/>
      <c r="BG478" s="451"/>
    </row>
    <row r="479" spans="1:59" ht="12.75">
      <c r="A479" s="211"/>
      <c r="B479" s="449"/>
      <c r="C479" s="450"/>
      <c r="D479" s="211"/>
      <c r="E479" s="211"/>
      <c r="F479" s="211"/>
      <c r="G479" s="84"/>
      <c r="H479" s="211"/>
      <c r="I479" s="211"/>
      <c r="J479" s="211"/>
      <c r="K479" s="211"/>
      <c r="L479" s="84"/>
      <c r="M479" s="211"/>
      <c r="N479" s="211"/>
      <c r="O479" s="211"/>
      <c r="P479" s="211"/>
      <c r="Q479" s="84"/>
      <c r="R479" s="211"/>
      <c r="S479" s="211"/>
      <c r="T479" s="211"/>
      <c r="U479" s="211"/>
      <c r="V479" s="84"/>
      <c r="W479" s="211"/>
      <c r="X479" s="211"/>
      <c r="Y479" s="211"/>
      <c r="Z479" s="211"/>
      <c r="AA479" s="84"/>
      <c r="AB479" s="146"/>
      <c r="AC479" s="211"/>
      <c r="AD479" s="211"/>
      <c r="AE479" s="211"/>
      <c r="AF479" s="84"/>
      <c r="AG479" s="146"/>
      <c r="AH479" s="211"/>
      <c r="AI479" s="211"/>
      <c r="AJ479" s="211"/>
      <c r="AK479" s="84"/>
      <c r="AL479" s="146"/>
      <c r="AM479" s="211"/>
      <c r="AN479" s="211"/>
      <c r="AO479" s="211"/>
      <c r="AP479" s="436"/>
      <c r="AQ479" s="146"/>
      <c r="AR479" s="211"/>
      <c r="AS479" s="211"/>
      <c r="AT479" s="211"/>
      <c r="AU479" s="84"/>
      <c r="AV479" s="211"/>
      <c r="AW479" s="211"/>
      <c r="AX479" s="211"/>
      <c r="AY479" s="211"/>
      <c r="AZ479" s="84"/>
      <c r="BA479" s="211"/>
      <c r="BB479" s="211"/>
      <c r="BC479" s="211"/>
      <c r="BD479" s="211"/>
      <c r="BE479" s="84"/>
      <c r="BF479" s="211"/>
      <c r="BG479" s="451"/>
    </row>
    <row r="480" spans="1:59" ht="12.75">
      <c r="A480" s="211"/>
      <c r="B480" s="449"/>
      <c r="C480" s="450"/>
      <c r="D480" s="211"/>
      <c r="E480" s="211"/>
      <c r="F480" s="211"/>
      <c r="G480" s="84"/>
      <c r="H480" s="211"/>
      <c r="I480" s="211"/>
      <c r="J480" s="211"/>
      <c r="K480" s="211"/>
      <c r="L480" s="84"/>
      <c r="M480" s="211"/>
      <c r="N480" s="211"/>
      <c r="O480" s="211"/>
      <c r="P480" s="211"/>
      <c r="Q480" s="84"/>
      <c r="R480" s="211"/>
      <c r="S480" s="211"/>
      <c r="T480" s="211"/>
      <c r="U480" s="211"/>
      <c r="V480" s="84"/>
      <c r="W480" s="211"/>
      <c r="X480" s="211"/>
      <c r="Y480" s="211"/>
      <c r="Z480" s="211"/>
      <c r="AA480" s="84"/>
      <c r="AB480" s="146"/>
      <c r="AC480" s="211"/>
      <c r="AD480" s="211"/>
      <c r="AE480" s="211"/>
      <c r="AF480" s="84"/>
      <c r="AG480" s="146"/>
      <c r="AH480" s="211"/>
      <c r="AI480" s="211"/>
      <c r="AJ480" s="211"/>
      <c r="AK480" s="84"/>
      <c r="AL480" s="146"/>
      <c r="AM480" s="211"/>
      <c r="AN480" s="211"/>
      <c r="AO480" s="211"/>
      <c r="AP480" s="436"/>
      <c r="AQ480" s="146"/>
      <c r="AR480" s="211"/>
      <c r="AS480" s="211"/>
      <c r="AT480" s="211"/>
      <c r="AU480" s="84"/>
      <c r="AV480" s="211"/>
      <c r="AW480" s="211"/>
      <c r="AX480" s="211"/>
      <c r="AY480" s="211"/>
      <c r="AZ480" s="84"/>
      <c r="BA480" s="211"/>
      <c r="BB480" s="211"/>
      <c r="BC480" s="211"/>
      <c r="BD480" s="211"/>
      <c r="BE480" s="84"/>
      <c r="BF480" s="211"/>
      <c r="BG480" s="451"/>
    </row>
    <row r="481" spans="1:59" ht="12.75">
      <c r="A481" s="211"/>
      <c r="B481" s="449"/>
      <c r="C481" s="450"/>
      <c r="D481" s="211"/>
      <c r="E481" s="211"/>
      <c r="F481" s="211"/>
      <c r="G481" s="84"/>
      <c r="H481" s="211"/>
      <c r="I481" s="211"/>
      <c r="J481" s="211"/>
      <c r="K481" s="211"/>
      <c r="L481" s="84"/>
      <c r="M481" s="211"/>
      <c r="N481" s="211"/>
      <c r="O481" s="211"/>
      <c r="P481" s="211"/>
      <c r="Q481" s="84"/>
      <c r="R481" s="211"/>
      <c r="S481" s="211"/>
      <c r="T481" s="211"/>
      <c r="U481" s="211"/>
      <c r="V481" s="84"/>
      <c r="W481" s="211"/>
      <c r="X481" s="211"/>
      <c r="Y481" s="211"/>
      <c r="Z481" s="211"/>
      <c r="AA481" s="84"/>
      <c r="AB481" s="146"/>
      <c r="AC481" s="211"/>
      <c r="AD481" s="211"/>
      <c r="AE481" s="211"/>
      <c r="AF481" s="84"/>
      <c r="AG481" s="146"/>
      <c r="AH481" s="211"/>
      <c r="AI481" s="211"/>
      <c r="AJ481" s="211"/>
      <c r="AK481" s="84"/>
      <c r="AL481" s="146"/>
      <c r="AM481" s="211"/>
      <c r="AN481" s="211"/>
      <c r="AO481" s="211"/>
      <c r="AP481" s="436"/>
      <c r="AQ481" s="146"/>
      <c r="AR481" s="211"/>
      <c r="AS481" s="211"/>
      <c r="AT481" s="211"/>
      <c r="AU481" s="84"/>
      <c r="AV481" s="211"/>
      <c r="AW481" s="211"/>
      <c r="AX481" s="211"/>
      <c r="AY481" s="211"/>
      <c r="AZ481" s="84"/>
      <c r="BA481" s="211"/>
      <c r="BB481" s="211"/>
      <c r="BC481" s="211"/>
      <c r="BD481" s="211"/>
      <c r="BE481" s="84"/>
      <c r="BF481" s="211"/>
      <c r="BG481" s="451"/>
    </row>
    <row r="482" spans="1:59" ht="12.75">
      <c r="A482" s="211"/>
      <c r="B482" s="449"/>
      <c r="C482" s="450"/>
      <c r="D482" s="211"/>
      <c r="E482" s="211"/>
      <c r="F482" s="211"/>
      <c r="G482" s="84"/>
      <c r="H482" s="211"/>
      <c r="I482" s="211"/>
      <c r="J482" s="211"/>
      <c r="K482" s="211"/>
      <c r="L482" s="84"/>
      <c r="M482" s="211"/>
      <c r="N482" s="211"/>
      <c r="O482" s="211"/>
      <c r="P482" s="211"/>
      <c r="Q482" s="84"/>
      <c r="R482" s="211"/>
      <c r="S482" s="211"/>
      <c r="T482" s="211"/>
      <c r="U482" s="211"/>
      <c r="V482" s="84"/>
      <c r="W482" s="211"/>
      <c r="X482" s="211"/>
      <c r="Y482" s="211"/>
      <c r="Z482" s="211"/>
      <c r="AA482" s="84"/>
      <c r="AB482" s="146"/>
      <c r="AC482" s="211"/>
      <c r="AD482" s="211"/>
      <c r="AE482" s="211"/>
      <c r="AF482" s="84"/>
      <c r="AG482" s="146"/>
      <c r="AH482" s="211"/>
      <c r="AI482" s="211"/>
      <c r="AJ482" s="211"/>
      <c r="AK482" s="84"/>
      <c r="AL482" s="146"/>
      <c r="AM482" s="211"/>
      <c r="AN482" s="211"/>
      <c r="AO482" s="211"/>
      <c r="AP482" s="436"/>
      <c r="AQ482" s="146"/>
      <c r="AR482" s="211"/>
      <c r="AS482" s="211"/>
      <c r="AT482" s="211"/>
      <c r="AU482" s="84"/>
      <c r="AV482" s="211"/>
      <c r="AW482" s="211"/>
      <c r="AX482" s="211"/>
      <c r="AY482" s="211"/>
      <c r="AZ482" s="84"/>
      <c r="BA482" s="211"/>
      <c r="BB482" s="211"/>
      <c r="BC482" s="211"/>
      <c r="BD482" s="211"/>
      <c r="BE482" s="84"/>
      <c r="BF482" s="211"/>
      <c r="BG482" s="451"/>
    </row>
    <row r="483" spans="1:59" ht="12.75">
      <c r="A483" s="211"/>
      <c r="B483" s="449"/>
      <c r="C483" s="450"/>
      <c r="D483" s="211"/>
      <c r="E483" s="211"/>
      <c r="F483" s="211"/>
      <c r="G483" s="84"/>
      <c r="H483" s="211"/>
      <c r="I483" s="211"/>
      <c r="J483" s="211"/>
      <c r="K483" s="211"/>
      <c r="L483" s="84"/>
      <c r="M483" s="211"/>
      <c r="N483" s="211"/>
      <c r="O483" s="211"/>
      <c r="P483" s="211"/>
      <c r="Q483" s="84"/>
      <c r="R483" s="211"/>
      <c r="S483" s="211"/>
      <c r="T483" s="211"/>
      <c r="U483" s="211"/>
      <c r="V483" s="84"/>
      <c r="W483" s="211"/>
      <c r="X483" s="211"/>
      <c r="Y483" s="211"/>
      <c r="Z483" s="211"/>
      <c r="AA483" s="84"/>
      <c r="AB483" s="146"/>
      <c r="AC483" s="211"/>
      <c r="AD483" s="211"/>
      <c r="AE483" s="211"/>
      <c r="AF483" s="84"/>
      <c r="AG483" s="146"/>
      <c r="AH483" s="211"/>
      <c r="AI483" s="211"/>
      <c r="AJ483" s="211"/>
      <c r="AK483" s="84"/>
      <c r="AL483" s="146"/>
      <c r="AM483" s="211"/>
      <c r="AN483" s="211"/>
      <c r="AO483" s="211"/>
      <c r="AP483" s="436"/>
      <c r="AQ483" s="146"/>
      <c r="AR483" s="211"/>
      <c r="AS483" s="211"/>
      <c r="AT483" s="211"/>
      <c r="AU483" s="84"/>
      <c r="AV483" s="211"/>
      <c r="AW483" s="211"/>
      <c r="AX483" s="211"/>
      <c r="AY483" s="211"/>
      <c r="AZ483" s="84"/>
      <c r="BA483" s="211"/>
      <c r="BB483" s="211"/>
      <c r="BC483" s="211"/>
      <c r="BD483" s="211"/>
      <c r="BE483" s="84"/>
      <c r="BF483" s="211"/>
      <c r="BG483" s="451"/>
    </row>
    <row r="484" spans="1:59" ht="12.75">
      <c r="A484" s="211"/>
      <c r="B484" s="449"/>
      <c r="C484" s="450"/>
      <c r="D484" s="211"/>
      <c r="E484" s="211"/>
      <c r="F484" s="211"/>
      <c r="G484" s="84"/>
      <c r="H484" s="211"/>
      <c r="I484" s="211"/>
      <c r="J484" s="211"/>
      <c r="K484" s="211"/>
      <c r="L484" s="84"/>
      <c r="M484" s="211"/>
      <c r="N484" s="211"/>
      <c r="O484" s="211"/>
      <c r="P484" s="211"/>
      <c r="Q484" s="84"/>
      <c r="R484" s="211"/>
      <c r="S484" s="211"/>
      <c r="T484" s="211"/>
      <c r="U484" s="211"/>
      <c r="V484" s="84"/>
      <c r="W484" s="211"/>
      <c r="X484" s="211"/>
      <c r="Y484" s="211"/>
      <c r="Z484" s="211"/>
      <c r="AA484" s="84"/>
      <c r="AB484" s="146"/>
      <c r="AC484" s="211"/>
      <c r="AD484" s="211"/>
      <c r="AE484" s="211"/>
      <c r="AF484" s="84"/>
      <c r="AG484" s="146"/>
      <c r="AH484" s="211"/>
      <c r="AI484" s="211"/>
      <c r="AJ484" s="211"/>
      <c r="AK484" s="84"/>
      <c r="AL484" s="146"/>
      <c r="AM484" s="211"/>
      <c r="AN484" s="211"/>
      <c r="AO484" s="211"/>
      <c r="AP484" s="436"/>
      <c r="AQ484" s="146"/>
      <c r="AR484" s="211"/>
      <c r="AS484" s="211"/>
      <c r="AT484" s="211"/>
      <c r="AU484" s="84"/>
      <c r="AV484" s="211"/>
      <c r="AW484" s="211"/>
      <c r="AX484" s="211"/>
      <c r="AY484" s="211"/>
      <c r="AZ484" s="84"/>
      <c r="BA484" s="211"/>
      <c r="BB484" s="211"/>
      <c r="BC484" s="211"/>
      <c r="BD484" s="211"/>
      <c r="BE484" s="84"/>
      <c r="BF484" s="211"/>
      <c r="BG484" s="451"/>
    </row>
    <row r="485" spans="1:59" ht="12.75">
      <c r="A485" s="211"/>
      <c r="B485" s="449"/>
      <c r="C485" s="450"/>
      <c r="D485" s="211"/>
      <c r="E485" s="211"/>
      <c r="F485" s="211"/>
      <c r="G485" s="84"/>
      <c r="H485" s="211"/>
      <c r="I485" s="211"/>
      <c r="J485" s="211"/>
      <c r="K485" s="211"/>
      <c r="L485" s="84"/>
      <c r="M485" s="211"/>
      <c r="N485" s="211"/>
      <c r="O485" s="211"/>
      <c r="P485" s="211"/>
      <c r="Q485" s="84"/>
      <c r="R485" s="211"/>
      <c r="S485" s="211"/>
      <c r="T485" s="211"/>
      <c r="U485" s="211"/>
      <c r="V485" s="84"/>
      <c r="W485" s="211"/>
      <c r="X485" s="211"/>
      <c r="Y485" s="211"/>
      <c r="Z485" s="211"/>
      <c r="AA485" s="84"/>
      <c r="AB485" s="146"/>
      <c r="AC485" s="211"/>
      <c r="AD485" s="211"/>
      <c r="AE485" s="211"/>
      <c r="AF485" s="84"/>
      <c r="AG485" s="146"/>
      <c r="AH485" s="211"/>
      <c r="AI485" s="211"/>
      <c r="AJ485" s="211"/>
      <c r="AK485" s="84"/>
      <c r="AL485" s="146"/>
      <c r="AM485" s="211"/>
      <c r="AN485" s="211"/>
      <c r="AO485" s="211"/>
      <c r="AP485" s="436"/>
      <c r="AQ485" s="146"/>
      <c r="AR485" s="211"/>
      <c r="AS485" s="211"/>
      <c r="AT485" s="211"/>
      <c r="AU485" s="84"/>
      <c r="AV485" s="211"/>
      <c r="AW485" s="211"/>
      <c r="AX485" s="211"/>
      <c r="AY485" s="211"/>
      <c r="AZ485" s="84"/>
      <c r="BA485" s="211"/>
      <c r="BB485" s="211"/>
      <c r="BC485" s="211"/>
      <c r="BD485" s="211"/>
      <c r="BE485" s="84"/>
      <c r="BF485" s="211"/>
      <c r="BG485" s="451"/>
    </row>
    <row r="486" spans="1:59" ht="12.75">
      <c r="A486" s="211"/>
      <c r="B486" s="449"/>
      <c r="C486" s="450"/>
      <c r="D486" s="211"/>
      <c r="E486" s="211"/>
      <c r="F486" s="211"/>
      <c r="G486" s="84"/>
      <c r="H486" s="211"/>
      <c r="I486" s="211"/>
      <c r="J486" s="211"/>
      <c r="K486" s="211"/>
      <c r="L486" s="84"/>
      <c r="M486" s="211"/>
      <c r="N486" s="211"/>
      <c r="O486" s="211"/>
      <c r="P486" s="211"/>
      <c r="Q486" s="84"/>
      <c r="R486" s="211"/>
      <c r="S486" s="211"/>
      <c r="T486" s="211"/>
      <c r="U486" s="211"/>
      <c r="V486" s="84"/>
      <c r="W486" s="211"/>
      <c r="X486" s="211"/>
      <c r="Y486" s="211"/>
      <c r="Z486" s="211"/>
      <c r="AA486" s="84"/>
      <c r="AB486" s="146"/>
      <c r="AC486" s="211"/>
      <c r="AD486" s="211"/>
      <c r="AE486" s="211"/>
      <c r="AF486" s="84"/>
      <c r="AG486" s="146"/>
      <c r="AH486" s="211"/>
      <c r="AI486" s="211"/>
      <c r="AJ486" s="211"/>
      <c r="AK486" s="84"/>
      <c r="AL486" s="146"/>
      <c r="AM486" s="211"/>
      <c r="AN486" s="211"/>
      <c r="AO486" s="211"/>
      <c r="AP486" s="436"/>
      <c r="AQ486" s="146"/>
      <c r="AR486" s="211"/>
      <c r="AS486" s="211"/>
      <c r="AT486" s="211"/>
      <c r="AU486" s="84"/>
      <c r="AV486" s="211"/>
      <c r="AW486" s="211"/>
      <c r="AX486" s="211"/>
      <c r="AY486" s="211"/>
      <c r="AZ486" s="84"/>
      <c r="BA486" s="211"/>
      <c r="BB486" s="211"/>
      <c r="BC486" s="211"/>
      <c r="BD486" s="211"/>
      <c r="BE486" s="84"/>
      <c r="BF486" s="211"/>
      <c r="BG486" s="451"/>
    </row>
    <row r="487" spans="1:59" ht="12.75">
      <c r="A487" s="211"/>
      <c r="B487" s="449"/>
      <c r="C487" s="450"/>
      <c r="D487" s="211"/>
      <c r="E487" s="211"/>
      <c r="F487" s="211"/>
      <c r="G487" s="84"/>
      <c r="H487" s="211"/>
      <c r="I487" s="211"/>
      <c r="J487" s="211"/>
      <c r="K487" s="211"/>
      <c r="L487" s="84"/>
      <c r="M487" s="211"/>
      <c r="N487" s="211"/>
      <c r="O487" s="211"/>
      <c r="P487" s="211"/>
      <c r="Q487" s="84"/>
      <c r="R487" s="211"/>
      <c r="S487" s="211"/>
      <c r="T487" s="211"/>
      <c r="U487" s="211"/>
      <c r="V487" s="84"/>
      <c r="W487" s="211"/>
      <c r="X487" s="211"/>
      <c r="Y487" s="211"/>
      <c r="Z487" s="211"/>
      <c r="AA487" s="84"/>
      <c r="AB487" s="146"/>
      <c r="AC487" s="211"/>
      <c r="AD487" s="211"/>
      <c r="AE487" s="211"/>
      <c r="AF487" s="84"/>
      <c r="AG487" s="146"/>
      <c r="AH487" s="211"/>
      <c r="AI487" s="211"/>
      <c r="AJ487" s="211"/>
      <c r="AK487" s="84"/>
      <c r="AL487" s="146"/>
      <c r="AM487" s="211"/>
      <c r="AN487" s="211"/>
      <c r="AO487" s="211"/>
      <c r="AP487" s="436"/>
      <c r="AQ487" s="146"/>
      <c r="AR487" s="211"/>
      <c r="AS487" s="211"/>
      <c r="AT487" s="211"/>
      <c r="AU487" s="84"/>
      <c r="AV487" s="211"/>
      <c r="AW487" s="211"/>
      <c r="AX487" s="211"/>
      <c r="AY487" s="211"/>
      <c r="AZ487" s="84"/>
      <c r="BA487" s="211"/>
      <c r="BB487" s="211"/>
      <c r="BC487" s="211"/>
      <c r="BD487" s="211"/>
      <c r="BE487" s="84"/>
      <c r="BF487" s="211"/>
      <c r="BG487" s="451"/>
    </row>
    <row r="488" spans="1:59" ht="12.75">
      <c r="A488" s="211"/>
      <c r="B488" s="449"/>
      <c r="C488" s="450"/>
      <c r="D488" s="211"/>
      <c r="E488" s="211"/>
      <c r="F488" s="211"/>
      <c r="G488" s="84"/>
      <c r="H488" s="211"/>
      <c r="I488" s="211"/>
      <c r="J488" s="211"/>
      <c r="K488" s="211"/>
      <c r="L488" s="84"/>
      <c r="M488" s="211"/>
      <c r="N488" s="211"/>
      <c r="O488" s="211"/>
      <c r="P488" s="211"/>
      <c r="Q488" s="84"/>
      <c r="R488" s="211"/>
      <c r="S488" s="211"/>
      <c r="T488" s="211"/>
      <c r="U488" s="211"/>
      <c r="V488" s="84"/>
      <c r="W488" s="211"/>
      <c r="X488" s="211"/>
      <c r="Y488" s="211"/>
      <c r="Z488" s="211"/>
      <c r="AA488" s="84"/>
      <c r="AB488" s="146"/>
      <c r="AC488" s="211"/>
      <c r="AD488" s="211"/>
      <c r="AE488" s="211"/>
      <c r="AF488" s="84"/>
      <c r="AG488" s="146"/>
      <c r="AH488" s="211"/>
      <c r="AI488" s="211"/>
      <c r="AJ488" s="211"/>
      <c r="AK488" s="84"/>
      <c r="AL488" s="146"/>
      <c r="AM488" s="211"/>
      <c r="AN488" s="211"/>
      <c r="AO488" s="211"/>
      <c r="AP488" s="436"/>
      <c r="AQ488" s="146"/>
      <c r="AR488" s="211"/>
      <c r="AS488" s="211"/>
      <c r="AT488" s="211"/>
      <c r="AU488" s="84"/>
      <c r="AV488" s="211"/>
      <c r="AW488" s="211"/>
      <c r="AX488" s="211"/>
      <c r="AY488" s="211"/>
      <c r="AZ488" s="84"/>
      <c r="BA488" s="211"/>
      <c r="BB488" s="211"/>
      <c r="BC488" s="211"/>
      <c r="BD488" s="211"/>
      <c r="BE488" s="84"/>
      <c r="BF488" s="211"/>
      <c r="BG488" s="451"/>
    </row>
    <row r="489" spans="1:59" ht="12.75">
      <c r="A489" s="211"/>
      <c r="B489" s="449"/>
      <c r="C489" s="450"/>
      <c r="D489" s="211"/>
      <c r="E489" s="211"/>
      <c r="F489" s="211"/>
      <c r="G489" s="84"/>
      <c r="H489" s="211"/>
      <c r="I489" s="211"/>
      <c r="J489" s="211"/>
      <c r="K489" s="211"/>
      <c r="L489" s="84"/>
      <c r="M489" s="211"/>
      <c r="N489" s="211"/>
      <c r="O489" s="211"/>
      <c r="P489" s="211"/>
      <c r="Q489" s="84"/>
      <c r="R489" s="211"/>
      <c r="S489" s="211"/>
      <c r="T489" s="211"/>
      <c r="U489" s="211"/>
      <c r="V489" s="84"/>
      <c r="W489" s="211"/>
      <c r="X489" s="211"/>
      <c r="Y489" s="211"/>
      <c r="Z489" s="211"/>
      <c r="AA489" s="84"/>
      <c r="AB489" s="146"/>
      <c r="AC489" s="211"/>
      <c r="AD489" s="211"/>
      <c r="AE489" s="211"/>
      <c r="AF489" s="84"/>
      <c r="AG489" s="146"/>
      <c r="AH489" s="211"/>
      <c r="AI489" s="211"/>
      <c r="AJ489" s="211"/>
      <c r="AK489" s="84"/>
      <c r="AL489" s="146"/>
      <c r="AM489" s="211"/>
      <c r="AN489" s="211"/>
      <c r="AO489" s="211"/>
      <c r="AP489" s="436"/>
      <c r="AQ489" s="146"/>
      <c r="AR489" s="211"/>
      <c r="AS489" s="211"/>
      <c r="AT489" s="211"/>
      <c r="AU489" s="84"/>
      <c r="AV489" s="211"/>
      <c r="AW489" s="211"/>
      <c r="AX489" s="211"/>
      <c r="AY489" s="211"/>
      <c r="AZ489" s="84"/>
      <c r="BA489" s="211"/>
      <c r="BB489" s="211"/>
      <c r="BC489" s="211"/>
      <c r="BD489" s="211"/>
      <c r="BE489" s="84"/>
      <c r="BF489" s="211"/>
      <c r="BG489" s="451"/>
    </row>
    <row r="490" spans="1:59" ht="12.75">
      <c r="A490" s="211"/>
      <c r="B490" s="449"/>
      <c r="C490" s="450"/>
      <c r="D490" s="211"/>
      <c r="E490" s="211"/>
      <c r="F490" s="211"/>
      <c r="G490" s="84"/>
      <c r="H490" s="211"/>
      <c r="I490" s="211"/>
      <c r="J490" s="211"/>
      <c r="K490" s="211"/>
      <c r="L490" s="84"/>
      <c r="M490" s="211"/>
      <c r="N490" s="211"/>
      <c r="O490" s="211"/>
      <c r="P490" s="211"/>
      <c r="Q490" s="84"/>
      <c r="R490" s="211"/>
      <c r="S490" s="211"/>
      <c r="T490" s="211"/>
      <c r="U490" s="211"/>
      <c r="V490" s="84"/>
      <c r="W490" s="211"/>
      <c r="X490" s="211"/>
      <c r="Y490" s="211"/>
      <c r="Z490" s="211"/>
      <c r="AA490" s="84"/>
      <c r="AB490" s="146"/>
      <c r="AC490" s="211"/>
      <c r="AD490" s="211"/>
      <c r="AE490" s="211"/>
      <c r="AF490" s="84"/>
      <c r="AG490" s="146"/>
      <c r="AH490" s="211"/>
      <c r="AI490" s="211"/>
      <c r="AJ490" s="211"/>
      <c r="AK490" s="84"/>
      <c r="AL490" s="146"/>
      <c r="AM490" s="211"/>
      <c r="AN490" s="211"/>
      <c r="AO490" s="211"/>
      <c r="AP490" s="436"/>
      <c r="AQ490" s="146"/>
      <c r="AR490" s="211"/>
      <c r="AS490" s="211"/>
      <c r="AT490" s="211"/>
      <c r="AU490" s="84"/>
      <c r="AV490" s="211"/>
      <c r="AW490" s="211"/>
      <c r="AX490" s="211"/>
      <c r="AY490" s="211"/>
      <c r="AZ490" s="84"/>
      <c r="BA490" s="211"/>
      <c r="BB490" s="211"/>
      <c r="BC490" s="211"/>
      <c r="BD490" s="211"/>
      <c r="BE490" s="84"/>
      <c r="BF490" s="211"/>
      <c r="BG490" s="451"/>
    </row>
    <row r="491" spans="1:59" ht="12.75">
      <c r="A491" s="211"/>
      <c r="B491" s="449"/>
      <c r="C491" s="450"/>
      <c r="D491" s="211"/>
      <c r="E491" s="211"/>
      <c r="F491" s="211"/>
      <c r="G491" s="84"/>
      <c r="H491" s="211"/>
      <c r="I491" s="211"/>
      <c r="J491" s="211"/>
      <c r="K491" s="211"/>
      <c r="L491" s="84"/>
      <c r="M491" s="211"/>
      <c r="N491" s="211"/>
      <c r="O491" s="211"/>
      <c r="P491" s="211"/>
      <c r="Q491" s="84"/>
      <c r="R491" s="211"/>
      <c r="S491" s="211"/>
      <c r="T491" s="211"/>
      <c r="U491" s="211"/>
      <c r="V491" s="84"/>
      <c r="W491" s="211"/>
      <c r="X491" s="211"/>
      <c r="Y491" s="211"/>
      <c r="Z491" s="211"/>
      <c r="AA491" s="84"/>
      <c r="AB491" s="146"/>
      <c r="AC491" s="211"/>
      <c r="AD491" s="211"/>
      <c r="AE491" s="211"/>
      <c r="AF491" s="84"/>
      <c r="AG491" s="146"/>
      <c r="AH491" s="211"/>
      <c r="AI491" s="211"/>
      <c r="AJ491" s="211"/>
      <c r="AK491" s="84"/>
      <c r="AL491" s="146"/>
      <c r="AM491" s="211"/>
      <c r="AN491" s="211"/>
      <c r="AO491" s="211"/>
      <c r="AP491" s="436"/>
      <c r="AQ491" s="146"/>
      <c r="AR491" s="211"/>
      <c r="AS491" s="211"/>
      <c r="AT491" s="211"/>
      <c r="AU491" s="84"/>
      <c r="AV491" s="211"/>
      <c r="AW491" s="211"/>
      <c r="AX491" s="211"/>
      <c r="AY491" s="211"/>
      <c r="AZ491" s="84"/>
      <c r="BA491" s="211"/>
      <c r="BB491" s="211"/>
      <c r="BC491" s="211"/>
      <c r="BD491" s="211"/>
      <c r="BE491" s="84"/>
      <c r="BF491" s="211"/>
      <c r="BG491" s="451"/>
    </row>
    <row r="492" spans="1:59" ht="12.75">
      <c r="A492" s="211"/>
      <c r="B492" s="449"/>
      <c r="C492" s="450"/>
      <c r="D492" s="211"/>
      <c r="E492" s="211"/>
      <c r="F492" s="211"/>
      <c r="G492" s="84"/>
      <c r="H492" s="211"/>
      <c r="I492" s="211"/>
      <c r="J492" s="211"/>
      <c r="K492" s="211"/>
      <c r="L492" s="84"/>
      <c r="M492" s="211"/>
      <c r="N492" s="211"/>
      <c r="O492" s="211"/>
      <c r="P492" s="211"/>
      <c r="Q492" s="84"/>
      <c r="R492" s="211"/>
      <c r="S492" s="211"/>
      <c r="T492" s="211"/>
      <c r="U492" s="211"/>
      <c r="V492" s="84"/>
      <c r="W492" s="211"/>
      <c r="X492" s="211"/>
      <c r="Y492" s="211"/>
      <c r="Z492" s="211"/>
      <c r="AA492" s="84"/>
      <c r="AB492" s="146"/>
      <c r="AC492" s="211"/>
      <c r="AD492" s="211"/>
      <c r="AE492" s="211"/>
      <c r="AF492" s="84"/>
      <c r="AG492" s="146"/>
      <c r="AH492" s="211"/>
      <c r="AI492" s="211"/>
      <c r="AJ492" s="211"/>
      <c r="AK492" s="84"/>
      <c r="AL492" s="146"/>
      <c r="AM492" s="211"/>
      <c r="AN492" s="211"/>
      <c r="AO492" s="211"/>
      <c r="AP492" s="436"/>
      <c r="AQ492" s="146"/>
      <c r="AR492" s="211"/>
      <c r="AS492" s="211"/>
      <c r="AT492" s="211"/>
      <c r="AU492" s="84"/>
      <c r="AV492" s="211"/>
      <c r="AW492" s="211"/>
      <c r="AX492" s="211"/>
      <c r="AY492" s="211"/>
      <c r="AZ492" s="84"/>
      <c r="BA492" s="211"/>
      <c r="BB492" s="211"/>
      <c r="BC492" s="211"/>
      <c r="BD492" s="211"/>
      <c r="BE492" s="84"/>
      <c r="BF492" s="211"/>
      <c r="BG492" s="451"/>
    </row>
    <row r="493" spans="1:59" ht="12.75">
      <c r="A493" s="211"/>
      <c r="B493" s="449"/>
      <c r="C493" s="450"/>
      <c r="D493" s="211"/>
      <c r="E493" s="211"/>
      <c r="F493" s="211"/>
      <c r="G493" s="84"/>
      <c r="H493" s="211"/>
      <c r="I493" s="211"/>
      <c r="J493" s="211"/>
      <c r="K493" s="211"/>
      <c r="L493" s="84"/>
      <c r="M493" s="211"/>
      <c r="N493" s="211"/>
      <c r="O493" s="211"/>
      <c r="P493" s="211"/>
      <c r="Q493" s="84"/>
      <c r="R493" s="211"/>
      <c r="S493" s="211"/>
      <c r="T493" s="211"/>
      <c r="U493" s="211"/>
      <c r="V493" s="84"/>
      <c r="W493" s="211"/>
      <c r="X493" s="211"/>
      <c r="Y493" s="211"/>
      <c r="Z493" s="211"/>
      <c r="AA493" s="84"/>
      <c r="AB493" s="146"/>
      <c r="AC493" s="211"/>
      <c r="AD493" s="211"/>
      <c r="AE493" s="211"/>
      <c r="AF493" s="84"/>
      <c r="AG493" s="146"/>
      <c r="AH493" s="211"/>
      <c r="AI493" s="211"/>
      <c r="AJ493" s="211"/>
      <c r="AK493" s="84"/>
      <c r="AL493" s="146"/>
      <c r="AM493" s="211"/>
      <c r="AN493" s="211"/>
      <c r="AO493" s="211"/>
      <c r="AP493" s="436"/>
      <c r="AQ493" s="146"/>
      <c r="AR493" s="211"/>
      <c r="AS493" s="211"/>
      <c r="AT493" s="211"/>
      <c r="AU493" s="84"/>
      <c r="AV493" s="211"/>
      <c r="AW493" s="211"/>
      <c r="AX493" s="211"/>
      <c r="AY493" s="211"/>
      <c r="AZ493" s="84"/>
      <c r="BA493" s="211"/>
      <c r="BB493" s="211"/>
      <c r="BC493" s="211"/>
      <c r="BD493" s="211"/>
      <c r="BE493" s="84"/>
      <c r="BF493" s="211"/>
      <c r="BG493" s="451"/>
    </row>
    <row r="494" spans="1:59" ht="12.75">
      <c r="A494" s="211"/>
      <c r="B494" s="449"/>
      <c r="C494" s="450"/>
      <c r="D494" s="211"/>
      <c r="E494" s="211"/>
      <c r="F494" s="211"/>
      <c r="G494" s="84"/>
      <c r="H494" s="211"/>
      <c r="I494" s="211"/>
      <c r="J494" s="211"/>
      <c r="K494" s="211"/>
      <c r="L494" s="84"/>
      <c r="M494" s="211"/>
      <c r="N494" s="211"/>
      <c r="O494" s="211"/>
      <c r="P494" s="211"/>
      <c r="Q494" s="84"/>
      <c r="R494" s="211"/>
      <c r="S494" s="211"/>
      <c r="T494" s="211"/>
      <c r="U494" s="211"/>
      <c r="V494" s="84"/>
      <c r="W494" s="211"/>
      <c r="X494" s="211"/>
      <c r="Y494" s="211"/>
      <c r="Z494" s="211"/>
      <c r="AA494" s="84"/>
      <c r="AB494" s="146"/>
      <c r="AC494" s="211"/>
      <c r="AD494" s="211"/>
      <c r="AE494" s="211"/>
      <c r="AF494" s="84"/>
      <c r="AG494" s="146"/>
      <c r="AH494" s="211"/>
      <c r="AI494" s="211"/>
      <c r="AJ494" s="211"/>
      <c r="AK494" s="84"/>
      <c r="AL494" s="146"/>
      <c r="AM494" s="211"/>
      <c r="AN494" s="211"/>
      <c r="AO494" s="211"/>
      <c r="AP494" s="436"/>
      <c r="AQ494" s="146"/>
      <c r="AR494" s="211"/>
      <c r="AS494" s="211"/>
      <c r="AT494" s="211"/>
      <c r="AU494" s="84"/>
      <c r="AV494" s="211"/>
      <c r="AW494" s="211"/>
      <c r="AX494" s="211"/>
      <c r="AY494" s="211"/>
      <c r="AZ494" s="84"/>
      <c r="BA494" s="211"/>
      <c r="BB494" s="211"/>
      <c r="BC494" s="211"/>
      <c r="BD494" s="211"/>
      <c r="BE494" s="84"/>
      <c r="BF494" s="211"/>
      <c r="BG494" s="451"/>
    </row>
    <row r="495" spans="1:59" ht="12.75">
      <c r="A495" s="211"/>
      <c r="B495" s="449"/>
      <c r="C495" s="450"/>
      <c r="D495" s="211"/>
      <c r="E495" s="211"/>
      <c r="F495" s="211"/>
      <c r="G495" s="84"/>
      <c r="H495" s="211"/>
      <c r="I495" s="211"/>
      <c r="J495" s="211"/>
      <c r="K495" s="211"/>
      <c r="L495" s="84"/>
      <c r="M495" s="211"/>
      <c r="N495" s="211"/>
      <c r="O495" s="211"/>
      <c r="P495" s="211"/>
      <c r="Q495" s="84"/>
      <c r="R495" s="211"/>
      <c r="S495" s="211"/>
      <c r="T495" s="211"/>
      <c r="U495" s="211"/>
      <c r="V495" s="84"/>
      <c r="W495" s="211"/>
      <c r="X495" s="211"/>
      <c r="Y495" s="211"/>
      <c r="Z495" s="211"/>
      <c r="AA495" s="84"/>
      <c r="AB495" s="146"/>
      <c r="AC495" s="211"/>
      <c r="AD495" s="211"/>
      <c r="AE495" s="211"/>
      <c r="AF495" s="84"/>
      <c r="AG495" s="146"/>
      <c r="AH495" s="211"/>
      <c r="AI495" s="211"/>
      <c r="AJ495" s="211"/>
      <c r="AK495" s="84"/>
      <c r="AL495" s="146"/>
      <c r="AM495" s="211"/>
      <c r="AN495" s="211"/>
      <c r="AO495" s="211"/>
      <c r="AP495" s="436"/>
      <c r="AQ495" s="146"/>
      <c r="AR495" s="211"/>
      <c r="AS495" s="211"/>
      <c r="AT495" s="211"/>
      <c r="AU495" s="84"/>
      <c r="AV495" s="211"/>
      <c r="AW495" s="211"/>
      <c r="AX495" s="211"/>
      <c r="AY495" s="211"/>
      <c r="AZ495" s="84"/>
      <c r="BA495" s="211"/>
      <c r="BB495" s="211"/>
      <c r="BC495" s="211"/>
      <c r="BD495" s="211"/>
      <c r="BE495" s="84"/>
      <c r="BF495" s="211"/>
      <c r="BG495" s="451"/>
    </row>
    <row r="496" spans="1:59" ht="12.75">
      <c r="A496" s="211"/>
      <c r="B496" s="449"/>
      <c r="C496" s="450"/>
      <c r="D496" s="211"/>
      <c r="E496" s="211"/>
      <c r="F496" s="211"/>
      <c r="G496" s="84"/>
      <c r="H496" s="211"/>
      <c r="I496" s="211"/>
      <c r="J496" s="211"/>
      <c r="K496" s="211"/>
      <c r="L496" s="84"/>
      <c r="M496" s="211"/>
      <c r="N496" s="211"/>
      <c r="O496" s="211"/>
      <c r="P496" s="211"/>
      <c r="Q496" s="84"/>
      <c r="R496" s="211"/>
      <c r="S496" s="211"/>
      <c r="T496" s="211"/>
      <c r="U496" s="211"/>
      <c r="V496" s="84"/>
      <c r="W496" s="211"/>
      <c r="X496" s="211"/>
      <c r="Y496" s="211"/>
      <c r="Z496" s="211"/>
      <c r="AA496" s="84"/>
      <c r="AB496" s="146"/>
      <c r="AC496" s="211"/>
      <c r="AD496" s="211"/>
      <c r="AE496" s="211"/>
      <c r="AF496" s="84"/>
      <c r="AG496" s="146"/>
      <c r="AH496" s="211"/>
      <c r="AI496" s="211"/>
      <c r="AJ496" s="211"/>
      <c r="AK496" s="84"/>
      <c r="AL496" s="146"/>
      <c r="AM496" s="211"/>
      <c r="AN496" s="211"/>
      <c r="AO496" s="211"/>
      <c r="AP496" s="436"/>
      <c r="AQ496" s="146"/>
      <c r="AR496" s="211"/>
      <c r="AS496" s="211"/>
      <c r="AT496" s="211"/>
      <c r="AU496" s="84"/>
      <c r="AV496" s="211"/>
      <c r="AW496" s="211"/>
      <c r="AX496" s="211"/>
      <c r="AY496" s="211"/>
      <c r="AZ496" s="84"/>
      <c r="BA496" s="211"/>
      <c r="BB496" s="211"/>
      <c r="BC496" s="211"/>
      <c r="BD496" s="211"/>
      <c r="BE496" s="84"/>
      <c r="BF496" s="211"/>
      <c r="BG496" s="451"/>
    </row>
    <row r="497" spans="1:59" ht="12.75">
      <c r="A497" s="211"/>
      <c r="B497" s="449"/>
      <c r="C497" s="450"/>
      <c r="D497" s="211"/>
      <c r="E497" s="211"/>
      <c r="F497" s="211"/>
      <c r="G497" s="84"/>
      <c r="H497" s="211"/>
      <c r="I497" s="211"/>
      <c r="J497" s="211"/>
      <c r="K497" s="211"/>
      <c r="L497" s="84"/>
      <c r="M497" s="211"/>
      <c r="N497" s="211"/>
      <c r="O497" s="211"/>
      <c r="P497" s="211"/>
      <c r="Q497" s="84"/>
      <c r="R497" s="211"/>
      <c r="S497" s="211"/>
      <c r="T497" s="211"/>
      <c r="U497" s="211"/>
      <c r="V497" s="84"/>
      <c r="W497" s="211"/>
      <c r="X497" s="211"/>
      <c r="Y497" s="211"/>
      <c r="Z497" s="211"/>
      <c r="AA497" s="84"/>
      <c r="AB497" s="146"/>
      <c r="AC497" s="211"/>
      <c r="AD497" s="211"/>
      <c r="AE497" s="211"/>
      <c r="AF497" s="84"/>
      <c r="AG497" s="146"/>
      <c r="AH497" s="211"/>
      <c r="AI497" s="211"/>
      <c r="AJ497" s="211"/>
      <c r="AK497" s="84"/>
      <c r="AL497" s="146"/>
      <c r="AM497" s="211"/>
      <c r="AN497" s="211"/>
      <c r="AO497" s="211"/>
      <c r="AP497" s="436"/>
      <c r="AQ497" s="146"/>
      <c r="AR497" s="211"/>
      <c r="AS497" s="211"/>
      <c r="AT497" s="211"/>
      <c r="AU497" s="84"/>
      <c r="AV497" s="211"/>
      <c r="AW497" s="211"/>
      <c r="AX497" s="211"/>
      <c r="AY497" s="211"/>
      <c r="AZ497" s="84"/>
      <c r="BA497" s="211"/>
      <c r="BB497" s="211"/>
      <c r="BC497" s="211"/>
      <c r="BD497" s="211"/>
      <c r="BE497" s="84"/>
      <c r="BF497" s="211"/>
      <c r="BG497" s="451"/>
    </row>
    <row r="498" spans="1:59" ht="12.75">
      <c r="A498" s="211"/>
      <c r="B498" s="449"/>
      <c r="C498" s="450"/>
      <c r="D498" s="211"/>
      <c r="E498" s="211"/>
      <c r="F498" s="211"/>
      <c r="G498" s="84"/>
      <c r="H498" s="211"/>
      <c r="I498" s="211"/>
      <c r="J498" s="211"/>
      <c r="K498" s="211"/>
      <c r="L498" s="84"/>
      <c r="M498" s="211"/>
      <c r="N498" s="211"/>
      <c r="O498" s="211"/>
      <c r="P498" s="211"/>
      <c r="Q498" s="84"/>
      <c r="R498" s="211"/>
      <c r="S498" s="211"/>
      <c r="T498" s="211"/>
      <c r="U498" s="211"/>
      <c r="V498" s="84"/>
      <c r="W498" s="211"/>
      <c r="X498" s="211"/>
      <c r="Y498" s="211"/>
      <c r="Z498" s="211"/>
      <c r="AA498" s="84"/>
      <c r="AB498" s="146"/>
      <c r="AC498" s="211"/>
      <c r="AD498" s="211"/>
      <c r="AE498" s="211"/>
      <c r="AF498" s="84"/>
      <c r="AG498" s="146"/>
      <c r="AH498" s="211"/>
      <c r="AI498" s="211"/>
      <c r="AJ498" s="211"/>
      <c r="AK498" s="84"/>
      <c r="AL498" s="146"/>
      <c r="AM498" s="211"/>
      <c r="AN498" s="211"/>
      <c r="AO498" s="211"/>
      <c r="AP498" s="436"/>
      <c r="AQ498" s="146"/>
      <c r="AR498" s="211"/>
      <c r="AS498" s="211"/>
      <c r="AT498" s="211"/>
      <c r="AU498" s="84"/>
      <c r="AV498" s="211"/>
      <c r="AW498" s="211"/>
      <c r="AX498" s="211"/>
      <c r="AY498" s="211"/>
      <c r="AZ498" s="84"/>
      <c r="BA498" s="211"/>
      <c r="BB498" s="211"/>
      <c r="BC498" s="211"/>
      <c r="BD498" s="211"/>
      <c r="BE498" s="84"/>
      <c r="BF498" s="211"/>
      <c r="BG498" s="451"/>
    </row>
    <row r="499" spans="1:59" ht="12.75">
      <c r="A499" s="211"/>
      <c r="B499" s="449"/>
      <c r="C499" s="450"/>
      <c r="D499" s="211"/>
      <c r="E499" s="211"/>
      <c r="F499" s="211"/>
      <c r="G499" s="84"/>
      <c r="H499" s="211"/>
      <c r="I499" s="211"/>
      <c r="J499" s="211"/>
      <c r="K499" s="211"/>
      <c r="L499" s="84"/>
      <c r="M499" s="211"/>
      <c r="N499" s="211"/>
      <c r="O499" s="211"/>
      <c r="P499" s="211"/>
      <c r="Q499" s="84"/>
      <c r="R499" s="211"/>
      <c r="S499" s="211"/>
      <c r="T499" s="211"/>
      <c r="U499" s="211"/>
      <c r="V499" s="84"/>
      <c r="W499" s="211"/>
      <c r="X499" s="211"/>
      <c r="Y499" s="211"/>
      <c r="Z499" s="211"/>
      <c r="AA499" s="84"/>
      <c r="AB499" s="146"/>
      <c r="AC499" s="211"/>
      <c r="AD499" s="211"/>
      <c r="AE499" s="211"/>
      <c r="AF499" s="84"/>
      <c r="AG499" s="146"/>
      <c r="AH499" s="211"/>
      <c r="AI499" s="211"/>
      <c r="AJ499" s="211"/>
      <c r="AK499" s="84"/>
      <c r="AL499" s="146"/>
      <c r="AM499" s="211"/>
      <c r="AN499" s="211"/>
      <c r="AO499" s="211"/>
      <c r="AP499" s="436"/>
      <c r="AQ499" s="146"/>
      <c r="AR499" s="211"/>
      <c r="AS499" s="211"/>
      <c r="AT499" s="211"/>
      <c r="AU499" s="84"/>
      <c r="AV499" s="211"/>
      <c r="AW499" s="211"/>
      <c r="AX499" s="211"/>
      <c r="AY499" s="211"/>
      <c r="AZ499" s="84"/>
      <c r="BA499" s="211"/>
      <c r="BB499" s="211"/>
      <c r="BC499" s="211"/>
      <c r="BD499" s="211"/>
      <c r="BE499" s="84"/>
      <c r="BF499" s="211"/>
      <c r="BG499" s="451"/>
    </row>
    <row r="500" spans="1:59" ht="12.75">
      <c r="A500" s="211"/>
      <c r="B500" s="449"/>
      <c r="C500" s="450"/>
      <c r="D500" s="211"/>
      <c r="E500" s="211"/>
      <c r="F500" s="211"/>
      <c r="G500" s="84"/>
      <c r="H500" s="211"/>
      <c r="I500" s="211"/>
      <c r="J500" s="211"/>
      <c r="K500" s="211"/>
      <c r="L500" s="84"/>
      <c r="M500" s="211"/>
      <c r="N500" s="211"/>
      <c r="O500" s="211"/>
      <c r="P500" s="211"/>
      <c r="Q500" s="84"/>
      <c r="R500" s="211"/>
      <c r="S500" s="211"/>
      <c r="T500" s="211"/>
      <c r="U500" s="211"/>
      <c r="V500" s="84"/>
      <c r="W500" s="211"/>
      <c r="X500" s="211"/>
      <c r="Y500" s="211"/>
      <c r="Z500" s="211"/>
      <c r="AA500" s="84"/>
      <c r="AB500" s="146"/>
      <c r="AC500" s="211"/>
      <c r="AD500" s="211"/>
      <c r="AE500" s="211"/>
      <c r="AF500" s="84"/>
      <c r="AG500" s="146"/>
      <c r="AH500" s="211"/>
      <c r="AI500" s="211"/>
      <c r="AJ500" s="211"/>
      <c r="AK500" s="84"/>
      <c r="AL500" s="146"/>
      <c r="AM500" s="211"/>
      <c r="AN500" s="211"/>
      <c r="AO500" s="211"/>
      <c r="AP500" s="436"/>
      <c r="AQ500" s="146"/>
      <c r="AR500" s="211"/>
      <c r="AS500" s="211"/>
      <c r="AT500" s="211"/>
      <c r="AU500" s="84"/>
      <c r="AV500" s="211"/>
      <c r="AW500" s="211"/>
      <c r="AX500" s="211"/>
      <c r="AY500" s="211"/>
      <c r="AZ500" s="84"/>
      <c r="BA500" s="211"/>
      <c r="BB500" s="211"/>
      <c r="BC500" s="211"/>
      <c r="BD500" s="211"/>
      <c r="BE500" s="84"/>
      <c r="BF500" s="211"/>
      <c r="BG500" s="451"/>
    </row>
    <row r="501" spans="1:59" ht="12.75">
      <c r="A501" s="211"/>
      <c r="B501" s="449"/>
      <c r="C501" s="450"/>
      <c r="D501" s="211"/>
      <c r="E501" s="211"/>
      <c r="F501" s="211"/>
      <c r="G501" s="84"/>
      <c r="H501" s="211"/>
      <c r="I501" s="211"/>
      <c r="J501" s="211"/>
      <c r="K501" s="211"/>
      <c r="L501" s="84"/>
      <c r="M501" s="211"/>
      <c r="N501" s="211"/>
      <c r="O501" s="211"/>
      <c r="P501" s="211"/>
      <c r="Q501" s="84"/>
      <c r="R501" s="211"/>
      <c r="S501" s="211"/>
      <c r="T501" s="211"/>
      <c r="U501" s="211"/>
      <c r="V501" s="84"/>
      <c r="W501" s="211"/>
      <c r="X501" s="211"/>
      <c r="Y501" s="211"/>
      <c r="Z501" s="211"/>
      <c r="AA501" s="84"/>
      <c r="AB501" s="146"/>
      <c r="AC501" s="211"/>
      <c r="AD501" s="211"/>
      <c r="AE501" s="211"/>
      <c r="AF501" s="84"/>
      <c r="AG501" s="146"/>
      <c r="AH501" s="211"/>
      <c r="AI501" s="211"/>
      <c r="AJ501" s="211"/>
      <c r="AK501" s="84"/>
      <c r="AL501" s="146"/>
      <c r="AM501" s="211"/>
      <c r="AN501" s="211"/>
      <c r="AO501" s="211"/>
      <c r="AP501" s="436"/>
      <c r="AQ501" s="146"/>
      <c r="AR501" s="211"/>
      <c r="AS501" s="211"/>
      <c r="AT501" s="211"/>
      <c r="AU501" s="84"/>
      <c r="AV501" s="211"/>
      <c r="AW501" s="211"/>
      <c r="AX501" s="211"/>
      <c r="AY501" s="211"/>
      <c r="AZ501" s="84"/>
      <c r="BA501" s="211"/>
      <c r="BB501" s="211"/>
      <c r="BC501" s="211"/>
      <c r="BD501" s="211"/>
      <c r="BE501" s="84"/>
      <c r="BF501" s="211"/>
      <c r="BG501" s="451"/>
    </row>
    <row r="502" spans="1:59" ht="12.75">
      <c r="A502" s="211"/>
      <c r="B502" s="449"/>
      <c r="C502" s="450"/>
      <c r="D502" s="211"/>
      <c r="E502" s="211"/>
      <c r="F502" s="211"/>
      <c r="G502" s="84"/>
      <c r="H502" s="211"/>
      <c r="I502" s="211"/>
      <c r="J502" s="211"/>
      <c r="K502" s="211"/>
      <c r="L502" s="84"/>
      <c r="M502" s="211"/>
      <c r="N502" s="211"/>
      <c r="O502" s="211"/>
      <c r="P502" s="211"/>
      <c r="Q502" s="84"/>
      <c r="R502" s="211"/>
      <c r="S502" s="211"/>
      <c r="T502" s="211"/>
      <c r="U502" s="211"/>
      <c r="V502" s="84"/>
      <c r="W502" s="211"/>
      <c r="X502" s="211"/>
      <c r="Y502" s="211"/>
      <c r="Z502" s="211"/>
      <c r="AA502" s="84"/>
      <c r="AB502" s="146"/>
      <c r="AC502" s="211"/>
      <c r="AD502" s="211"/>
      <c r="AE502" s="211"/>
      <c r="AF502" s="84"/>
      <c r="AG502" s="146"/>
      <c r="AH502" s="211"/>
      <c r="AI502" s="211"/>
      <c r="AJ502" s="211"/>
      <c r="AK502" s="84"/>
      <c r="AL502" s="146"/>
      <c r="AM502" s="211"/>
      <c r="AN502" s="211"/>
      <c r="AO502" s="211"/>
      <c r="AP502" s="436"/>
      <c r="AQ502" s="146"/>
      <c r="AR502" s="211"/>
      <c r="AS502" s="211"/>
      <c r="AT502" s="211"/>
      <c r="AU502" s="84"/>
      <c r="AV502" s="211"/>
      <c r="AW502" s="211"/>
      <c r="AX502" s="211"/>
      <c r="AY502" s="211"/>
      <c r="AZ502" s="84"/>
      <c r="BA502" s="211"/>
      <c r="BB502" s="211"/>
      <c r="BC502" s="211"/>
      <c r="BD502" s="211"/>
      <c r="BE502" s="84"/>
      <c r="BF502" s="211"/>
      <c r="BG502" s="451"/>
    </row>
    <row r="503" spans="1:59" ht="12.75">
      <c r="A503" s="211"/>
      <c r="B503" s="449"/>
      <c r="C503" s="450"/>
      <c r="D503" s="211"/>
      <c r="E503" s="211"/>
      <c r="F503" s="211"/>
      <c r="G503" s="84"/>
      <c r="H503" s="211"/>
      <c r="I503" s="211"/>
      <c r="J503" s="211"/>
      <c r="K503" s="211"/>
      <c r="L503" s="84"/>
      <c r="M503" s="211"/>
      <c r="N503" s="211"/>
      <c r="O503" s="211"/>
      <c r="P503" s="211"/>
      <c r="Q503" s="84"/>
      <c r="R503" s="211"/>
      <c r="S503" s="211"/>
      <c r="T503" s="211"/>
      <c r="U503" s="211"/>
      <c r="V503" s="84"/>
      <c r="W503" s="211"/>
      <c r="X503" s="211"/>
      <c r="Y503" s="211"/>
      <c r="Z503" s="211"/>
      <c r="AA503" s="84"/>
      <c r="AB503" s="146"/>
      <c r="AC503" s="211"/>
      <c r="AD503" s="211"/>
      <c r="AE503" s="211"/>
      <c r="AF503" s="84"/>
      <c r="AG503" s="146"/>
      <c r="AH503" s="211"/>
      <c r="AI503" s="211"/>
      <c r="AJ503" s="211"/>
      <c r="AK503" s="84"/>
      <c r="AL503" s="146"/>
      <c r="AM503" s="211"/>
      <c r="AN503" s="211"/>
      <c r="AO503" s="211"/>
      <c r="AP503" s="436"/>
      <c r="AQ503" s="146"/>
      <c r="AR503" s="211"/>
      <c r="AS503" s="211"/>
      <c r="AT503" s="211"/>
      <c r="AU503" s="84"/>
      <c r="AV503" s="211"/>
      <c r="AW503" s="211"/>
      <c r="AX503" s="211"/>
      <c r="AY503" s="211"/>
      <c r="AZ503" s="84"/>
      <c r="BA503" s="211"/>
      <c r="BB503" s="211"/>
      <c r="BC503" s="211"/>
      <c r="BD503" s="211"/>
      <c r="BE503" s="84"/>
      <c r="BF503" s="211"/>
      <c r="BG503" s="451"/>
    </row>
    <row r="504" spans="1:59" ht="12.75">
      <c r="A504" s="211"/>
      <c r="B504" s="449"/>
      <c r="C504" s="450"/>
      <c r="D504" s="211"/>
      <c r="E504" s="211"/>
      <c r="F504" s="211"/>
      <c r="G504" s="84"/>
      <c r="H504" s="211"/>
      <c r="I504" s="211"/>
      <c r="J504" s="211"/>
      <c r="K504" s="211"/>
      <c r="L504" s="84"/>
      <c r="M504" s="211"/>
      <c r="N504" s="211"/>
      <c r="O504" s="211"/>
      <c r="P504" s="211"/>
      <c r="Q504" s="84"/>
      <c r="R504" s="211"/>
      <c r="S504" s="211"/>
      <c r="T504" s="211"/>
      <c r="U504" s="211"/>
      <c r="V504" s="84"/>
      <c r="W504" s="211"/>
      <c r="X504" s="211"/>
      <c r="Y504" s="211"/>
      <c r="Z504" s="211"/>
      <c r="AA504" s="84"/>
      <c r="AB504" s="146"/>
      <c r="AC504" s="211"/>
      <c r="AD504" s="211"/>
      <c r="AE504" s="211"/>
      <c r="AF504" s="84"/>
      <c r="AG504" s="146"/>
      <c r="AH504" s="211"/>
      <c r="AI504" s="211"/>
      <c r="AJ504" s="211"/>
      <c r="AK504" s="84"/>
      <c r="AL504" s="146"/>
      <c r="AM504" s="211"/>
      <c r="AN504" s="211"/>
      <c r="AO504" s="211"/>
      <c r="AP504" s="436"/>
      <c r="AQ504" s="146"/>
      <c r="AR504" s="211"/>
      <c r="AS504" s="211"/>
      <c r="AT504" s="211"/>
      <c r="AU504" s="84"/>
      <c r="AV504" s="211"/>
      <c r="AW504" s="211"/>
      <c r="AX504" s="211"/>
      <c r="AY504" s="211"/>
      <c r="AZ504" s="84"/>
      <c r="BA504" s="211"/>
      <c r="BB504" s="211"/>
      <c r="BC504" s="211"/>
      <c r="BD504" s="211"/>
      <c r="BE504" s="84"/>
      <c r="BF504" s="211"/>
      <c r="BG504" s="451"/>
    </row>
    <row r="505" spans="1:59" ht="12.75">
      <c r="A505" s="211"/>
      <c r="B505" s="449"/>
      <c r="C505" s="450"/>
      <c r="D505" s="211"/>
      <c r="E505" s="211"/>
      <c r="F505" s="211"/>
      <c r="G505" s="84"/>
      <c r="H505" s="211"/>
      <c r="I505" s="211"/>
      <c r="J505" s="211"/>
      <c r="K505" s="211"/>
      <c r="L505" s="84"/>
      <c r="M505" s="211"/>
      <c r="N505" s="211"/>
      <c r="O505" s="211"/>
      <c r="P505" s="211"/>
      <c r="Q505" s="84"/>
      <c r="R505" s="211"/>
      <c r="S505" s="211"/>
      <c r="T505" s="211"/>
      <c r="U505" s="211"/>
      <c r="V505" s="84"/>
      <c r="W505" s="211"/>
      <c r="X505" s="211"/>
      <c r="Y505" s="211"/>
      <c r="Z505" s="211"/>
      <c r="AA505" s="84"/>
      <c r="AB505" s="146"/>
      <c r="AC505" s="211"/>
      <c r="AD505" s="211"/>
      <c r="AE505" s="211"/>
      <c r="AF505" s="84"/>
      <c r="AG505" s="146"/>
      <c r="AH505" s="211"/>
      <c r="AI505" s="211"/>
      <c r="AJ505" s="211"/>
      <c r="AK505" s="84"/>
      <c r="AL505" s="146"/>
      <c r="AM505" s="211"/>
      <c r="AN505" s="211"/>
      <c r="AO505" s="211"/>
      <c r="AP505" s="436"/>
      <c r="AQ505" s="146"/>
      <c r="AR505" s="211"/>
      <c r="AS505" s="211"/>
      <c r="AT505" s="211"/>
      <c r="AU505" s="84"/>
      <c r="AV505" s="211"/>
      <c r="AW505" s="211"/>
      <c r="AX505" s="211"/>
      <c r="AY505" s="211"/>
      <c r="AZ505" s="84"/>
      <c r="BA505" s="211"/>
      <c r="BB505" s="211"/>
      <c r="BC505" s="211"/>
      <c r="BD505" s="211"/>
      <c r="BE505" s="84"/>
      <c r="BF505" s="211"/>
      <c r="BG505" s="451"/>
    </row>
    <row r="506" spans="1:59" ht="12.75">
      <c r="A506" s="211"/>
      <c r="B506" s="449"/>
      <c r="C506" s="450"/>
      <c r="D506" s="211"/>
      <c r="E506" s="211"/>
      <c r="F506" s="211"/>
      <c r="G506" s="84"/>
      <c r="H506" s="211"/>
      <c r="I506" s="211"/>
      <c r="J506" s="211"/>
      <c r="K506" s="211"/>
      <c r="L506" s="84"/>
      <c r="M506" s="211"/>
      <c r="N506" s="211"/>
      <c r="O506" s="211"/>
      <c r="P506" s="211"/>
      <c r="Q506" s="84"/>
      <c r="R506" s="211"/>
      <c r="S506" s="211"/>
      <c r="T506" s="211"/>
      <c r="U506" s="211"/>
      <c r="V506" s="84"/>
      <c r="W506" s="211"/>
      <c r="X506" s="211"/>
      <c r="Y506" s="211"/>
      <c r="Z506" s="211"/>
      <c r="AA506" s="84"/>
      <c r="AB506" s="146"/>
      <c r="AC506" s="211"/>
      <c r="AD506" s="211"/>
      <c r="AE506" s="211"/>
      <c r="AF506" s="84"/>
      <c r="AG506" s="146"/>
      <c r="AH506" s="211"/>
      <c r="AI506" s="211"/>
      <c r="AJ506" s="211"/>
      <c r="AK506" s="84"/>
      <c r="AL506" s="146"/>
      <c r="AM506" s="211"/>
      <c r="AN506" s="211"/>
      <c r="AO506" s="211"/>
      <c r="AP506" s="436"/>
      <c r="AQ506" s="146"/>
      <c r="AR506" s="211"/>
      <c r="AS506" s="211"/>
      <c r="AT506" s="211"/>
      <c r="AU506" s="84"/>
      <c r="AV506" s="211"/>
      <c r="AW506" s="211"/>
      <c r="AX506" s="211"/>
      <c r="AY506" s="211"/>
      <c r="AZ506" s="84"/>
      <c r="BA506" s="211"/>
      <c r="BB506" s="211"/>
      <c r="BC506" s="211"/>
      <c r="BD506" s="211"/>
      <c r="BE506" s="84"/>
      <c r="BF506" s="211"/>
      <c r="BG506" s="451"/>
    </row>
    <row r="507" spans="1:59" ht="12.75">
      <c r="A507" s="211"/>
      <c r="B507" s="449"/>
      <c r="C507" s="450"/>
      <c r="D507" s="211"/>
      <c r="E507" s="211"/>
      <c r="F507" s="211"/>
      <c r="G507" s="84"/>
      <c r="H507" s="211"/>
      <c r="I507" s="211"/>
      <c r="J507" s="211"/>
      <c r="K507" s="211"/>
      <c r="L507" s="84"/>
      <c r="M507" s="211"/>
      <c r="N507" s="211"/>
      <c r="O507" s="211"/>
      <c r="P507" s="211"/>
      <c r="Q507" s="84"/>
      <c r="R507" s="211"/>
      <c r="S507" s="211"/>
      <c r="T507" s="211"/>
      <c r="U507" s="211"/>
      <c r="V507" s="84"/>
      <c r="W507" s="211"/>
      <c r="X507" s="211"/>
      <c r="Y507" s="211"/>
      <c r="Z507" s="211"/>
      <c r="AA507" s="84"/>
      <c r="AB507" s="146"/>
      <c r="AC507" s="211"/>
      <c r="AD507" s="211"/>
      <c r="AE507" s="211"/>
      <c r="AF507" s="84"/>
      <c r="AG507" s="146"/>
      <c r="AH507" s="211"/>
      <c r="AI507" s="211"/>
      <c r="AJ507" s="211"/>
      <c r="AK507" s="84"/>
      <c r="AL507" s="146"/>
      <c r="AM507" s="211"/>
      <c r="AN507" s="211"/>
      <c r="AO507" s="211"/>
      <c r="AP507" s="436"/>
      <c r="AQ507" s="146"/>
      <c r="AR507" s="211"/>
      <c r="AS507" s="211"/>
      <c r="AT507" s="211"/>
      <c r="AU507" s="84"/>
      <c r="AV507" s="211"/>
      <c r="AW507" s="211"/>
      <c r="AX507" s="211"/>
      <c r="AY507" s="211"/>
      <c r="AZ507" s="84"/>
      <c r="BA507" s="211"/>
      <c r="BB507" s="211"/>
      <c r="BC507" s="211"/>
      <c r="BD507" s="211"/>
      <c r="BE507" s="84"/>
      <c r="BF507" s="211"/>
      <c r="BG507" s="451"/>
    </row>
    <row r="508" spans="1:59" ht="12.75">
      <c r="A508" s="211"/>
      <c r="B508" s="449"/>
      <c r="C508" s="450"/>
      <c r="D508" s="211"/>
      <c r="E508" s="211"/>
      <c r="F508" s="211"/>
      <c r="G508" s="84"/>
      <c r="H508" s="211"/>
      <c r="I508" s="211"/>
      <c r="J508" s="211"/>
      <c r="K508" s="211"/>
      <c r="L508" s="84"/>
      <c r="M508" s="211"/>
      <c r="N508" s="211"/>
      <c r="O508" s="211"/>
      <c r="P508" s="211"/>
      <c r="Q508" s="84"/>
      <c r="R508" s="211"/>
      <c r="S508" s="211"/>
      <c r="T508" s="211"/>
      <c r="U508" s="211"/>
      <c r="V508" s="84"/>
      <c r="W508" s="211"/>
      <c r="X508" s="211"/>
      <c r="Y508" s="211"/>
      <c r="Z508" s="211"/>
      <c r="AA508" s="84"/>
      <c r="AB508" s="146"/>
      <c r="AC508" s="211"/>
      <c r="AD508" s="211"/>
      <c r="AE508" s="211"/>
      <c r="AF508" s="84"/>
      <c r="AG508" s="146"/>
      <c r="AH508" s="211"/>
      <c r="AI508" s="211"/>
      <c r="AJ508" s="211"/>
      <c r="AK508" s="84"/>
      <c r="AL508" s="146"/>
      <c r="AM508" s="211"/>
      <c r="AN508" s="211"/>
      <c r="AO508" s="211"/>
      <c r="AP508" s="436"/>
      <c r="AQ508" s="146"/>
      <c r="AR508" s="211"/>
      <c r="AS508" s="211"/>
      <c r="AT508" s="211"/>
      <c r="AU508" s="84"/>
      <c r="AV508" s="211"/>
      <c r="AW508" s="211"/>
      <c r="AX508" s="211"/>
      <c r="AY508" s="211"/>
      <c r="AZ508" s="84"/>
      <c r="BA508" s="211"/>
      <c r="BB508" s="211"/>
      <c r="BC508" s="211"/>
      <c r="BD508" s="211"/>
      <c r="BE508" s="84"/>
      <c r="BF508" s="211"/>
      <c r="BG508" s="451"/>
    </row>
    <row r="509" spans="1:59" ht="12.75">
      <c r="A509" s="211"/>
      <c r="B509" s="449"/>
      <c r="C509" s="450"/>
      <c r="D509" s="211"/>
      <c r="E509" s="211"/>
      <c r="F509" s="211"/>
      <c r="G509" s="84"/>
      <c r="H509" s="211"/>
      <c r="I509" s="211"/>
      <c r="J509" s="211"/>
      <c r="K509" s="211"/>
      <c r="L509" s="84"/>
      <c r="M509" s="211"/>
      <c r="N509" s="211"/>
      <c r="O509" s="211"/>
      <c r="P509" s="211"/>
      <c r="Q509" s="84"/>
      <c r="R509" s="211"/>
      <c r="S509" s="211"/>
      <c r="T509" s="211"/>
      <c r="U509" s="211"/>
      <c r="V509" s="84"/>
      <c r="W509" s="211"/>
      <c r="X509" s="211"/>
      <c r="Y509" s="211"/>
      <c r="Z509" s="211"/>
      <c r="AA509" s="84"/>
      <c r="AB509" s="146"/>
      <c r="AC509" s="211"/>
      <c r="AD509" s="211"/>
      <c r="AE509" s="211"/>
      <c r="AF509" s="84"/>
      <c r="AG509" s="146"/>
      <c r="AH509" s="211"/>
      <c r="AI509" s="211"/>
      <c r="AJ509" s="211"/>
      <c r="AK509" s="84"/>
      <c r="AL509" s="146"/>
      <c r="AM509" s="211"/>
      <c r="AN509" s="211"/>
      <c r="AO509" s="211"/>
      <c r="AP509" s="436"/>
      <c r="AQ509" s="146"/>
      <c r="AR509" s="211"/>
      <c r="AS509" s="211"/>
      <c r="AT509" s="211"/>
      <c r="AU509" s="84"/>
      <c r="AV509" s="211"/>
      <c r="AW509" s="211"/>
      <c r="AX509" s="211"/>
      <c r="AY509" s="211"/>
      <c r="AZ509" s="84"/>
      <c r="BA509" s="211"/>
      <c r="BB509" s="211"/>
      <c r="BC509" s="211"/>
      <c r="BD509" s="211"/>
      <c r="BE509" s="84"/>
      <c r="BF509" s="211"/>
      <c r="BG509" s="451"/>
    </row>
    <row r="510" spans="1:59" ht="12.75">
      <c r="A510" s="211"/>
      <c r="B510" s="449"/>
      <c r="C510" s="450"/>
      <c r="D510" s="211"/>
      <c r="E510" s="211"/>
      <c r="F510" s="211"/>
      <c r="G510" s="84"/>
      <c r="H510" s="211"/>
      <c r="I510" s="211"/>
      <c r="J510" s="211"/>
      <c r="K510" s="211"/>
      <c r="L510" s="84"/>
      <c r="M510" s="211"/>
      <c r="N510" s="211"/>
      <c r="O510" s="211"/>
      <c r="P510" s="211"/>
      <c r="Q510" s="84"/>
      <c r="R510" s="211"/>
      <c r="S510" s="211"/>
      <c r="T510" s="211"/>
      <c r="U510" s="211"/>
      <c r="V510" s="84"/>
      <c r="W510" s="211"/>
      <c r="X510" s="211"/>
      <c r="Y510" s="211"/>
      <c r="Z510" s="211"/>
      <c r="AA510" s="84"/>
      <c r="AB510" s="146"/>
      <c r="AC510" s="211"/>
      <c r="AD510" s="211"/>
      <c r="AE510" s="211"/>
      <c r="AF510" s="84"/>
      <c r="AG510" s="146"/>
      <c r="AH510" s="211"/>
      <c r="AI510" s="211"/>
      <c r="AJ510" s="211"/>
      <c r="AK510" s="84"/>
      <c r="AL510" s="146"/>
      <c r="AM510" s="211"/>
      <c r="AN510" s="211"/>
      <c r="AO510" s="211"/>
      <c r="AP510" s="436"/>
      <c r="AQ510" s="146"/>
      <c r="AR510" s="211"/>
      <c r="AS510" s="211"/>
      <c r="AT510" s="211"/>
      <c r="AU510" s="84"/>
      <c r="AV510" s="211"/>
      <c r="AW510" s="211"/>
      <c r="AX510" s="211"/>
      <c r="AY510" s="211"/>
      <c r="AZ510" s="84"/>
      <c r="BA510" s="211"/>
      <c r="BB510" s="211"/>
      <c r="BC510" s="211"/>
      <c r="BD510" s="211"/>
      <c r="BE510" s="84"/>
      <c r="BF510" s="211"/>
      <c r="BG510" s="451"/>
    </row>
    <row r="511" spans="1:59" ht="12.75">
      <c r="A511" s="211"/>
      <c r="B511" s="449"/>
      <c r="C511" s="450"/>
      <c r="D511" s="211"/>
      <c r="E511" s="211"/>
      <c r="F511" s="211"/>
      <c r="G511" s="84"/>
      <c r="H511" s="211"/>
      <c r="I511" s="211"/>
      <c r="J511" s="211"/>
      <c r="K511" s="211"/>
      <c r="L511" s="84"/>
      <c r="M511" s="211"/>
      <c r="N511" s="211"/>
      <c r="O511" s="211"/>
      <c r="P511" s="211"/>
      <c r="Q511" s="84"/>
      <c r="R511" s="211"/>
      <c r="S511" s="211"/>
      <c r="T511" s="211"/>
      <c r="U511" s="211"/>
      <c r="V511" s="84"/>
      <c r="W511" s="211"/>
      <c r="X511" s="211"/>
      <c r="Y511" s="211"/>
      <c r="Z511" s="211"/>
      <c r="AA511" s="84"/>
      <c r="AB511" s="146"/>
      <c r="AC511" s="211"/>
      <c r="AD511" s="211"/>
      <c r="AE511" s="211"/>
      <c r="AF511" s="84"/>
      <c r="AG511" s="146"/>
      <c r="AH511" s="211"/>
      <c r="AI511" s="211"/>
      <c r="AJ511" s="211"/>
      <c r="AK511" s="84"/>
      <c r="AL511" s="146"/>
      <c r="AM511" s="211"/>
      <c r="AN511" s="211"/>
      <c r="AO511" s="211"/>
      <c r="AP511" s="436"/>
      <c r="AQ511" s="146"/>
      <c r="AR511" s="211"/>
      <c r="AS511" s="211"/>
      <c r="AT511" s="211"/>
      <c r="AU511" s="84"/>
      <c r="AV511" s="211"/>
      <c r="AW511" s="211"/>
      <c r="AX511" s="211"/>
      <c r="AY511" s="211"/>
      <c r="AZ511" s="84"/>
      <c r="BA511" s="211"/>
      <c r="BB511" s="211"/>
      <c r="BC511" s="211"/>
      <c r="BD511" s="211"/>
      <c r="BE511" s="84"/>
      <c r="BF511" s="211"/>
      <c r="BG511" s="451"/>
    </row>
    <row r="512" spans="1:59" ht="12.75">
      <c r="A512" s="211"/>
      <c r="B512" s="449"/>
      <c r="C512" s="450"/>
      <c r="D512" s="211"/>
      <c r="E512" s="211"/>
      <c r="F512" s="211"/>
      <c r="G512" s="84"/>
      <c r="H512" s="211"/>
      <c r="I512" s="211"/>
      <c r="J512" s="211"/>
      <c r="K512" s="211"/>
      <c r="L512" s="84"/>
      <c r="M512" s="211"/>
      <c r="N512" s="211"/>
      <c r="O512" s="211"/>
      <c r="P512" s="211"/>
      <c r="Q512" s="84"/>
      <c r="R512" s="211"/>
      <c r="S512" s="211"/>
      <c r="T512" s="211"/>
      <c r="U512" s="211"/>
      <c r="V512" s="84"/>
      <c r="W512" s="211"/>
      <c r="X512" s="211"/>
      <c r="Y512" s="211"/>
      <c r="Z512" s="211"/>
      <c r="AA512" s="84"/>
      <c r="AB512" s="146"/>
      <c r="AC512" s="211"/>
      <c r="AD512" s="211"/>
      <c r="AE512" s="211"/>
      <c r="AF512" s="84"/>
      <c r="AG512" s="146"/>
      <c r="AH512" s="211"/>
      <c r="AI512" s="211"/>
      <c r="AJ512" s="211"/>
      <c r="AK512" s="84"/>
      <c r="AL512" s="146"/>
      <c r="AM512" s="211"/>
      <c r="AN512" s="211"/>
      <c r="AO512" s="211"/>
      <c r="AP512" s="436"/>
      <c r="AQ512" s="146"/>
      <c r="AR512" s="211"/>
      <c r="AS512" s="211"/>
      <c r="AT512" s="211"/>
      <c r="AU512" s="84"/>
      <c r="AV512" s="211"/>
      <c r="AW512" s="211"/>
      <c r="AX512" s="211"/>
      <c r="AY512" s="211"/>
      <c r="AZ512" s="84"/>
      <c r="BA512" s="211"/>
      <c r="BB512" s="211"/>
      <c r="BC512" s="211"/>
      <c r="BD512" s="211"/>
      <c r="BE512" s="84"/>
      <c r="BF512" s="211"/>
      <c r="BG512" s="451"/>
    </row>
    <row r="513" spans="1:59" ht="12.75">
      <c r="A513" s="211"/>
      <c r="B513" s="449"/>
      <c r="C513" s="450"/>
      <c r="D513" s="211"/>
      <c r="E513" s="211"/>
      <c r="F513" s="211"/>
      <c r="G513" s="84"/>
      <c r="H513" s="211"/>
      <c r="I513" s="211"/>
      <c r="J513" s="211"/>
      <c r="K513" s="211"/>
      <c r="L513" s="84"/>
      <c r="M513" s="211"/>
      <c r="N513" s="211"/>
      <c r="O513" s="211"/>
      <c r="P513" s="211"/>
      <c r="Q513" s="84"/>
      <c r="R513" s="211"/>
      <c r="S513" s="211"/>
      <c r="T513" s="211"/>
      <c r="U513" s="211"/>
      <c r="V513" s="84"/>
      <c r="W513" s="211"/>
      <c r="X513" s="211"/>
      <c r="Y513" s="211"/>
      <c r="Z513" s="211"/>
      <c r="AA513" s="84"/>
      <c r="AB513" s="146"/>
      <c r="AC513" s="211"/>
      <c r="AD513" s="211"/>
      <c r="AE513" s="211"/>
      <c r="AF513" s="84"/>
      <c r="AG513" s="146"/>
      <c r="AH513" s="211"/>
      <c r="AI513" s="211"/>
      <c r="AJ513" s="211"/>
      <c r="AK513" s="84"/>
      <c r="AL513" s="146"/>
      <c r="AM513" s="211"/>
      <c r="AN513" s="211"/>
      <c r="AO513" s="211"/>
      <c r="AP513" s="436"/>
      <c r="AQ513" s="146"/>
      <c r="AR513" s="211"/>
      <c r="AS513" s="211"/>
      <c r="AT513" s="211"/>
      <c r="AU513" s="84"/>
      <c r="AV513" s="211"/>
      <c r="AW513" s="211"/>
      <c r="AX513" s="211"/>
      <c r="AY513" s="211"/>
      <c r="AZ513" s="84"/>
      <c r="BA513" s="211"/>
      <c r="BB513" s="211"/>
      <c r="BC513" s="211"/>
      <c r="BD513" s="211"/>
      <c r="BE513" s="84"/>
      <c r="BF513" s="211"/>
      <c r="BG513" s="451"/>
    </row>
    <row r="514" spans="1:59" ht="12.75">
      <c r="A514" s="211"/>
      <c r="B514" s="449"/>
      <c r="C514" s="450"/>
      <c r="D514" s="211"/>
      <c r="E514" s="211"/>
      <c r="F514" s="211"/>
      <c r="G514" s="84"/>
      <c r="H514" s="211"/>
      <c r="I514" s="211"/>
      <c r="J514" s="211"/>
      <c r="K514" s="211"/>
      <c r="L514" s="84"/>
      <c r="M514" s="211"/>
      <c r="N514" s="211"/>
      <c r="O514" s="211"/>
      <c r="P514" s="211"/>
      <c r="Q514" s="84"/>
      <c r="R514" s="211"/>
      <c r="S514" s="211"/>
      <c r="T514" s="211"/>
      <c r="U514" s="211"/>
      <c r="V514" s="84"/>
      <c r="W514" s="211"/>
      <c r="X514" s="211"/>
      <c r="Y514" s="211"/>
      <c r="Z514" s="211"/>
      <c r="AA514" s="84"/>
      <c r="AB514" s="146"/>
      <c r="AC514" s="211"/>
      <c r="AD514" s="211"/>
      <c r="AE514" s="211"/>
      <c r="AF514" s="84"/>
      <c r="AG514" s="146"/>
      <c r="AH514" s="211"/>
      <c r="AI514" s="211"/>
      <c r="AJ514" s="211"/>
      <c r="AK514" s="84"/>
      <c r="AL514" s="146"/>
      <c r="AM514" s="211"/>
      <c r="AN514" s="211"/>
      <c r="AO514" s="211"/>
      <c r="AP514" s="436"/>
      <c r="AQ514" s="146"/>
      <c r="AR514" s="211"/>
      <c r="AS514" s="211"/>
      <c r="AT514" s="211"/>
      <c r="AU514" s="84"/>
      <c r="AV514" s="211"/>
      <c r="AW514" s="211"/>
      <c r="AX514" s="211"/>
      <c r="AY514" s="211"/>
      <c r="AZ514" s="84"/>
      <c r="BA514" s="211"/>
      <c r="BB514" s="211"/>
      <c r="BC514" s="211"/>
      <c r="BD514" s="211"/>
      <c r="BE514" s="84"/>
      <c r="BF514" s="211"/>
      <c r="BG514" s="451"/>
    </row>
    <row r="515" spans="1:59" ht="12.75">
      <c r="A515" s="211"/>
      <c r="B515" s="449"/>
      <c r="C515" s="450"/>
      <c r="D515" s="211"/>
      <c r="E515" s="211"/>
      <c r="F515" s="211"/>
      <c r="G515" s="84"/>
      <c r="H515" s="211"/>
      <c r="I515" s="211"/>
      <c r="J515" s="211"/>
      <c r="K515" s="211"/>
      <c r="L515" s="84"/>
      <c r="M515" s="211"/>
      <c r="N515" s="211"/>
      <c r="O515" s="211"/>
      <c r="P515" s="211"/>
      <c r="Q515" s="84"/>
      <c r="R515" s="211"/>
      <c r="S515" s="211"/>
      <c r="T515" s="211"/>
      <c r="U515" s="211"/>
      <c r="V515" s="84"/>
      <c r="W515" s="211"/>
      <c r="X515" s="211"/>
      <c r="Y515" s="211"/>
      <c r="Z515" s="211"/>
      <c r="AA515" s="84"/>
      <c r="AB515" s="146"/>
      <c r="AC515" s="211"/>
      <c r="AD515" s="211"/>
      <c r="AE515" s="211"/>
      <c r="AF515" s="84"/>
      <c r="AG515" s="146"/>
      <c r="AH515" s="211"/>
      <c r="AI515" s="211"/>
      <c r="AJ515" s="211"/>
      <c r="AK515" s="84"/>
      <c r="AL515" s="146"/>
      <c r="AM515" s="211"/>
      <c r="AN515" s="211"/>
      <c r="AO515" s="211"/>
      <c r="AP515" s="436"/>
      <c r="AQ515" s="146"/>
      <c r="AR515" s="211"/>
      <c r="AS515" s="211"/>
      <c r="AT515" s="211"/>
      <c r="AU515" s="84"/>
      <c r="AV515" s="211"/>
      <c r="AW515" s="211"/>
      <c r="AX515" s="211"/>
      <c r="AY515" s="211"/>
      <c r="AZ515" s="84"/>
      <c r="BA515" s="211"/>
      <c r="BB515" s="211"/>
      <c r="BC515" s="211"/>
      <c r="BD515" s="211"/>
      <c r="BE515" s="84"/>
      <c r="BF515" s="211"/>
      <c r="BG515" s="451"/>
    </row>
    <row r="516" spans="1:59" ht="12.75">
      <c r="A516" s="211"/>
      <c r="B516" s="449"/>
      <c r="C516" s="450"/>
      <c r="D516" s="211"/>
      <c r="E516" s="211"/>
      <c r="F516" s="211"/>
      <c r="G516" s="84"/>
      <c r="H516" s="211"/>
      <c r="I516" s="211"/>
      <c r="J516" s="211"/>
      <c r="K516" s="211"/>
      <c r="L516" s="84"/>
      <c r="M516" s="211"/>
      <c r="N516" s="211"/>
      <c r="O516" s="211"/>
      <c r="P516" s="211"/>
      <c r="Q516" s="84"/>
      <c r="R516" s="211"/>
      <c r="S516" s="211"/>
      <c r="T516" s="211"/>
      <c r="U516" s="211"/>
      <c r="V516" s="84"/>
      <c r="W516" s="211"/>
      <c r="X516" s="211"/>
      <c r="Y516" s="211"/>
      <c r="Z516" s="211"/>
      <c r="AA516" s="84"/>
      <c r="AB516" s="146"/>
      <c r="AC516" s="211"/>
      <c r="AD516" s="211"/>
      <c r="AE516" s="211"/>
      <c r="AF516" s="84"/>
      <c r="AG516" s="146"/>
      <c r="AH516" s="211"/>
      <c r="AI516" s="211"/>
      <c r="AJ516" s="211"/>
      <c r="AK516" s="84"/>
      <c r="AL516" s="146"/>
      <c r="AM516" s="211"/>
      <c r="AN516" s="211"/>
      <c r="AO516" s="211"/>
      <c r="AP516" s="436"/>
      <c r="AQ516" s="146"/>
      <c r="AR516" s="211"/>
      <c r="AS516" s="211"/>
      <c r="AT516" s="211"/>
      <c r="AU516" s="84"/>
      <c r="AV516" s="211"/>
      <c r="AW516" s="211"/>
      <c r="AX516" s="211"/>
      <c r="AY516" s="211"/>
      <c r="AZ516" s="84"/>
      <c r="BA516" s="211"/>
      <c r="BB516" s="211"/>
      <c r="BC516" s="211"/>
      <c r="BD516" s="211"/>
      <c r="BE516" s="84"/>
      <c r="BF516" s="211"/>
      <c r="BG516" s="451"/>
    </row>
    <row r="517" spans="1:59" ht="12.75">
      <c r="A517" s="211"/>
      <c r="B517" s="449"/>
      <c r="C517" s="450"/>
      <c r="D517" s="211"/>
      <c r="E517" s="211"/>
      <c r="F517" s="211"/>
      <c r="G517" s="84"/>
      <c r="H517" s="211"/>
      <c r="I517" s="211"/>
      <c r="J517" s="211"/>
      <c r="K517" s="211"/>
      <c r="L517" s="84"/>
      <c r="M517" s="211"/>
      <c r="N517" s="211"/>
      <c r="O517" s="211"/>
      <c r="P517" s="211"/>
      <c r="Q517" s="84"/>
      <c r="R517" s="211"/>
      <c r="S517" s="211"/>
      <c r="T517" s="211"/>
      <c r="U517" s="211"/>
      <c r="V517" s="84"/>
      <c r="W517" s="211"/>
      <c r="X517" s="211"/>
      <c r="Y517" s="211"/>
      <c r="Z517" s="211"/>
      <c r="AA517" s="84"/>
      <c r="AB517" s="146"/>
      <c r="AC517" s="211"/>
      <c r="AD517" s="211"/>
      <c r="AE517" s="211"/>
      <c r="AF517" s="84"/>
      <c r="AG517" s="146"/>
      <c r="AH517" s="211"/>
      <c r="AI517" s="211"/>
      <c r="AJ517" s="211"/>
      <c r="AK517" s="84"/>
      <c r="AL517" s="146"/>
      <c r="AM517" s="211"/>
      <c r="AN517" s="211"/>
      <c r="AO517" s="211"/>
      <c r="AP517" s="436"/>
      <c r="AQ517" s="146"/>
      <c r="AR517" s="211"/>
      <c r="AS517" s="211"/>
      <c r="AT517" s="211"/>
      <c r="AU517" s="84"/>
      <c r="AV517" s="211"/>
      <c r="AW517" s="211"/>
      <c r="AX517" s="211"/>
      <c r="AY517" s="211"/>
      <c r="AZ517" s="84"/>
      <c r="BA517" s="211"/>
      <c r="BB517" s="211"/>
      <c r="BC517" s="211"/>
      <c r="BD517" s="211"/>
      <c r="BE517" s="84"/>
      <c r="BF517" s="211"/>
      <c r="BG517" s="451"/>
    </row>
    <row r="518" spans="1:59" ht="12.75">
      <c r="A518" s="211"/>
      <c r="B518" s="449"/>
      <c r="C518" s="450"/>
      <c r="D518" s="211"/>
      <c r="E518" s="211"/>
      <c r="F518" s="211"/>
      <c r="G518" s="84"/>
      <c r="H518" s="211"/>
      <c r="I518" s="211"/>
      <c r="J518" s="211"/>
      <c r="K518" s="211"/>
      <c r="L518" s="84"/>
      <c r="M518" s="211"/>
      <c r="N518" s="211"/>
      <c r="O518" s="211"/>
      <c r="P518" s="211"/>
      <c r="Q518" s="84"/>
      <c r="R518" s="211"/>
      <c r="S518" s="211"/>
      <c r="T518" s="211"/>
      <c r="U518" s="211"/>
      <c r="V518" s="84"/>
      <c r="W518" s="211"/>
      <c r="X518" s="211"/>
      <c r="Y518" s="211"/>
      <c r="Z518" s="211"/>
      <c r="AA518" s="84"/>
      <c r="AB518" s="146"/>
      <c r="AC518" s="211"/>
      <c r="AD518" s="211"/>
      <c r="AE518" s="211"/>
      <c r="AF518" s="84"/>
      <c r="AG518" s="146"/>
      <c r="AH518" s="211"/>
      <c r="AI518" s="211"/>
      <c r="AJ518" s="211"/>
      <c r="AK518" s="84"/>
      <c r="AL518" s="146"/>
      <c r="AM518" s="211"/>
      <c r="AN518" s="211"/>
      <c r="AO518" s="211"/>
      <c r="AP518" s="436"/>
      <c r="AQ518" s="146"/>
      <c r="AR518" s="211"/>
      <c r="AS518" s="211"/>
      <c r="AT518" s="211"/>
      <c r="AU518" s="84"/>
      <c r="AV518" s="211"/>
      <c r="AW518" s="211"/>
      <c r="AX518" s="211"/>
      <c r="AY518" s="211"/>
      <c r="AZ518" s="84"/>
      <c r="BA518" s="211"/>
      <c r="BB518" s="211"/>
      <c r="BC518" s="211"/>
      <c r="BD518" s="211"/>
      <c r="BE518" s="84"/>
      <c r="BF518" s="211"/>
      <c r="BG518" s="451"/>
    </row>
    <row r="519" spans="1:59" ht="12.75">
      <c r="A519" s="211"/>
      <c r="B519" s="449"/>
      <c r="C519" s="450"/>
      <c r="D519" s="211"/>
      <c r="E519" s="211"/>
      <c r="F519" s="211"/>
      <c r="G519" s="84"/>
      <c r="H519" s="211"/>
      <c r="I519" s="211"/>
      <c r="J519" s="211"/>
      <c r="K519" s="211"/>
      <c r="L519" s="84"/>
      <c r="M519" s="211"/>
      <c r="N519" s="211"/>
      <c r="O519" s="211"/>
      <c r="P519" s="211"/>
      <c r="Q519" s="84"/>
      <c r="R519" s="211"/>
      <c r="S519" s="211"/>
      <c r="T519" s="211"/>
      <c r="U519" s="211"/>
      <c r="V519" s="84"/>
      <c r="W519" s="211"/>
      <c r="X519" s="211"/>
      <c r="Y519" s="211"/>
      <c r="Z519" s="211"/>
      <c r="AA519" s="84"/>
      <c r="AB519" s="146"/>
      <c r="AC519" s="211"/>
      <c r="AD519" s="211"/>
      <c r="AE519" s="211"/>
      <c r="AF519" s="84"/>
      <c r="AG519" s="146"/>
      <c r="AH519" s="211"/>
      <c r="AI519" s="211"/>
      <c r="AJ519" s="211"/>
      <c r="AK519" s="84"/>
      <c r="AL519" s="146"/>
      <c r="AM519" s="211"/>
      <c r="AN519" s="211"/>
      <c r="AO519" s="211"/>
      <c r="AP519" s="436"/>
      <c r="AQ519" s="146"/>
      <c r="AR519" s="211"/>
      <c r="AS519" s="211"/>
      <c r="AT519" s="211"/>
      <c r="AU519" s="84"/>
      <c r="AV519" s="211"/>
      <c r="AW519" s="211"/>
      <c r="AX519" s="211"/>
      <c r="AY519" s="211"/>
      <c r="AZ519" s="84"/>
      <c r="BA519" s="211"/>
      <c r="BB519" s="211"/>
      <c r="BC519" s="211"/>
      <c r="BD519" s="211"/>
      <c r="BE519" s="84"/>
      <c r="BF519" s="211"/>
      <c r="BG519" s="451"/>
    </row>
    <row r="520" spans="1:59" ht="12.75">
      <c r="A520" s="211"/>
      <c r="B520" s="449"/>
      <c r="C520" s="450"/>
      <c r="D520" s="211"/>
      <c r="E520" s="211"/>
      <c r="F520" s="211"/>
      <c r="G520" s="84"/>
      <c r="H520" s="211"/>
      <c r="I520" s="211"/>
      <c r="J520" s="211"/>
      <c r="K520" s="211"/>
      <c r="L520" s="84"/>
      <c r="M520" s="211"/>
      <c r="N520" s="211"/>
      <c r="O520" s="211"/>
      <c r="P520" s="211"/>
      <c r="Q520" s="84"/>
      <c r="R520" s="211"/>
      <c r="S520" s="211"/>
      <c r="T520" s="211"/>
      <c r="U520" s="211"/>
      <c r="V520" s="84"/>
      <c r="W520" s="211"/>
      <c r="X520" s="211"/>
      <c r="Y520" s="211"/>
      <c r="Z520" s="211"/>
      <c r="AA520" s="84"/>
      <c r="AB520" s="146"/>
      <c r="AC520" s="211"/>
      <c r="AD520" s="211"/>
      <c r="AE520" s="211"/>
      <c r="AF520" s="84"/>
      <c r="AG520" s="146"/>
      <c r="AH520" s="211"/>
      <c r="AI520" s="211"/>
      <c r="AJ520" s="211"/>
      <c r="AK520" s="84"/>
      <c r="AL520" s="146"/>
      <c r="AM520" s="211"/>
      <c r="AN520" s="211"/>
      <c r="AO520" s="211"/>
      <c r="AP520" s="436"/>
      <c r="AQ520" s="146"/>
      <c r="AR520" s="211"/>
      <c r="AS520" s="211"/>
      <c r="AT520" s="211"/>
      <c r="AU520" s="84"/>
      <c r="AV520" s="211"/>
      <c r="AW520" s="211"/>
      <c r="AX520" s="211"/>
      <c r="AY520" s="211"/>
      <c r="AZ520" s="84"/>
      <c r="BA520" s="211"/>
      <c r="BB520" s="211"/>
      <c r="BC520" s="211"/>
      <c r="BD520" s="211"/>
      <c r="BE520" s="84"/>
      <c r="BF520" s="211"/>
      <c r="BG520" s="451"/>
    </row>
    <row r="521" spans="1:59" ht="12.75">
      <c r="A521" s="211"/>
      <c r="B521" s="449"/>
      <c r="C521" s="450"/>
      <c r="D521" s="211"/>
      <c r="E521" s="211"/>
      <c r="F521" s="211"/>
      <c r="G521" s="84"/>
      <c r="H521" s="211"/>
      <c r="I521" s="211"/>
      <c r="J521" s="211"/>
      <c r="K521" s="211"/>
      <c r="L521" s="84"/>
      <c r="M521" s="211"/>
      <c r="N521" s="211"/>
      <c r="O521" s="211"/>
      <c r="P521" s="211"/>
      <c r="Q521" s="84"/>
      <c r="R521" s="211"/>
      <c r="S521" s="211"/>
      <c r="T521" s="211"/>
      <c r="U521" s="211"/>
      <c r="V521" s="84"/>
      <c r="W521" s="211"/>
      <c r="X521" s="211"/>
      <c r="Y521" s="211"/>
      <c r="Z521" s="211"/>
      <c r="AA521" s="84"/>
      <c r="AB521" s="146"/>
      <c r="AC521" s="211"/>
      <c r="AD521" s="211"/>
      <c r="AE521" s="211"/>
      <c r="AF521" s="84"/>
      <c r="AG521" s="146"/>
      <c r="AH521" s="211"/>
      <c r="AI521" s="211"/>
      <c r="AJ521" s="211"/>
      <c r="AK521" s="84"/>
      <c r="AL521" s="146"/>
      <c r="AM521" s="211"/>
      <c r="AN521" s="211"/>
      <c r="AO521" s="211"/>
      <c r="AP521" s="436"/>
      <c r="AQ521" s="146"/>
      <c r="AR521" s="211"/>
      <c r="AS521" s="211"/>
      <c r="AT521" s="211"/>
      <c r="AU521" s="84"/>
      <c r="AV521" s="211"/>
      <c r="AW521" s="211"/>
      <c r="AX521" s="211"/>
      <c r="AY521" s="211"/>
      <c r="AZ521" s="84"/>
      <c r="BA521" s="211"/>
      <c r="BB521" s="211"/>
      <c r="BC521" s="211"/>
      <c r="BD521" s="211"/>
      <c r="BE521" s="84"/>
      <c r="BF521" s="211"/>
      <c r="BG521" s="451"/>
    </row>
    <row r="522" spans="1:59" ht="12.75">
      <c r="A522" s="211"/>
      <c r="B522" s="449"/>
      <c r="C522" s="450"/>
      <c r="D522" s="211"/>
      <c r="E522" s="211"/>
      <c r="F522" s="211"/>
      <c r="G522" s="84"/>
      <c r="H522" s="211"/>
      <c r="I522" s="211"/>
      <c r="J522" s="211"/>
      <c r="K522" s="211"/>
      <c r="L522" s="84"/>
      <c r="M522" s="211"/>
      <c r="N522" s="211"/>
      <c r="O522" s="211"/>
      <c r="P522" s="211"/>
      <c r="Q522" s="84"/>
      <c r="R522" s="211"/>
      <c r="S522" s="211"/>
      <c r="T522" s="211"/>
      <c r="U522" s="211"/>
      <c r="V522" s="84"/>
      <c r="W522" s="211"/>
      <c r="X522" s="211"/>
      <c r="Y522" s="211"/>
      <c r="Z522" s="211"/>
      <c r="AA522" s="84"/>
      <c r="AB522" s="146"/>
      <c r="AC522" s="211"/>
      <c r="AD522" s="211"/>
      <c r="AE522" s="211"/>
      <c r="AF522" s="84"/>
      <c r="AG522" s="146"/>
      <c r="AH522" s="211"/>
      <c r="AI522" s="211"/>
      <c r="AJ522" s="211"/>
      <c r="AK522" s="84"/>
      <c r="AL522" s="146"/>
      <c r="AM522" s="211"/>
      <c r="AN522" s="211"/>
      <c r="AO522" s="211"/>
      <c r="AP522" s="436"/>
      <c r="AQ522" s="146"/>
      <c r="AR522" s="211"/>
      <c r="AS522" s="211"/>
      <c r="AT522" s="211"/>
      <c r="AU522" s="84"/>
      <c r="AV522" s="211"/>
      <c r="AW522" s="211"/>
      <c r="AX522" s="211"/>
      <c r="AY522" s="211"/>
      <c r="AZ522" s="84"/>
      <c r="BA522" s="211"/>
      <c r="BB522" s="211"/>
      <c r="BC522" s="211"/>
      <c r="BD522" s="211"/>
      <c r="BE522" s="84"/>
      <c r="BF522" s="211"/>
      <c r="BG522" s="451"/>
    </row>
    <row r="523" spans="1:59" ht="12.75">
      <c r="A523" s="211"/>
      <c r="B523" s="449"/>
      <c r="C523" s="450"/>
      <c r="D523" s="211"/>
      <c r="E523" s="211"/>
      <c r="F523" s="211"/>
      <c r="G523" s="84"/>
      <c r="H523" s="211"/>
      <c r="I523" s="211"/>
      <c r="J523" s="211"/>
      <c r="K523" s="211"/>
      <c r="L523" s="84"/>
      <c r="M523" s="211"/>
      <c r="N523" s="211"/>
      <c r="O523" s="211"/>
      <c r="P523" s="211"/>
      <c r="Q523" s="84"/>
      <c r="R523" s="211"/>
      <c r="S523" s="211"/>
      <c r="T523" s="211"/>
      <c r="U523" s="211"/>
      <c r="V523" s="84"/>
      <c r="W523" s="211"/>
      <c r="X523" s="211"/>
      <c r="Y523" s="211"/>
      <c r="Z523" s="211"/>
      <c r="AA523" s="84"/>
      <c r="AB523" s="146"/>
      <c r="AC523" s="211"/>
      <c r="AD523" s="211"/>
      <c r="AE523" s="211"/>
      <c r="AF523" s="84"/>
      <c r="AG523" s="146"/>
      <c r="AH523" s="211"/>
      <c r="AI523" s="211"/>
      <c r="AJ523" s="211"/>
      <c r="AK523" s="84"/>
      <c r="AL523" s="146"/>
      <c r="AM523" s="211"/>
      <c r="AN523" s="211"/>
      <c r="AO523" s="211"/>
      <c r="AP523" s="436"/>
      <c r="AQ523" s="146"/>
      <c r="AR523" s="211"/>
      <c r="AS523" s="211"/>
      <c r="AT523" s="211"/>
      <c r="AU523" s="84"/>
      <c r="AV523" s="211"/>
      <c r="AW523" s="211"/>
      <c r="AX523" s="211"/>
      <c r="AY523" s="211"/>
      <c r="AZ523" s="84"/>
      <c r="BA523" s="211"/>
      <c r="BB523" s="211"/>
      <c r="BC523" s="211"/>
      <c r="BD523" s="211"/>
      <c r="BE523" s="84"/>
      <c r="BF523" s="211"/>
      <c r="BG523" s="451"/>
    </row>
    <row r="524" spans="1:59" ht="12.75">
      <c r="A524" s="211"/>
      <c r="B524" s="449"/>
      <c r="C524" s="450"/>
      <c r="D524" s="211"/>
      <c r="E524" s="211"/>
      <c r="F524" s="211"/>
      <c r="G524" s="84"/>
      <c r="H524" s="211"/>
      <c r="I524" s="211"/>
      <c r="J524" s="211"/>
      <c r="K524" s="211"/>
      <c r="L524" s="84"/>
      <c r="M524" s="211"/>
      <c r="N524" s="211"/>
      <c r="O524" s="211"/>
      <c r="P524" s="211"/>
      <c r="Q524" s="84"/>
      <c r="R524" s="211"/>
      <c r="S524" s="211"/>
      <c r="T524" s="211"/>
      <c r="U524" s="211"/>
      <c r="V524" s="84"/>
      <c r="W524" s="211"/>
      <c r="X524" s="211"/>
      <c r="Y524" s="211"/>
      <c r="Z524" s="211"/>
      <c r="AA524" s="84"/>
      <c r="AB524" s="146"/>
      <c r="AC524" s="211"/>
      <c r="AD524" s="211"/>
      <c r="AE524" s="211"/>
      <c r="AF524" s="84"/>
      <c r="AG524" s="146"/>
      <c r="AH524" s="211"/>
      <c r="AI524" s="211"/>
      <c r="AJ524" s="211"/>
      <c r="AK524" s="84"/>
      <c r="AL524" s="146"/>
      <c r="AM524" s="211"/>
      <c r="AN524" s="211"/>
      <c r="AO524" s="211"/>
      <c r="AP524" s="436"/>
      <c r="AQ524" s="146"/>
      <c r="AR524" s="211"/>
      <c r="AS524" s="211"/>
      <c r="AT524" s="211"/>
      <c r="AU524" s="84"/>
      <c r="AV524" s="211"/>
      <c r="AW524" s="211"/>
      <c r="AX524" s="211"/>
      <c r="AY524" s="211"/>
      <c r="AZ524" s="84"/>
      <c r="BA524" s="211"/>
      <c r="BB524" s="211"/>
      <c r="BC524" s="211"/>
      <c r="BD524" s="211"/>
      <c r="BE524" s="84"/>
      <c r="BF524" s="211"/>
      <c r="BG524" s="451"/>
    </row>
    <row r="525" spans="1:59" ht="12.75">
      <c r="A525" s="211"/>
      <c r="B525" s="449"/>
      <c r="C525" s="450"/>
      <c r="D525" s="211"/>
      <c r="E525" s="211"/>
      <c r="F525" s="211"/>
      <c r="G525" s="84"/>
      <c r="H525" s="211"/>
      <c r="I525" s="211"/>
      <c r="J525" s="211"/>
      <c r="K525" s="211"/>
      <c r="L525" s="84"/>
      <c r="M525" s="211"/>
      <c r="N525" s="211"/>
      <c r="O525" s="211"/>
      <c r="P525" s="211"/>
      <c r="Q525" s="84"/>
      <c r="R525" s="211"/>
      <c r="S525" s="211"/>
      <c r="T525" s="211"/>
      <c r="U525" s="211"/>
      <c r="V525" s="84"/>
      <c r="W525" s="211"/>
      <c r="X525" s="211"/>
      <c r="Y525" s="211"/>
      <c r="Z525" s="211"/>
      <c r="AA525" s="84"/>
      <c r="AB525" s="146"/>
      <c r="AC525" s="211"/>
      <c r="AD525" s="211"/>
      <c r="AE525" s="211"/>
      <c r="AF525" s="84"/>
      <c r="AG525" s="146"/>
      <c r="AH525" s="211"/>
      <c r="AI525" s="211"/>
      <c r="AJ525" s="211"/>
      <c r="AK525" s="84"/>
      <c r="AL525" s="146"/>
      <c r="AM525" s="211"/>
      <c r="AN525" s="211"/>
      <c r="AO525" s="211"/>
      <c r="AP525" s="436"/>
      <c r="AQ525" s="146"/>
      <c r="AR525" s="211"/>
      <c r="AS525" s="211"/>
      <c r="AT525" s="211"/>
      <c r="AU525" s="84"/>
      <c r="AV525" s="211"/>
      <c r="AW525" s="211"/>
      <c r="AX525" s="211"/>
      <c r="AY525" s="211"/>
      <c r="AZ525" s="84"/>
      <c r="BA525" s="211"/>
      <c r="BB525" s="211"/>
      <c r="BC525" s="211"/>
      <c r="BD525" s="211"/>
      <c r="BE525" s="84"/>
      <c r="BF525" s="211"/>
      <c r="BG525" s="451"/>
    </row>
    <row r="526" spans="1:59" ht="12.75">
      <c r="A526" s="211"/>
      <c r="B526" s="449"/>
      <c r="C526" s="450"/>
      <c r="D526" s="211"/>
      <c r="E526" s="211"/>
      <c r="F526" s="211"/>
      <c r="G526" s="84"/>
      <c r="H526" s="211"/>
      <c r="I526" s="211"/>
      <c r="J526" s="211"/>
      <c r="K526" s="211"/>
      <c r="L526" s="84"/>
      <c r="M526" s="211"/>
      <c r="N526" s="211"/>
      <c r="O526" s="211"/>
      <c r="P526" s="211"/>
      <c r="Q526" s="84"/>
      <c r="R526" s="211"/>
      <c r="S526" s="211"/>
      <c r="T526" s="211"/>
      <c r="U526" s="211"/>
      <c r="V526" s="84"/>
      <c r="W526" s="211"/>
      <c r="X526" s="211"/>
      <c r="Y526" s="211"/>
      <c r="Z526" s="211"/>
      <c r="AA526" s="84"/>
      <c r="AB526" s="146"/>
      <c r="AC526" s="211"/>
      <c r="AD526" s="211"/>
      <c r="AE526" s="211"/>
      <c r="AF526" s="84"/>
      <c r="AG526" s="146"/>
      <c r="AH526" s="211"/>
      <c r="AI526" s="211"/>
      <c r="AJ526" s="211"/>
      <c r="AK526" s="84"/>
      <c r="AL526" s="146"/>
      <c r="AM526" s="211"/>
      <c r="AN526" s="211"/>
      <c r="AO526" s="211"/>
      <c r="AP526" s="436"/>
      <c r="AQ526" s="146"/>
      <c r="AR526" s="211"/>
      <c r="AS526" s="211"/>
      <c r="AT526" s="211"/>
      <c r="AU526" s="84"/>
      <c r="AV526" s="211"/>
      <c r="AW526" s="211"/>
      <c r="AX526" s="211"/>
      <c r="AY526" s="211"/>
      <c r="AZ526" s="84"/>
      <c r="BA526" s="211"/>
      <c r="BB526" s="211"/>
      <c r="BC526" s="211"/>
      <c r="BD526" s="211"/>
      <c r="BE526" s="84"/>
      <c r="BF526" s="211"/>
      <c r="BG526" s="451"/>
    </row>
    <row r="527" spans="1:59" ht="12.75">
      <c r="A527" s="211"/>
      <c r="B527" s="449"/>
      <c r="C527" s="450"/>
      <c r="D527" s="211"/>
      <c r="E527" s="211"/>
      <c r="F527" s="211"/>
      <c r="G527" s="84"/>
      <c r="H527" s="211"/>
      <c r="I527" s="211"/>
      <c r="J527" s="211"/>
      <c r="K527" s="211"/>
      <c r="L527" s="84"/>
      <c r="M527" s="211"/>
      <c r="N527" s="211"/>
      <c r="O527" s="211"/>
      <c r="P527" s="211"/>
      <c r="Q527" s="84"/>
      <c r="R527" s="211"/>
      <c r="S527" s="211"/>
      <c r="T527" s="211"/>
      <c r="U527" s="211"/>
      <c r="V527" s="84"/>
      <c r="W527" s="211"/>
      <c r="X527" s="211"/>
      <c r="Y527" s="211"/>
      <c r="Z527" s="211"/>
      <c r="AA527" s="84"/>
      <c r="AB527" s="146"/>
      <c r="AC527" s="211"/>
      <c r="AD527" s="211"/>
      <c r="AE527" s="211"/>
      <c r="AF527" s="84"/>
      <c r="AG527" s="146"/>
      <c r="AH527" s="211"/>
      <c r="AI527" s="211"/>
      <c r="AJ527" s="211"/>
      <c r="AK527" s="84"/>
      <c r="AL527" s="146"/>
      <c r="AM527" s="211"/>
      <c r="AN527" s="211"/>
      <c r="AO527" s="211"/>
      <c r="AP527" s="436"/>
      <c r="AQ527" s="146"/>
      <c r="AR527" s="211"/>
      <c r="AS527" s="211"/>
      <c r="AT527" s="211"/>
      <c r="AU527" s="84"/>
      <c r="AV527" s="211"/>
      <c r="AW527" s="211"/>
      <c r="AX527" s="211"/>
      <c r="AY527" s="211"/>
      <c r="AZ527" s="84"/>
      <c r="BA527" s="211"/>
      <c r="BB527" s="211"/>
      <c r="BC527" s="211"/>
      <c r="BD527" s="211"/>
      <c r="BE527" s="84"/>
      <c r="BF527" s="211"/>
      <c r="BG527" s="451"/>
    </row>
    <row r="528" spans="1:59" ht="12.75">
      <c r="A528" s="211"/>
      <c r="B528" s="449"/>
      <c r="C528" s="450"/>
      <c r="D528" s="211"/>
      <c r="E528" s="211"/>
      <c r="F528" s="211"/>
      <c r="G528" s="84"/>
      <c r="H528" s="211"/>
      <c r="I528" s="211"/>
      <c r="J528" s="211"/>
      <c r="K528" s="211"/>
      <c r="L528" s="84"/>
      <c r="M528" s="211"/>
      <c r="N528" s="211"/>
      <c r="O528" s="211"/>
      <c r="P528" s="211"/>
      <c r="Q528" s="84"/>
      <c r="R528" s="211"/>
      <c r="S528" s="211"/>
      <c r="T528" s="211"/>
      <c r="U528" s="211"/>
      <c r="V528" s="84"/>
      <c r="W528" s="211"/>
      <c r="X528" s="211"/>
      <c r="Y528" s="211"/>
      <c r="Z528" s="211"/>
      <c r="AA528" s="84"/>
      <c r="AB528" s="146"/>
      <c r="AC528" s="211"/>
      <c r="AD528" s="211"/>
      <c r="AE528" s="211"/>
      <c r="AF528" s="84"/>
      <c r="AG528" s="146"/>
      <c r="AH528" s="211"/>
      <c r="AI528" s="211"/>
      <c r="AJ528" s="211"/>
      <c r="AK528" s="84"/>
      <c r="AL528" s="146"/>
      <c r="AM528" s="211"/>
      <c r="AN528" s="211"/>
      <c r="AO528" s="211"/>
      <c r="AP528" s="436"/>
      <c r="AQ528" s="146"/>
      <c r="AR528" s="211"/>
      <c r="AS528" s="211"/>
      <c r="AT528" s="211"/>
      <c r="AU528" s="84"/>
      <c r="AV528" s="211"/>
      <c r="AW528" s="211"/>
      <c r="AX528" s="211"/>
      <c r="AY528" s="211"/>
      <c r="AZ528" s="84"/>
      <c r="BA528" s="211"/>
      <c r="BB528" s="211"/>
      <c r="BC528" s="211"/>
      <c r="BD528" s="211"/>
      <c r="BE528" s="84"/>
      <c r="BF528" s="211"/>
      <c r="BG528" s="451"/>
    </row>
    <row r="529" spans="1:59" ht="12.75">
      <c r="A529" s="211"/>
      <c r="B529" s="449"/>
      <c r="C529" s="450"/>
      <c r="D529" s="211"/>
      <c r="E529" s="211"/>
      <c r="F529" s="211"/>
      <c r="G529" s="84"/>
      <c r="H529" s="211"/>
      <c r="I529" s="211"/>
      <c r="J529" s="211"/>
      <c r="K529" s="211"/>
      <c r="L529" s="84"/>
      <c r="M529" s="211"/>
      <c r="N529" s="211"/>
      <c r="O529" s="211"/>
      <c r="P529" s="211"/>
      <c r="Q529" s="84"/>
      <c r="R529" s="211"/>
      <c r="S529" s="211"/>
      <c r="T529" s="211"/>
      <c r="U529" s="211"/>
      <c r="V529" s="84"/>
      <c r="W529" s="211"/>
      <c r="X529" s="211"/>
      <c r="Y529" s="211"/>
      <c r="Z529" s="211"/>
      <c r="AA529" s="84"/>
      <c r="AB529" s="146"/>
      <c r="AC529" s="211"/>
      <c r="AD529" s="211"/>
      <c r="AE529" s="211"/>
      <c r="AF529" s="84"/>
      <c r="AG529" s="146"/>
      <c r="AH529" s="211"/>
      <c r="AI529" s="211"/>
      <c r="AJ529" s="211"/>
      <c r="AK529" s="84"/>
      <c r="AL529" s="146"/>
      <c r="AM529" s="211"/>
      <c r="AN529" s="211"/>
      <c r="AO529" s="211"/>
      <c r="AP529" s="436"/>
      <c r="AQ529" s="146"/>
      <c r="AR529" s="211"/>
      <c r="AS529" s="211"/>
      <c r="AT529" s="211"/>
      <c r="AU529" s="84"/>
      <c r="AV529" s="211"/>
      <c r="AW529" s="211"/>
      <c r="AX529" s="211"/>
      <c r="AY529" s="211"/>
      <c r="AZ529" s="84"/>
      <c r="BA529" s="211"/>
      <c r="BB529" s="211"/>
      <c r="BC529" s="211"/>
      <c r="BD529" s="211"/>
      <c r="BE529" s="84"/>
      <c r="BF529" s="211"/>
      <c r="BG529" s="451"/>
    </row>
    <row r="530" spans="1:59" ht="12.75">
      <c r="A530" s="211"/>
      <c r="B530" s="449"/>
      <c r="C530" s="450"/>
      <c r="D530" s="211"/>
      <c r="E530" s="211"/>
      <c r="F530" s="211"/>
      <c r="G530" s="84"/>
      <c r="H530" s="211"/>
      <c r="I530" s="211"/>
      <c r="J530" s="211"/>
      <c r="K530" s="211"/>
      <c r="L530" s="84"/>
      <c r="M530" s="211"/>
      <c r="N530" s="211"/>
      <c r="O530" s="211"/>
      <c r="P530" s="211"/>
      <c r="Q530" s="84"/>
      <c r="R530" s="211"/>
      <c r="S530" s="211"/>
      <c r="T530" s="211"/>
      <c r="U530" s="211"/>
      <c r="V530" s="84"/>
      <c r="W530" s="211"/>
      <c r="X530" s="211"/>
      <c r="Y530" s="211"/>
      <c r="Z530" s="211"/>
      <c r="AA530" s="84"/>
      <c r="AB530" s="146"/>
      <c r="AC530" s="211"/>
      <c r="AD530" s="211"/>
      <c r="AE530" s="211"/>
      <c r="AF530" s="84"/>
      <c r="AG530" s="146"/>
      <c r="AH530" s="211"/>
      <c r="AI530" s="211"/>
      <c r="AJ530" s="211"/>
      <c r="AK530" s="84"/>
      <c r="AL530" s="146"/>
      <c r="AM530" s="211"/>
      <c r="AN530" s="211"/>
      <c r="AO530" s="211"/>
      <c r="AP530" s="436"/>
      <c r="AQ530" s="146"/>
      <c r="AR530" s="211"/>
      <c r="AS530" s="211"/>
      <c r="AT530" s="211"/>
      <c r="AU530" s="84"/>
      <c r="AV530" s="211"/>
      <c r="AW530" s="211"/>
      <c r="AX530" s="211"/>
      <c r="AY530" s="211"/>
      <c r="AZ530" s="84"/>
      <c r="BA530" s="211"/>
      <c r="BB530" s="211"/>
      <c r="BC530" s="211"/>
      <c r="BD530" s="211"/>
      <c r="BE530" s="84"/>
      <c r="BF530" s="211"/>
      <c r="BG530" s="451"/>
    </row>
    <row r="531" spans="1:59" ht="12.75">
      <c r="A531" s="211"/>
      <c r="B531" s="449"/>
      <c r="C531" s="450"/>
      <c r="D531" s="211"/>
      <c r="E531" s="211"/>
      <c r="F531" s="211"/>
      <c r="G531" s="84"/>
      <c r="H531" s="211"/>
      <c r="I531" s="211"/>
      <c r="J531" s="211"/>
      <c r="K531" s="211"/>
      <c r="L531" s="84"/>
      <c r="M531" s="211"/>
      <c r="N531" s="211"/>
      <c r="O531" s="211"/>
      <c r="P531" s="211"/>
      <c r="Q531" s="84"/>
      <c r="R531" s="211"/>
      <c r="S531" s="211"/>
      <c r="T531" s="211"/>
      <c r="U531" s="211"/>
      <c r="V531" s="84"/>
      <c r="W531" s="211"/>
      <c r="X531" s="211"/>
      <c r="Y531" s="211"/>
      <c r="Z531" s="211"/>
      <c r="AA531" s="84"/>
      <c r="AB531" s="146"/>
      <c r="AC531" s="211"/>
      <c r="AD531" s="211"/>
      <c r="AE531" s="211"/>
      <c r="AF531" s="84"/>
      <c r="AG531" s="146"/>
      <c r="AH531" s="211"/>
      <c r="AI531" s="211"/>
      <c r="AJ531" s="211"/>
      <c r="AK531" s="84"/>
      <c r="AL531" s="146"/>
      <c r="AM531" s="211"/>
      <c r="AN531" s="211"/>
      <c r="AO531" s="211"/>
      <c r="AP531" s="436"/>
      <c r="AQ531" s="146"/>
      <c r="AR531" s="211"/>
      <c r="AS531" s="211"/>
      <c r="AT531" s="211"/>
      <c r="AU531" s="84"/>
      <c r="AV531" s="211"/>
      <c r="AW531" s="211"/>
      <c r="AX531" s="211"/>
      <c r="AY531" s="211"/>
      <c r="AZ531" s="84"/>
      <c r="BA531" s="211"/>
      <c r="BB531" s="211"/>
      <c r="BC531" s="211"/>
      <c r="BD531" s="211"/>
      <c r="BE531" s="84"/>
      <c r="BF531" s="211"/>
      <c r="BG531" s="451"/>
    </row>
    <row r="532" spans="1:59" ht="12.75">
      <c r="A532" s="211"/>
      <c r="B532" s="449"/>
      <c r="C532" s="450"/>
      <c r="D532" s="211"/>
      <c r="E532" s="211"/>
      <c r="F532" s="211"/>
      <c r="G532" s="84"/>
      <c r="H532" s="211"/>
      <c r="I532" s="211"/>
      <c r="J532" s="211"/>
      <c r="K532" s="211"/>
      <c r="L532" s="84"/>
      <c r="M532" s="211"/>
      <c r="N532" s="211"/>
      <c r="O532" s="211"/>
      <c r="P532" s="211"/>
      <c r="Q532" s="84"/>
      <c r="R532" s="211"/>
      <c r="S532" s="211"/>
      <c r="T532" s="211"/>
      <c r="U532" s="211"/>
      <c r="V532" s="84"/>
      <c r="W532" s="211"/>
      <c r="X532" s="211"/>
      <c r="Y532" s="211"/>
      <c r="Z532" s="211"/>
      <c r="AA532" s="84"/>
      <c r="AB532" s="146"/>
      <c r="AC532" s="211"/>
      <c r="AD532" s="211"/>
      <c r="AE532" s="211"/>
      <c r="AF532" s="84"/>
      <c r="AG532" s="146"/>
      <c r="AH532" s="211"/>
      <c r="AI532" s="211"/>
      <c r="AJ532" s="211"/>
      <c r="AK532" s="84"/>
      <c r="AL532" s="146"/>
      <c r="AM532" s="211"/>
      <c r="AN532" s="211"/>
      <c r="AO532" s="211"/>
      <c r="AP532" s="436"/>
      <c r="AQ532" s="146"/>
      <c r="AR532" s="211"/>
      <c r="AS532" s="211"/>
      <c r="AT532" s="211"/>
      <c r="AU532" s="84"/>
      <c r="AV532" s="211"/>
      <c r="AW532" s="211"/>
      <c r="AX532" s="211"/>
      <c r="AY532" s="211"/>
      <c r="AZ532" s="84"/>
      <c r="BA532" s="211"/>
      <c r="BB532" s="211"/>
      <c r="BC532" s="211"/>
      <c r="BD532" s="211"/>
      <c r="BE532" s="84"/>
      <c r="BF532" s="211"/>
      <c r="BG532" s="451"/>
    </row>
    <row r="533" spans="1:59" ht="12.75">
      <c r="A533" s="211"/>
      <c r="B533" s="449"/>
      <c r="C533" s="450"/>
      <c r="D533" s="211"/>
      <c r="E533" s="211"/>
      <c r="F533" s="211"/>
      <c r="G533" s="84"/>
      <c r="H533" s="211"/>
      <c r="I533" s="211"/>
      <c r="J533" s="211"/>
      <c r="K533" s="211"/>
      <c r="L533" s="84"/>
      <c r="M533" s="211"/>
      <c r="N533" s="211"/>
      <c r="O533" s="211"/>
      <c r="P533" s="211"/>
      <c r="Q533" s="84"/>
      <c r="R533" s="211"/>
      <c r="S533" s="211"/>
      <c r="T533" s="211"/>
      <c r="U533" s="211"/>
      <c r="V533" s="84"/>
      <c r="W533" s="211"/>
      <c r="X533" s="211"/>
      <c r="Y533" s="211"/>
      <c r="Z533" s="211"/>
      <c r="AA533" s="84"/>
      <c r="AB533" s="146"/>
      <c r="AC533" s="211"/>
      <c r="AD533" s="211"/>
      <c r="AE533" s="211"/>
      <c r="AF533" s="84"/>
      <c r="AG533" s="146"/>
      <c r="AH533" s="211"/>
      <c r="AI533" s="211"/>
      <c r="AJ533" s="211"/>
      <c r="AK533" s="84"/>
      <c r="AL533" s="146"/>
      <c r="AM533" s="211"/>
      <c r="AN533" s="211"/>
      <c r="AO533" s="211"/>
      <c r="AP533" s="436"/>
      <c r="AQ533" s="146"/>
      <c r="AR533" s="211"/>
      <c r="AS533" s="211"/>
      <c r="AT533" s="211"/>
      <c r="AU533" s="84"/>
      <c r="AV533" s="211"/>
      <c r="AW533" s="211"/>
      <c r="AX533" s="211"/>
      <c r="AY533" s="211"/>
      <c r="AZ533" s="84"/>
      <c r="BA533" s="211"/>
      <c r="BB533" s="211"/>
      <c r="BC533" s="211"/>
      <c r="BD533" s="211"/>
      <c r="BE533" s="84"/>
      <c r="BF533" s="211"/>
      <c r="BG533" s="451"/>
    </row>
    <row r="534" spans="1:59" ht="12.75">
      <c r="A534" s="211"/>
      <c r="B534" s="449"/>
      <c r="C534" s="450"/>
      <c r="D534" s="211"/>
      <c r="E534" s="211"/>
      <c r="F534" s="211"/>
      <c r="G534" s="84"/>
      <c r="H534" s="211"/>
      <c r="I534" s="211"/>
      <c r="J534" s="211"/>
      <c r="K534" s="211"/>
      <c r="L534" s="84"/>
      <c r="M534" s="211"/>
      <c r="N534" s="211"/>
      <c r="O534" s="211"/>
      <c r="P534" s="211"/>
      <c r="Q534" s="84"/>
      <c r="R534" s="211"/>
      <c r="S534" s="211"/>
      <c r="T534" s="211"/>
      <c r="U534" s="211"/>
      <c r="V534" s="84"/>
      <c r="W534" s="211"/>
      <c r="X534" s="211"/>
      <c r="Y534" s="211"/>
      <c r="Z534" s="211"/>
      <c r="AA534" s="84"/>
      <c r="AB534" s="146"/>
      <c r="AC534" s="211"/>
      <c r="AD534" s="211"/>
      <c r="AE534" s="211"/>
      <c r="AF534" s="84"/>
      <c r="AG534" s="146"/>
      <c r="AH534" s="211"/>
      <c r="AI534" s="211"/>
      <c r="AJ534" s="211"/>
      <c r="AK534" s="84"/>
      <c r="AL534" s="146"/>
      <c r="AM534" s="211"/>
      <c r="AN534" s="211"/>
      <c r="AO534" s="211"/>
      <c r="AP534" s="436"/>
      <c r="AQ534" s="146"/>
      <c r="AR534" s="211"/>
      <c r="AS534" s="211"/>
      <c r="AT534" s="211"/>
      <c r="AU534" s="84"/>
      <c r="AV534" s="211"/>
      <c r="AW534" s="211"/>
      <c r="AX534" s="211"/>
      <c r="AY534" s="211"/>
      <c r="AZ534" s="84"/>
      <c r="BA534" s="211"/>
      <c r="BB534" s="211"/>
      <c r="BC534" s="211"/>
      <c r="BD534" s="211"/>
      <c r="BE534" s="84"/>
      <c r="BF534" s="211"/>
      <c r="BG534" s="451"/>
    </row>
    <row r="535" spans="1:59" ht="12.75">
      <c r="A535" s="211"/>
      <c r="B535" s="449"/>
      <c r="C535" s="450"/>
      <c r="D535" s="211"/>
      <c r="E535" s="211"/>
      <c r="F535" s="211"/>
      <c r="G535" s="84"/>
      <c r="H535" s="211"/>
      <c r="I535" s="211"/>
      <c r="J535" s="211"/>
      <c r="K535" s="211"/>
      <c r="L535" s="84"/>
      <c r="M535" s="211"/>
      <c r="N535" s="211"/>
      <c r="O535" s="211"/>
      <c r="P535" s="211"/>
      <c r="Q535" s="84"/>
      <c r="R535" s="211"/>
      <c r="S535" s="211"/>
      <c r="T535" s="211"/>
      <c r="U535" s="211"/>
      <c r="V535" s="84"/>
      <c r="W535" s="211"/>
      <c r="X535" s="211"/>
      <c r="Y535" s="211"/>
      <c r="Z535" s="211"/>
      <c r="AA535" s="84"/>
      <c r="AB535" s="146"/>
      <c r="AC535" s="211"/>
      <c r="AD535" s="211"/>
      <c r="AE535" s="211"/>
      <c r="AF535" s="84"/>
      <c r="AG535" s="146"/>
      <c r="AH535" s="211"/>
      <c r="AI535" s="211"/>
      <c r="AJ535" s="211"/>
      <c r="AK535" s="84"/>
      <c r="AL535" s="146"/>
      <c r="AM535" s="211"/>
      <c r="AN535" s="211"/>
      <c r="AO535" s="211"/>
      <c r="AP535" s="436"/>
      <c r="AQ535" s="146"/>
      <c r="AR535" s="211"/>
      <c r="AS535" s="211"/>
      <c r="AT535" s="211"/>
      <c r="AU535" s="84"/>
      <c r="AV535" s="211"/>
      <c r="AW535" s="211"/>
      <c r="AX535" s="211"/>
      <c r="AY535" s="211"/>
      <c r="AZ535" s="84"/>
      <c r="BA535" s="211"/>
      <c r="BB535" s="211"/>
      <c r="BC535" s="211"/>
      <c r="BD535" s="211"/>
      <c r="BE535" s="84"/>
      <c r="BF535" s="211"/>
      <c r="BG535" s="451"/>
    </row>
    <row r="536" spans="1:59" ht="12.75">
      <c r="A536" s="211"/>
      <c r="B536" s="449"/>
      <c r="C536" s="450"/>
      <c r="D536" s="211"/>
      <c r="E536" s="211"/>
      <c r="F536" s="211"/>
      <c r="G536" s="84"/>
      <c r="H536" s="211"/>
      <c r="I536" s="211"/>
      <c r="J536" s="211"/>
      <c r="K536" s="211"/>
      <c r="L536" s="84"/>
      <c r="M536" s="211"/>
      <c r="N536" s="211"/>
      <c r="O536" s="211"/>
      <c r="P536" s="211"/>
      <c r="Q536" s="84"/>
      <c r="R536" s="211"/>
      <c r="S536" s="211"/>
      <c r="T536" s="211"/>
      <c r="U536" s="211"/>
      <c r="V536" s="84"/>
      <c r="W536" s="211"/>
      <c r="X536" s="211"/>
      <c r="Y536" s="211"/>
      <c r="Z536" s="211"/>
      <c r="AA536" s="84"/>
      <c r="AB536" s="146"/>
      <c r="AC536" s="211"/>
      <c r="AD536" s="211"/>
      <c r="AE536" s="211"/>
      <c r="AF536" s="84"/>
      <c r="AG536" s="146"/>
      <c r="AH536" s="211"/>
      <c r="AI536" s="211"/>
      <c r="AJ536" s="211"/>
      <c r="AK536" s="84"/>
      <c r="AL536" s="146"/>
      <c r="AM536" s="211"/>
      <c r="AN536" s="211"/>
      <c r="AO536" s="211"/>
      <c r="AP536" s="436"/>
      <c r="AQ536" s="146"/>
      <c r="AR536" s="211"/>
      <c r="AS536" s="211"/>
      <c r="AT536" s="211"/>
      <c r="AU536" s="84"/>
      <c r="AV536" s="211"/>
      <c r="AW536" s="211"/>
      <c r="AX536" s="211"/>
      <c r="AY536" s="211"/>
      <c r="AZ536" s="84"/>
      <c r="BA536" s="211"/>
      <c r="BB536" s="211"/>
      <c r="BC536" s="211"/>
      <c r="BD536" s="211"/>
      <c r="BE536" s="84"/>
      <c r="BF536" s="211"/>
      <c r="BG536" s="451"/>
    </row>
    <row r="537" spans="1:59" ht="12.75">
      <c r="A537" s="211"/>
      <c r="B537" s="449"/>
      <c r="C537" s="450"/>
      <c r="D537" s="211"/>
      <c r="E537" s="211"/>
      <c r="F537" s="211"/>
      <c r="G537" s="84"/>
      <c r="H537" s="211"/>
      <c r="I537" s="211"/>
      <c r="J537" s="211"/>
      <c r="K537" s="211"/>
      <c r="L537" s="84"/>
      <c r="M537" s="211"/>
      <c r="N537" s="211"/>
      <c r="O537" s="211"/>
      <c r="P537" s="211"/>
      <c r="Q537" s="84"/>
      <c r="R537" s="211"/>
      <c r="S537" s="211"/>
      <c r="T537" s="211"/>
      <c r="U537" s="211"/>
      <c r="V537" s="84"/>
      <c r="W537" s="211"/>
      <c r="X537" s="211"/>
      <c r="Y537" s="211"/>
      <c r="Z537" s="211"/>
      <c r="AA537" s="84"/>
      <c r="AB537" s="146"/>
      <c r="AC537" s="211"/>
      <c r="AD537" s="211"/>
      <c r="AE537" s="211"/>
      <c r="AF537" s="84"/>
      <c r="AG537" s="146"/>
      <c r="AH537" s="211"/>
      <c r="AI537" s="211"/>
      <c r="AJ537" s="211"/>
      <c r="AK537" s="84"/>
      <c r="AL537" s="146"/>
      <c r="AM537" s="211"/>
      <c r="AN537" s="211"/>
      <c r="AO537" s="211"/>
      <c r="AP537" s="436"/>
      <c r="AQ537" s="146"/>
      <c r="AR537" s="211"/>
      <c r="AS537" s="211"/>
      <c r="AT537" s="211"/>
      <c r="AU537" s="84"/>
      <c r="AV537" s="211"/>
      <c r="AW537" s="211"/>
      <c r="AX537" s="211"/>
      <c r="AY537" s="211"/>
      <c r="AZ537" s="84"/>
      <c r="BA537" s="211"/>
      <c r="BB537" s="211"/>
      <c r="BC537" s="211"/>
      <c r="BD537" s="211"/>
      <c r="BE537" s="84"/>
      <c r="BF537" s="211"/>
      <c r="BG537" s="451"/>
    </row>
    <row r="538" spans="1:59" ht="12.75">
      <c r="A538" s="211"/>
      <c r="B538" s="449"/>
      <c r="C538" s="450"/>
      <c r="D538" s="211"/>
      <c r="E538" s="211"/>
      <c r="F538" s="211"/>
      <c r="G538" s="84"/>
      <c r="H538" s="211"/>
      <c r="I538" s="211"/>
      <c r="J538" s="211"/>
      <c r="K538" s="211"/>
      <c r="L538" s="84"/>
      <c r="M538" s="211"/>
      <c r="N538" s="211"/>
      <c r="O538" s="211"/>
      <c r="P538" s="211"/>
      <c r="Q538" s="84"/>
      <c r="R538" s="211"/>
      <c r="S538" s="211"/>
      <c r="T538" s="211"/>
      <c r="U538" s="211"/>
      <c r="V538" s="84"/>
      <c r="W538" s="211"/>
      <c r="X538" s="211"/>
      <c r="Y538" s="211"/>
      <c r="Z538" s="211"/>
      <c r="AA538" s="84"/>
      <c r="AB538" s="146"/>
      <c r="AC538" s="211"/>
      <c r="AD538" s="211"/>
      <c r="AE538" s="211"/>
      <c r="AF538" s="84"/>
      <c r="AG538" s="146"/>
      <c r="AH538" s="211"/>
      <c r="AI538" s="211"/>
      <c r="AJ538" s="211"/>
      <c r="AK538" s="84"/>
      <c r="AL538" s="146"/>
      <c r="AM538" s="211"/>
      <c r="AN538" s="211"/>
      <c r="AO538" s="211"/>
      <c r="AP538" s="436"/>
      <c r="AQ538" s="146"/>
      <c r="AR538" s="211"/>
      <c r="AS538" s="211"/>
      <c r="AT538" s="211"/>
      <c r="AU538" s="84"/>
      <c r="AV538" s="211"/>
      <c r="AW538" s="211"/>
      <c r="AX538" s="211"/>
      <c r="AY538" s="211"/>
      <c r="AZ538" s="84"/>
      <c r="BA538" s="211"/>
      <c r="BB538" s="211"/>
      <c r="BC538" s="211"/>
      <c r="BD538" s="211"/>
      <c r="BE538" s="84"/>
      <c r="BF538" s="211"/>
      <c r="BG538" s="451"/>
    </row>
    <row r="539" spans="1:59" ht="12.75">
      <c r="A539" s="211"/>
      <c r="B539" s="449"/>
      <c r="C539" s="450"/>
      <c r="D539" s="211"/>
      <c r="E539" s="211"/>
      <c r="F539" s="211"/>
      <c r="G539" s="84"/>
      <c r="H539" s="211"/>
      <c r="I539" s="211"/>
      <c r="J539" s="211"/>
      <c r="K539" s="211"/>
      <c r="L539" s="84"/>
      <c r="M539" s="211"/>
      <c r="N539" s="211"/>
      <c r="O539" s="211"/>
      <c r="P539" s="211"/>
      <c r="Q539" s="84"/>
      <c r="R539" s="211"/>
      <c r="S539" s="211"/>
      <c r="T539" s="211"/>
      <c r="U539" s="211"/>
      <c r="V539" s="84"/>
      <c r="W539" s="211"/>
      <c r="X539" s="211"/>
      <c r="Y539" s="211"/>
      <c r="Z539" s="211"/>
      <c r="AA539" s="84"/>
      <c r="AB539" s="146"/>
      <c r="AC539" s="211"/>
      <c r="AD539" s="211"/>
      <c r="AE539" s="211"/>
      <c r="AF539" s="84"/>
      <c r="AG539" s="146"/>
      <c r="AH539" s="211"/>
      <c r="AI539" s="211"/>
      <c r="AJ539" s="211"/>
      <c r="AK539" s="84"/>
      <c r="AL539" s="146"/>
      <c r="AM539" s="211"/>
      <c r="AN539" s="211"/>
      <c r="AO539" s="211"/>
      <c r="AP539" s="436"/>
      <c r="AQ539" s="146"/>
      <c r="AR539" s="211"/>
      <c r="AS539" s="211"/>
      <c r="AT539" s="211"/>
      <c r="AU539" s="84"/>
      <c r="AV539" s="211"/>
      <c r="AW539" s="211"/>
      <c r="AX539" s="211"/>
      <c r="AY539" s="211"/>
      <c r="AZ539" s="84"/>
      <c r="BA539" s="211"/>
      <c r="BB539" s="211"/>
      <c r="BC539" s="211"/>
      <c r="BD539" s="211"/>
      <c r="BE539" s="84"/>
      <c r="BF539" s="211"/>
      <c r="BG539" s="451"/>
    </row>
    <row r="540" spans="1:59" ht="12.75">
      <c r="A540" s="211"/>
      <c r="B540" s="449"/>
      <c r="C540" s="450"/>
      <c r="D540" s="211"/>
      <c r="E540" s="211"/>
      <c r="F540" s="211"/>
      <c r="G540" s="84"/>
      <c r="H540" s="211"/>
      <c r="I540" s="211"/>
      <c r="J540" s="211"/>
      <c r="K540" s="211"/>
      <c r="L540" s="84"/>
      <c r="M540" s="211"/>
      <c r="N540" s="211"/>
      <c r="O540" s="211"/>
      <c r="P540" s="211"/>
      <c r="Q540" s="84"/>
      <c r="R540" s="211"/>
      <c r="S540" s="211"/>
      <c r="T540" s="211"/>
      <c r="U540" s="211"/>
      <c r="V540" s="84"/>
      <c r="W540" s="211"/>
      <c r="X540" s="211"/>
      <c r="Y540" s="211"/>
      <c r="Z540" s="211"/>
      <c r="AA540" s="84"/>
      <c r="AB540" s="146"/>
      <c r="AC540" s="211"/>
      <c r="AD540" s="211"/>
      <c r="AE540" s="211"/>
      <c r="AF540" s="84"/>
      <c r="AG540" s="146"/>
      <c r="AH540" s="211"/>
      <c r="AI540" s="211"/>
      <c r="AJ540" s="211"/>
      <c r="AK540" s="84"/>
      <c r="AL540" s="146"/>
      <c r="AM540" s="211"/>
      <c r="AN540" s="211"/>
      <c r="AO540" s="211"/>
      <c r="AP540" s="436"/>
      <c r="AQ540" s="146"/>
      <c r="AR540" s="211"/>
      <c r="AS540" s="211"/>
      <c r="AT540" s="211"/>
      <c r="AU540" s="84"/>
      <c r="AV540" s="211"/>
      <c r="AW540" s="211"/>
      <c r="AX540" s="211"/>
      <c r="AY540" s="211"/>
      <c r="AZ540" s="84"/>
      <c r="BA540" s="211"/>
      <c r="BB540" s="211"/>
      <c r="BC540" s="211"/>
      <c r="BD540" s="211"/>
      <c r="BE540" s="84"/>
      <c r="BF540" s="211"/>
      <c r="BG540" s="451"/>
    </row>
    <row r="541" spans="1:59" ht="12.75">
      <c r="A541" s="211"/>
      <c r="B541" s="449"/>
      <c r="C541" s="450"/>
      <c r="D541" s="211"/>
      <c r="E541" s="211"/>
      <c r="F541" s="211"/>
      <c r="G541" s="84"/>
      <c r="H541" s="211"/>
      <c r="I541" s="211"/>
      <c r="J541" s="211"/>
      <c r="K541" s="211"/>
      <c r="L541" s="84"/>
      <c r="M541" s="211"/>
      <c r="N541" s="211"/>
      <c r="O541" s="211"/>
      <c r="P541" s="211"/>
      <c r="Q541" s="84"/>
      <c r="R541" s="211"/>
      <c r="S541" s="211"/>
      <c r="T541" s="211"/>
      <c r="U541" s="211"/>
      <c r="V541" s="84"/>
      <c r="W541" s="211"/>
      <c r="X541" s="211"/>
      <c r="Y541" s="211"/>
      <c r="Z541" s="211"/>
      <c r="AA541" s="84"/>
      <c r="AB541" s="146"/>
      <c r="AC541" s="211"/>
      <c r="AD541" s="211"/>
      <c r="AE541" s="211"/>
      <c r="AF541" s="84"/>
      <c r="AG541" s="146"/>
      <c r="AH541" s="211"/>
      <c r="AI541" s="211"/>
      <c r="AJ541" s="211"/>
      <c r="AK541" s="84"/>
      <c r="AL541" s="146"/>
      <c r="AM541" s="211"/>
      <c r="AN541" s="211"/>
      <c r="AO541" s="211"/>
      <c r="AP541" s="436"/>
      <c r="AQ541" s="146"/>
      <c r="AR541" s="211"/>
      <c r="AS541" s="211"/>
      <c r="AT541" s="211"/>
      <c r="AU541" s="84"/>
      <c r="AV541" s="211"/>
      <c r="AW541" s="211"/>
      <c r="AX541" s="211"/>
      <c r="AY541" s="211"/>
      <c r="AZ541" s="84"/>
      <c r="BA541" s="211"/>
      <c r="BB541" s="211"/>
      <c r="BC541" s="211"/>
      <c r="BD541" s="211"/>
      <c r="BE541" s="84"/>
      <c r="BF541" s="211"/>
      <c r="BG541" s="451"/>
    </row>
    <row r="542" spans="1:59" ht="12.75">
      <c r="A542" s="211"/>
      <c r="B542" s="449"/>
      <c r="C542" s="450"/>
      <c r="D542" s="211"/>
      <c r="E542" s="211"/>
      <c r="F542" s="211"/>
      <c r="G542" s="84"/>
      <c r="H542" s="211"/>
      <c r="I542" s="211"/>
      <c r="J542" s="211"/>
      <c r="K542" s="211"/>
      <c r="L542" s="84"/>
      <c r="M542" s="211"/>
      <c r="N542" s="211"/>
      <c r="O542" s="211"/>
      <c r="P542" s="211"/>
      <c r="Q542" s="84"/>
      <c r="R542" s="211"/>
      <c r="S542" s="211"/>
      <c r="T542" s="211"/>
      <c r="U542" s="211"/>
      <c r="V542" s="84"/>
      <c r="W542" s="211"/>
      <c r="X542" s="211"/>
      <c r="Y542" s="211"/>
      <c r="Z542" s="211"/>
      <c r="AA542" s="84"/>
      <c r="AB542" s="146"/>
      <c r="AC542" s="211"/>
      <c r="AD542" s="211"/>
      <c r="AE542" s="211"/>
      <c r="AF542" s="84"/>
      <c r="AG542" s="146"/>
      <c r="AH542" s="211"/>
      <c r="AI542" s="211"/>
      <c r="AJ542" s="211"/>
      <c r="AK542" s="84"/>
      <c r="AL542" s="146"/>
      <c r="AM542" s="211"/>
      <c r="AN542" s="211"/>
      <c r="AO542" s="211"/>
      <c r="AP542" s="436"/>
      <c r="AQ542" s="146"/>
      <c r="AR542" s="211"/>
      <c r="AS542" s="211"/>
      <c r="AT542" s="211"/>
      <c r="AU542" s="84"/>
      <c r="AV542" s="211"/>
      <c r="AW542" s="211"/>
      <c r="AX542" s="211"/>
      <c r="AY542" s="211"/>
      <c r="AZ542" s="84"/>
      <c r="BA542" s="211"/>
      <c r="BB542" s="211"/>
      <c r="BC542" s="211"/>
      <c r="BD542" s="211"/>
      <c r="BE542" s="84"/>
      <c r="BF542" s="211"/>
      <c r="BG542" s="451"/>
    </row>
    <row r="543" spans="1:59" ht="12.75">
      <c r="A543" s="211"/>
      <c r="B543" s="449"/>
      <c r="C543" s="450"/>
      <c r="D543" s="211"/>
      <c r="E543" s="211"/>
      <c r="F543" s="211"/>
      <c r="G543" s="84"/>
      <c r="H543" s="211"/>
      <c r="I543" s="211"/>
      <c r="J543" s="211"/>
      <c r="K543" s="211"/>
      <c r="L543" s="84"/>
      <c r="M543" s="211"/>
      <c r="N543" s="211"/>
      <c r="O543" s="211"/>
      <c r="P543" s="211"/>
      <c r="Q543" s="84"/>
      <c r="R543" s="211"/>
      <c r="S543" s="211"/>
      <c r="T543" s="211"/>
      <c r="U543" s="211"/>
      <c r="V543" s="84"/>
      <c r="W543" s="211"/>
      <c r="X543" s="211"/>
      <c r="Y543" s="211"/>
      <c r="Z543" s="211"/>
      <c r="AA543" s="84"/>
      <c r="AB543" s="146"/>
      <c r="AC543" s="211"/>
      <c r="AD543" s="211"/>
      <c r="AE543" s="211"/>
      <c r="AF543" s="84"/>
      <c r="AG543" s="146"/>
      <c r="AH543" s="211"/>
      <c r="AI543" s="211"/>
      <c r="AJ543" s="211"/>
      <c r="AK543" s="84"/>
      <c r="AL543" s="146"/>
      <c r="AM543" s="211"/>
      <c r="AN543" s="211"/>
      <c r="AO543" s="211"/>
      <c r="AP543" s="436"/>
      <c r="AQ543" s="146"/>
      <c r="AR543" s="211"/>
      <c r="AS543" s="211"/>
      <c r="AT543" s="211"/>
      <c r="AU543" s="84"/>
      <c r="AV543" s="211"/>
      <c r="AW543" s="211"/>
      <c r="AX543" s="211"/>
      <c r="AY543" s="211"/>
      <c r="AZ543" s="84"/>
      <c r="BA543" s="211"/>
      <c r="BB543" s="211"/>
      <c r="BC543" s="211"/>
      <c r="BD543" s="211"/>
      <c r="BE543" s="84"/>
      <c r="BF543" s="211"/>
      <c r="BG543" s="451"/>
    </row>
    <row r="544" spans="1:59" ht="12.75">
      <c r="A544" s="211"/>
      <c r="B544" s="449"/>
      <c r="C544" s="450"/>
      <c r="D544" s="211"/>
      <c r="E544" s="211"/>
      <c r="F544" s="211"/>
      <c r="G544" s="84"/>
      <c r="H544" s="211"/>
      <c r="I544" s="211"/>
      <c r="J544" s="211"/>
      <c r="K544" s="211"/>
      <c r="L544" s="84"/>
      <c r="M544" s="211"/>
      <c r="N544" s="211"/>
      <c r="O544" s="211"/>
      <c r="P544" s="211"/>
      <c r="Q544" s="84"/>
      <c r="R544" s="211"/>
      <c r="S544" s="211"/>
      <c r="T544" s="211"/>
      <c r="U544" s="211"/>
      <c r="V544" s="84"/>
      <c r="W544" s="211"/>
      <c r="X544" s="211"/>
      <c r="Y544" s="211"/>
      <c r="Z544" s="211"/>
      <c r="AA544" s="84"/>
      <c r="AB544" s="146"/>
      <c r="AC544" s="211"/>
      <c r="AD544" s="211"/>
      <c r="AE544" s="211"/>
      <c r="AF544" s="84"/>
      <c r="AG544" s="146"/>
      <c r="AH544" s="211"/>
      <c r="AI544" s="211"/>
      <c r="AJ544" s="211"/>
      <c r="AK544" s="84"/>
      <c r="AL544" s="146"/>
      <c r="AM544" s="211"/>
      <c r="AN544" s="211"/>
      <c r="AO544" s="211"/>
      <c r="AP544" s="436"/>
      <c r="AQ544" s="146"/>
      <c r="AR544" s="211"/>
      <c r="AS544" s="211"/>
      <c r="AT544" s="211"/>
      <c r="AU544" s="84"/>
      <c r="AV544" s="211"/>
      <c r="AW544" s="211"/>
      <c r="AX544" s="211"/>
      <c r="AY544" s="211"/>
      <c r="AZ544" s="84"/>
      <c r="BA544" s="211"/>
      <c r="BB544" s="211"/>
      <c r="BC544" s="211"/>
      <c r="BD544" s="211"/>
      <c r="BE544" s="84"/>
      <c r="BF544" s="211"/>
      <c r="BG544" s="451"/>
    </row>
    <row r="545" spans="1:59" ht="12.75">
      <c r="A545" s="211"/>
      <c r="B545" s="449"/>
      <c r="C545" s="450"/>
      <c r="D545" s="211"/>
      <c r="E545" s="211"/>
      <c r="F545" s="211"/>
      <c r="G545" s="84"/>
      <c r="H545" s="211"/>
      <c r="I545" s="211"/>
      <c r="J545" s="211"/>
      <c r="K545" s="211"/>
      <c r="L545" s="84"/>
      <c r="M545" s="211"/>
      <c r="N545" s="211"/>
      <c r="O545" s="211"/>
      <c r="P545" s="211"/>
      <c r="Q545" s="84"/>
      <c r="R545" s="211"/>
      <c r="S545" s="211"/>
      <c r="T545" s="211"/>
      <c r="U545" s="211"/>
      <c r="V545" s="84"/>
      <c r="W545" s="211"/>
      <c r="X545" s="211"/>
      <c r="Y545" s="211"/>
      <c r="Z545" s="211"/>
      <c r="AA545" s="84"/>
      <c r="AB545" s="146"/>
      <c r="AC545" s="211"/>
      <c r="AD545" s="211"/>
      <c r="AE545" s="211"/>
      <c r="AF545" s="84"/>
      <c r="AG545" s="146"/>
      <c r="AH545" s="211"/>
      <c r="AI545" s="211"/>
      <c r="AJ545" s="211"/>
      <c r="AK545" s="84"/>
      <c r="AL545" s="146"/>
      <c r="AM545" s="211"/>
      <c r="AN545" s="211"/>
      <c r="AO545" s="211"/>
      <c r="AP545" s="436"/>
      <c r="AQ545" s="146"/>
      <c r="AR545" s="211"/>
      <c r="AS545" s="211"/>
      <c r="AT545" s="211"/>
      <c r="AU545" s="84"/>
      <c r="AV545" s="211"/>
      <c r="AW545" s="211"/>
      <c r="AX545" s="211"/>
      <c r="AY545" s="211"/>
      <c r="AZ545" s="84"/>
      <c r="BA545" s="211"/>
      <c r="BB545" s="211"/>
      <c r="BC545" s="211"/>
      <c r="BD545" s="211"/>
      <c r="BE545" s="84"/>
      <c r="BF545" s="211"/>
      <c r="BG545" s="451"/>
    </row>
    <row r="546" spans="1:59" ht="12.75">
      <c r="A546" s="211"/>
      <c r="B546" s="449"/>
      <c r="C546" s="450"/>
      <c r="D546" s="211"/>
      <c r="E546" s="211"/>
      <c r="F546" s="211"/>
      <c r="G546" s="84"/>
      <c r="H546" s="211"/>
      <c r="I546" s="211"/>
      <c r="J546" s="211"/>
      <c r="K546" s="211"/>
      <c r="L546" s="84"/>
      <c r="M546" s="211"/>
      <c r="N546" s="211"/>
      <c r="O546" s="211"/>
      <c r="P546" s="211"/>
      <c r="Q546" s="84"/>
      <c r="R546" s="211"/>
      <c r="S546" s="211"/>
      <c r="T546" s="211"/>
      <c r="U546" s="211"/>
      <c r="V546" s="84"/>
      <c r="W546" s="211"/>
      <c r="X546" s="211"/>
      <c r="Y546" s="211"/>
      <c r="Z546" s="211"/>
      <c r="AA546" s="84"/>
      <c r="AB546" s="146"/>
      <c r="AC546" s="211"/>
      <c r="AD546" s="211"/>
      <c r="AE546" s="211"/>
      <c r="AF546" s="84"/>
      <c r="AG546" s="146"/>
      <c r="AH546" s="211"/>
      <c r="AI546" s="211"/>
      <c r="AJ546" s="211"/>
      <c r="AK546" s="84"/>
      <c r="AL546" s="146"/>
      <c r="AM546" s="211"/>
      <c r="AN546" s="211"/>
      <c r="AO546" s="211"/>
      <c r="AP546" s="436"/>
      <c r="AQ546" s="146"/>
      <c r="AR546" s="211"/>
      <c r="AS546" s="211"/>
      <c r="AT546" s="211"/>
      <c r="AU546" s="84"/>
      <c r="AV546" s="211"/>
      <c r="AW546" s="211"/>
      <c r="AX546" s="211"/>
      <c r="AY546" s="211"/>
      <c r="AZ546" s="84"/>
      <c r="BA546" s="211"/>
      <c r="BB546" s="211"/>
      <c r="BC546" s="211"/>
      <c r="BD546" s="211"/>
      <c r="BE546" s="84"/>
      <c r="BF546" s="211"/>
      <c r="BG546" s="451"/>
    </row>
    <row r="547" spans="1:59" ht="12.75">
      <c r="A547" s="211"/>
      <c r="B547" s="449"/>
      <c r="C547" s="450"/>
      <c r="D547" s="211"/>
      <c r="E547" s="211"/>
      <c r="F547" s="211"/>
      <c r="G547" s="84"/>
      <c r="H547" s="211"/>
      <c r="I547" s="211"/>
      <c r="J547" s="211"/>
      <c r="K547" s="211"/>
      <c r="L547" s="84"/>
      <c r="M547" s="211"/>
      <c r="N547" s="211"/>
      <c r="O547" s="211"/>
      <c r="P547" s="211"/>
      <c r="Q547" s="84"/>
      <c r="R547" s="211"/>
      <c r="S547" s="211"/>
      <c r="T547" s="211"/>
      <c r="U547" s="211"/>
      <c r="V547" s="84"/>
      <c r="W547" s="211"/>
      <c r="X547" s="211"/>
      <c r="Y547" s="211"/>
      <c r="Z547" s="211"/>
      <c r="AA547" s="84"/>
      <c r="AB547" s="146"/>
      <c r="AC547" s="211"/>
      <c r="AD547" s="211"/>
      <c r="AE547" s="211"/>
      <c r="AF547" s="84"/>
      <c r="AG547" s="146"/>
      <c r="AH547" s="211"/>
      <c r="AI547" s="211"/>
      <c r="AJ547" s="211"/>
      <c r="AK547" s="84"/>
      <c r="AL547" s="146"/>
      <c r="AM547" s="211"/>
      <c r="AN547" s="211"/>
      <c r="AO547" s="211"/>
      <c r="AP547" s="436"/>
      <c r="AQ547" s="146"/>
      <c r="AR547" s="211"/>
      <c r="AS547" s="211"/>
      <c r="AT547" s="211"/>
      <c r="AU547" s="84"/>
      <c r="AV547" s="211"/>
      <c r="AW547" s="211"/>
      <c r="AX547" s="211"/>
      <c r="AY547" s="211"/>
      <c r="AZ547" s="84"/>
      <c r="BA547" s="211"/>
      <c r="BB547" s="211"/>
      <c r="BC547" s="211"/>
      <c r="BD547" s="211"/>
      <c r="BE547" s="84"/>
      <c r="BF547" s="211"/>
      <c r="BG547" s="451"/>
    </row>
    <row r="548" spans="1:59" ht="12.75">
      <c r="A548" s="211"/>
      <c r="B548" s="449"/>
      <c r="C548" s="450"/>
      <c r="D548" s="211"/>
      <c r="E548" s="211"/>
      <c r="F548" s="211"/>
      <c r="G548" s="84"/>
      <c r="H548" s="211"/>
      <c r="I548" s="211"/>
      <c r="J548" s="211"/>
      <c r="K548" s="211"/>
      <c r="L548" s="84"/>
      <c r="M548" s="211"/>
      <c r="N548" s="211"/>
      <c r="O548" s="211"/>
      <c r="P548" s="211"/>
      <c r="Q548" s="84"/>
      <c r="R548" s="211"/>
      <c r="S548" s="211"/>
      <c r="T548" s="211"/>
      <c r="U548" s="211"/>
      <c r="V548" s="84"/>
      <c r="W548" s="211"/>
      <c r="X548" s="211"/>
      <c r="Y548" s="211"/>
      <c r="Z548" s="211"/>
      <c r="AA548" s="84"/>
      <c r="AB548" s="146"/>
      <c r="AC548" s="211"/>
      <c r="AD548" s="211"/>
      <c r="AE548" s="211"/>
      <c r="AF548" s="84"/>
      <c r="AG548" s="146"/>
      <c r="AH548" s="211"/>
      <c r="AI548" s="211"/>
      <c r="AJ548" s="211"/>
      <c r="AK548" s="84"/>
      <c r="AL548" s="146"/>
      <c r="AM548" s="211"/>
      <c r="AN548" s="211"/>
      <c r="AO548" s="211"/>
      <c r="AP548" s="436"/>
      <c r="AQ548" s="146"/>
      <c r="AR548" s="211"/>
      <c r="AS548" s="211"/>
      <c r="AT548" s="211"/>
      <c r="AU548" s="84"/>
      <c r="AV548" s="211"/>
      <c r="AW548" s="211"/>
      <c r="AX548" s="211"/>
      <c r="AY548" s="211"/>
      <c r="AZ548" s="84"/>
      <c r="BA548" s="211"/>
      <c r="BB548" s="211"/>
      <c r="BC548" s="211"/>
      <c r="BD548" s="211"/>
      <c r="BE548" s="84"/>
      <c r="BF548" s="211"/>
      <c r="BG548" s="451"/>
    </row>
    <row r="549" spans="1:59" ht="12.75">
      <c r="A549" s="211"/>
      <c r="B549" s="449"/>
      <c r="C549" s="450"/>
      <c r="D549" s="211"/>
      <c r="E549" s="211"/>
      <c r="F549" s="211"/>
      <c r="G549" s="84"/>
      <c r="H549" s="211"/>
      <c r="I549" s="211"/>
      <c r="J549" s="211"/>
      <c r="K549" s="211"/>
      <c r="L549" s="84"/>
      <c r="M549" s="211"/>
      <c r="N549" s="211"/>
      <c r="O549" s="211"/>
      <c r="P549" s="211"/>
      <c r="Q549" s="84"/>
      <c r="R549" s="211"/>
      <c r="S549" s="211"/>
      <c r="T549" s="211"/>
      <c r="U549" s="211"/>
      <c r="V549" s="84"/>
      <c r="W549" s="211"/>
      <c r="X549" s="211"/>
      <c r="Y549" s="211"/>
      <c r="Z549" s="211"/>
      <c r="AA549" s="84"/>
      <c r="AB549" s="146"/>
      <c r="AC549" s="211"/>
      <c r="AD549" s="211"/>
      <c r="AE549" s="211"/>
      <c r="AF549" s="84"/>
      <c r="AG549" s="146"/>
      <c r="AH549" s="211"/>
      <c r="AI549" s="211"/>
      <c r="AJ549" s="211"/>
      <c r="AK549" s="84"/>
      <c r="AL549" s="146"/>
      <c r="AM549" s="211"/>
      <c r="AN549" s="211"/>
      <c r="AO549" s="211"/>
      <c r="AP549" s="436"/>
      <c r="AQ549" s="146"/>
      <c r="AR549" s="211"/>
      <c r="AS549" s="211"/>
      <c r="AT549" s="211"/>
      <c r="AU549" s="84"/>
      <c r="AV549" s="211"/>
      <c r="AW549" s="211"/>
      <c r="AX549" s="211"/>
      <c r="AY549" s="211"/>
      <c r="AZ549" s="84"/>
      <c r="BA549" s="211"/>
      <c r="BB549" s="211"/>
      <c r="BC549" s="211"/>
      <c r="BD549" s="211"/>
      <c r="BE549" s="84"/>
      <c r="BF549" s="211"/>
      <c r="BG549" s="451"/>
    </row>
    <row r="550" spans="1:59" ht="12.75">
      <c r="A550" s="211"/>
      <c r="B550" s="449"/>
      <c r="C550" s="450"/>
      <c r="D550" s="211"/>
      <c r="E550" s="211"/>
      <c r="F550" s="211"/>
      <c r="G550" s="84"/>
      <c r="H550" s="211"/>
      <c r="I550" s="211"/>
      <c r="J550" s="211"/>
      <c r="K550" s="211"/>
      <c r="L550" s="84"/>
      <c r="M550" s="211"/>
      <c r="N550" s="211"/>
      <c r="O550" s="211"/>
      <c r="P550" s="211"/>
      <c r="Q550" s="84"/>
      <c r="R550" s="211"/>
      <c r="S550" s="211"/>
      <c r="T550" s="211"/>
      <c r="U550" s="211"/>
      <c r="V550" s="84"/>
      <c r="W550" s="211"/>
      <c r="X550" s="211"/>
      <c r="Y550" s="211"/>
      <c r="Z550" s="211"/>
      <c r="AA550" s="84"/>
      <c r="AB550" s="146"/>
      <c r="AC550" s="211"/>
      <c r="AD550" s="211"/>
      <c r="AE550" s="211"/>
      <c r="AF550" s="84"/>
      <c r="AG550" s="146"/>
      <c r="AH550" s="211"/>
      <c r="AI550" s="211"/>
      <c r="AJ550" s="211"/>
      <c r="AK550" s="84"/>
      <c r="AL550" s="146"/>
      <c r="AM550" s="211"/>
      <c r="AN550" s="211"/>
      <c r="AO550" s="211"/>
      <c r="AP550" s="436"/>
      <c r="AQ550" s="146"/>
      <c r="AR550" s="211"/>
      <c r="AS550" s="211"/>
      <c r="AT550" s="211"/>
      <c r="AU550" s="84"/>
      <c r="AV550" s="211"/>
      <c r="AW550" s="211"/>
      <c r="AX550" s="211"/>
      <c r="AY550" s="211"/>
      <c r="AZ550" s="84"/>
      <c r="BA550" s="211"/>
      <c r="BB550" s="211"/>
      <c r="BC550" s="211"/>
      <c r="BD550" s="211"/>
      <c r="BE550" s="84"/>
      <c r="BF550" s="211"/>
      <c r="BG550" s="451"/>
    </row>
    <row r="551" spans="1:59" ht="12.75">
      <c r="A551" s="211"/>
      <c r="B551" s="449"/>
      <c r="C551" s="450"/>
      <c r="D551" s="211"/>
      <c r="E551" s="211"/>
      <c r="F551" s="211"/>
      <c r="G551" s="84"/>
      <c r="H551" s="211"/>
      <c r="I551" s="211"/>
      <c r="J551" s="211"/>
      <c r="K551" s="211"/>
      <c r="L551" s="84"/>
      <c r="M551" s="211"/>
      <c r="N551" s="211"/>
      <c r="O551" s="211"/>
      <c r="P551" s="211"/>
      <c r="Q551" s="84"/>
      <c r="R551" s="211"/>
      <c r="S551" s="211"/>
      <c r="T551" s="211"/>
      <c r="U551" s="211"/>
      <c r="V551" s="84"/>
      <c r="W551" s="211"/>
      <c r="X551" s="211"/>
      <c r="Y551" s="211"/>
      <c r="Z551" s="211"/>
      <c r="AA551" s="84"/>
      <c r="AB551" s="146"/>
      <c r="AC551" s="211"/>
      <c r="AD551" s="211"/>
      <c r="AE551" s="211"/>
      <c r="AF551" s="84"/>
      <c r="AG551" s="146"/>
      <c r="AH551" s="211"/>
      <c r="AI551" s="211"/>
      <c r="AJ551" s="211"/>
      <c r="AK551" s="84"/>
      <c r="AL551" s="146"/>
      <c r="AM551" s="211"/>
      <c r="AN551" s="211"/>
      <c r="AO551" s="211"/>
      <c r="AP551" s="436"/>
      <c r="AQ551" s="146"/>
      <c r="AR551" s="211"/>
      <c r="AS551" s="211"/>
      <c r="AT551" s="211"/>
      <c r="AU551" s="84"/>
      <c r="AV551" s="211"/>
      <c r="AW551" s="211"/>
      <c r="AX551" s="211"/>
      <c r="AY551" s="211"/>
      <c r="AZ551" s="84"/>
      <c r="BA551" s="211"/>
      <c r="BB551" s="211"/>
      <c r="BC551" s="211"/>
      <c r="BD551" s="211"/>
      <c r="BE551" s="84"/>
      <c r="BF551" s="211"/>
      <c r="BG551" s="451"/>
    </row>
    <row r="552" spans="1:59" ht="12.75">
      <c r="A552" s="211"/>
      <c r="B552" s="449"/>
      <c r="C552" s="450"/>
      <c r="D552" s="211"/>
      <c r="E552" s="211"/>
      <c r="F552" s="211"/>
      <c r="G552" s="84"/>
      <c r="H552" s="211"/>
      <c r="I552" s="211"/>
      <c r="J552" s="211"/>
      <c r="K552" s="211"/>
      <c r="L552" s="84"/>
      <c r="M552" s="211"/>
      <c r="N552" s="211"/>
      <c r="O552" s="211"/>
      <c r="P552" s="211"/>
      <c r="Q552" s="84"/>
      <c r="R552" s="211"/>
      <c r="S552" s="211"/>
      <c r="T552" s="211"/>
      <c r="U552" s="211"/>
      <c r="V552" s="84"/>
      <c r="W552" s="211"/>
      <c r="X552" s="211"/>
      <c r="Y552" s="211"/>
      <c r="Z552" s="211"/>
      <c r="AA552" s="84"/>
      <c r="AB552" s="146"/>
      <c r="AC552" s="211"/>
      <c r="AD552" s="211"/>
      <c r="AE552" s="211"/>
      <c r="AF552" s="84"/>
      <c r="AG552" s="146"/>
      <c r="AH552" s="211"/>
      <c r="AI552" s="211"/>
      <c r="AJ552" s="211"/>
      <c r="AK552" s="84"/>
      <c r="AL552" s="146"/>
      <c r="AM552" s="211"/>
      <c r="AN552" s="211"/>
      <c r="AO552" s="211"/>
      <c r="AP552" s="436"/>
      <c r="AQ552" s="146"/>
      <c r="AR552" s="211"/>
      <c r="AS552" s="211"/>
      <c r="AT552" s="211"/>
      <c r="AU552" s="84"/>
      <c r="AV552" s="211"/>
      <c r="AW552" s="211"/>
      <c r="AX552" s="211"/>
      <c r="AY552" s="211"/>
      <c r="AZ552" s="84"/>
      <c r="BA552" s="211"/>
      <c r="BB552" s="211"/>
      <c r="BC552" s="211"/>
      <c r="BD552" s="211"/>
      <c r="BE552" s="84"/>
      <c r="BF552" s="211"/>
      <c r="BG552" s="451"/>
    </row>
    <row r="553" spans="1:59" ht="12.75">
      <c r="A553" s="211"/>
      <c r="B553" s="449"/>
      <c r="C553" s="450"/>
      <c r="D553" s="211"/>
      <c r="E553" s="211"/>
      <c r="F553" s="211"/>
      <c r="G553" s="84"/>
      <c r="H553" s="211"/>
      <c r="I553" s="211"/>
      <c r="J553" s="211"/>
      <c r="K553" s="211"/>
      <c r="L553" s="84"/>
      <c r="M553" s="211"/>
      <c r="N553" s="211"/>
      <c r="O553" s="211"/>
      <c r="P553" s="211"/>
      <c r="Q553" s="84"/>
      <c r="R553" s="211"/>
      <c r="S553" s="211"/>
      <c r="T553" s="211"/>
      <c r="U553" s="211"/>
      <c r="V553" s="84"/>
      <c r="W553" s="211"/>
      <c r="X553" s="211"/>
      <c r="Y553" s="211"/>
      <c r="Z553" s="211"/>
      <c r="AA553" s="84"/>
      <c r="AB553" s="146"/>
      <c r="AC553" s="211"/>
      <c r="AD553" s="211"/>
      <c r="AE553" s="211"/>
      <c r="AF553" s="84"/>
      <c r="AG553" s="146"/>
      <c r="AH553" s="211"/>
      <c r="AI553" s="211"/>
      <c r="AJ553" s="211"/>
      <c r="AK553" s="84"/>
      <c r="AL553" s="146"/>
      <c r="AM553" s="211"/>
      <c r="AN553" s="211"/>
      <c r="AO553" s="211"/>
      <c r="AP553" s="436"/>
      <c r="AQ553" s="146"/>
      <c r="AR553" s="211"/>
      <c r="AS553" s="211"/>
      <c r="AT553" s="211"/>
      <c r="AU553" s="84"/>
      <c r="AV553" s="211"/>
      <c r="AW553" s="211"/>
      <c r="AX553" s="211"/>
      <c r="AY553" s="211"/>
      <c r="AZ553" s="84"/>
      <c r="BA553" s="211"/>
      <c r="BB553" s="211"/>
      <c r="BC553" s="211"/>
      <c r="BD553" s="211"/>
      <c r="BE553" s="84"/>
      <c r="BF553" s="211"/>
      <c r="BG553" s="451"/>
    </row>
    <row r="554" spans="1:59" ht="12.75">
      <c r="A554" s="211"/>
      <c r="B554" s="449"/>
      <c r="C554" s="450"/>
      <c r="D554" s="211"/>
      <c r="E554" s="211"/>
      <c r="F554" s="211"/>
      <c r="G554" s="84"/>
      <c r="H554" s="211"/>
      <c r="I554" s="211"/>
      <c r="J554" s="211"/>
      <c r="K554" s="211"/>
      <c r="L554" s="84"/>
      <c r="M554" s="211"/>
      <c r="N554" s="211"/>
      <c r="O554" s="211"/>
      <c r="P554" s="211"/>
      <c r="Q554" s="84"/>
      <c r="R554" s="211"/>
      <c r="S554" s="211"/>
      <c r="T554" s="211"/>
      <c r="U554" s="211"/>
      <c r="V554" s="84"/>
      <c r="W554" s="211"/>
      <c r="X554" s="211"/>
      <c r="Y554" s="211"/>
      <c r="Z554" s="211"/>
      <c r="AA554" s="84"/>
      <c r="AB554" s="146"/>
      <c r="AC554" s="211"/>
      <c r="AD554" s="211"/>
      <c r="AE554" s="211"/>
      <c r="AF554" s="84"/>
      <c r="AG554" s="146"/>
      <c r="AH554" s="211"/>
      <c r="AI554" s="211"/>
      <c r="AJ554" s="211"/>
      <c r="AK554" s="84"/>
      <c r="AL554" s="146"/>
      <c r="AM554" s="211"/>
      <c r="AN554" s="211"/>
      <c r="AO554" s="211"/>
      <c r="AP554" s="436"/>
      <c r="AQ554" s="146"/>
      <c r="AR554" s="211"/>
      <c r="AS554" s="211"/>
      <c r="AT554" s="211"/>
      <c r="AU554" s="84"/>
      <c r="AV554" s="211"/>
      <c r="AW554" s="211"/>
      <c r="AX554" s="211"/>
      <c r="AY554" s="211"/>
      <c r="AZ554" s="84"/>
      <c r="BA554" s="211"/>
      <c r="BB554" s="211"/>
      <c r="BC554" s="211"/>
      <c r="BD554" s="211"/>
      <c r="BE554" s="84"/>
      <c r="BF554" s="211"/>
      <c r="BG554" s="451"/>
    </row>
    <row r="555" spans="1:59" ht="12.75">
      <c r="A555" s="211"/>
      <c r="B555" s="449"/>
      <c r="C555" s="450"/>
      <c r="D555" s="211"/>
      <c r="E555" s="211"/>
      <c r="F555" s="211"/>
      <c r="G555" s="84"/>
      <c r="H555" s="211"/>
      <c r="I555" s="211"/>
      <c r="J555" s="211"/>
      <c r="K555" s="211"/>
      <c r="L555" s="84"/>
      <c r="M555" s="211"/>
      <c r="N555" s="211"/>
      <c r="O555" s="211"/>
      <c r="P555" s="211"/>
      <c r="Q555" s="84"/>
      <c r="R555" s="211"/>
      <c r="S555" s="211"/>
      <c r="T555" s="211"/>
      <c r="U555" s="211"/>
      <c r="V555" s="84"/>
      <c r="W555" s="211"/>
      <c r="X555" s="211"/>
      <c r="Y555" s="211"/>
      <c r="Z555" s="211"/>
      <c r="AA555" s="84"/>
      <c r="AB555" s="146"/>
      <c r="AC555" s="211"/>
      <c r="AD555" s="211"/>
      <c r="AE555" s="211"/>
      <c r="AF555" s="84"/>
      <c r="AG555" s="146"/>
      <c r="AH555" s="211"/>
      <c r="AI555" s="211"/>
      <c r="AJ555" s="211"/>
      <c r="AK555" s="84"/>
      <c r="AL555" s="146"/>
      <c r="AM555" s="211"/>
      <c r="AN555" s="211"/>
      <c r="AO555" s="211"/>
      <c r="AP555" s="436"/>
      <c r="AQ555" s="146"/>
      <c r="AR555" s="211"/>
      <c r="AS555" s="211"/>
      <c r="AT555" s="211"/>
      <c r="AU555" s="84"/>
      <c r="AV555" s="211"/>
      <c r="AW555" s="211"/>
      <c r="AX555" s="211"/>
      <c r="AY555" s="211"/>
      <c r="AZ555" s="84"/>
      <c r="BA555" s="211"/>
      <c r="BB555" s="211"/>
      <c r="BC555" s="211"/>
      <c r="BD555" s="211"/>
      <c r="BE555" s="84"/>
      <c r="BF555" s="211"/>
      <c r="BG555" s="451"/>
    </row>
    <row r="556" spans="1:59" ht="12.75">
      <c r="A556" s="211"/>
      <c r="B556" s="449"/>
      <c r="C556" s="450"/>
      <c r="D556" s="211"/>
      <c r="E556" s="211"/>
      <c r="F556" s="211"/>
      <c r="G556" s="84"/>
      <c r="H556" s="211"/>
      <c r="I556" s="211"/>
      <c r="J556" s="211"/>
      <c r="K556" s="211"/>
      <c r="L556" s="84"/>
      <c r="M556" s="211"/>
      <c r="N556" s="211"/>
      <c r="O556" s="211"/>
      <c r="P556" s="211"/>
      <c r="Q556" s="84"/>
      <c r="R556" s="211"/>
      <c r="S556" s="211"/>
      <c r="T556" s="211"/>
      <c r="U556" s="211"/>
      <c r="V556" s="84"/>
      <c r="W556" s="211"/>
      <c r="X556" s="211"/>
      <c r="Y556" s="211"/>
      <c r="Z556" s="211"/>
      <c r="AA556" s="84"/>
      <c r="AB556" s="146"/>
      <c r="AC556" s="211"/>
      <c r="AD556" s="211"/>
      <c r="AE556" s="211"/>
      <c r="AF556" s="84"/>
      <c r="AG556" s="146"/>
      <c r="AH556" s="211"/>
      <c r="AI556" s="211"/>
      <c r="AJ556" s="211"/>
      <c r="AK556" s="84"/>
      <c r="AL556" s="146"/>
      <c r="AM556" s="211"/>
      <c r="AN556" s="211"/>
      <c r="AO556" s="211"/>
      <c r="AP556" s="436"/>
      <c r="AQ556" s="146"/>
      <c r="AR556" s="211"/>
      <c r="AS556" s="211"/>
      <c r="AT556" s="211"/>
      <c r="AU556" s="84"/>
      <c r="AV556" s="211"/>
      <c r="AW556" s="211"/>
      <c r="AX556" s="211"/>
      <c r="AY556" s="211"/>
      <c r="AZ556" s="84"/>
      <c r="BA556" s="211"/>
      <c r="BB556" s="211"/>
      <c r="BC556" s="211"/>
      <c r="BD556" s="211"/>
      <c r="BE556" s="84"/>
      <c r="BF556" s="211"/>
      <c r="BG556" s="451"/>
    </row>
    <row r="557" spans="1:59" ht="12.75">
      <c r="A557" s="211"/>
      <c r="B557" s="449"/>
      <c r="C557" s="450"/>
      <c r="D557" s="211"/>
      <c r="E557" s="211"/>
      <c r="F557" s="211"/>
      <c r="G557" s="84"/>
      <c r="H557" s="211"/>
      <c r="I557" s="211"/>
      <c r="J557" s="211"/>
      <c r="K557" s="211"/>
      <c r="L557" s="84"/>
      <c r="M557" s="211"/>
      <c r="N557" s="211"/>
      <c r="O557" s="211"/>
      <c r="P557" s="211"/>
      <c r="Q557" s="84"/>
      <c r="R557" s="211"/>
      <c r="S557" s="211"/>
      <c r="T557" s="211"/>
      <c r="U557" s="211"/>
      <c r="V557" s="84"/>
      <c r="W557" s="211"/>
      <c r="X557" s="211"/>
      <c r="Y557" s="211"/>
      <c r="Z557" s="211"/>
      <c r="AA557" s="84"/>
      <c r="AB557" s="146"/>
      <c r="AC557" s="211"/>
      <c r="AD557" s="211"/>
      <c r="AE557" s="211"/>
      <c r="AF557" s="84"/>
      <c r="AG557" s="146"/>
      <c r="AH557" s="211"/>
      <c r="AI557" s="211"/>
      <c r="AJ557" s="211"/>
      <c r="AK557" s="84"/>
      <c r="AL557" s="146"/>
      <c r="AM557" s="211"/>
      <c r="AN557" s="211"/>
      <c r="AO557" s="211"/>
      <c r="AP557" s="436"/>
      <c r="AQ557" s="146"/>
      <c r="AR557" s="211"/>
      <c r="AS557" s="211"/>
      <c r="AT557" s="211"/>
      <c r="AU557" s="84"/>
      <c r="AV557" s="211"/>
      <c r="AW557" s="211"/>
      <c r="AX557" s="211"/>
      <c r="AY557" s="211"/>
      <c r="AZ557" s="84"/>
      <c r="BA557" s="211"/>
      <c r="BB557" s="211"/>
      <c r="BC557" s="211"/>
      <c r="BD557" s="211"/>
      <c r="BE557" s="84"/>
      <c r="BF557" s="211"/>
      <c r="BG557" s="451"/>
    </row>
    <row r="558" spans="1:59" ht="12.75">
      <c r="A558" s="211"/>
      <c r="B558" s="449"/>
      <c r="C558" s="450"/>
      <c r="D558" s="211"/>
      <c r="E558" s="211"/>
      <c r="F558" s="211"/>
      <c r="G558" s="84"/>
      <c r="H558" s="211"/>
      <c r="I558" s="211"/>
      <c r="J558" s="211"/>
      <c r="K558" s="211"/>
      <c r="L558" s="84"/>
      <c r="M558" s="211"/>
      <c r="N558" s="211"/>
      <c r="O558" s="211"/>
      <c r="P558" s="211"/>
      <c r="Q558" s="84"/>
      <c r="R558" s="211"/>
      <c r="S558" s="211"/>
      <c r="T558" s="211"/>
      <c r="U558" s="211"/>
      <c r="V558" s="84"/>
      <c r="W558" s="211"/>
      <c r="X558" s="211"/>
      <c r="Y558" s="211"/>
      <c r="Z558" s="211"/>
      <c r="AA558" s="84"/>
      <c r="AB558" s="146"/>
      <c r="AC558" s="211"/>
      <c r="AD558" s="211"/>
      <c r="AE558" s="211"/>
      <c r="AF558" s="84"/>
      <c r="AG558" s="146"/>
      <c r="AH558" s="211"/>
      <c r="AI558" s="211"/>
      <c r="AJ558" s="211"/>
      <c r="AK558" s="84"/>
      <c r="AL558" s="146"/>
      <c r="AM558" s="211"/>
      <c r="AN558" s="211"/>
      <c r="AO558" s="211"/>
      <c r="AP558" s="436"/>
      <c r="AQ558" s="146"/>
      <c r="AR558" s="211"/>
      <c r="AS558" s="211"/>
      <c r="AT558" s="211"/>
      <c r="AU558" s="84"/>
      <c r="AV558" s="211"/>
      <c r="AW558" s="211"/>
      <c r="AX558" s="211"/>
      <c r="AY558" s="211"/>
      <c r="AZ558" s="84"/>
      <c r="BA558" s="211"/>
      <c r="BB558" s="211"/>
      <c r="BC558" s="211"/>
      <c r="BD558" s="211"/>
      <c r="BE558" s="84"/>
      <c r="BF558" s="211"/>
      <c r="BG558" s="451"/>
    </row>
    <row r="559" spans="1:59" ht="12.75">
      <c r="A559" s="211"/>
      <c r="B559" s="449"/>
      <c r="C559" s="450"/>
      <c r="D559" s="211"/>
      <c r="E559" s="211"/>
      <c r="F559" s="211"/>
      <c r="G559" s="84"/>
      <c r="H559" s="211"/>
      <c r="I559" s="211"/>
      <c r="J559" s="211"/>
      <c r="K559" s="211"/>
      <c r="L559" s="84"/>
      <c r="M559" s="211"/>
      <c r="N559" s="211"/>
      <c r="O559" s="211"/>
      <c r="P559" s="211"/>
      <c r="Q559" s="84"/>
      <c r="R559" s="211"/>
      <c r="S559" s="211"/>
      <c r="T559" s="211"/>
      <c r="U559" s="211"/>
      <c r="V559" s="84"/>
      <c r="W559" s="211"/>
      <c r="X559" s="211"/>
      <c r="Y559" s="211"/>
      <c r="Z559" s="211"/>
      <c r="AA559" s="84"/>
      <c r="AB559" s="146"/>
      <c r="AC559" s="211"/>
      <c r="AD559" s="211"/>
      <c r="AE559" s="211"/>
      <c r="AF559" s="84"/>
      <c r="AG559" s="146"/>
      <c r="AH559" s="211"/>
      <c r="AI559" s="211"/>
      <c r="AJ559" s="211"/>
      <c r="AK559" s="84"/>
      <c r="AL559" s="146"/>
      <c r="AM559" s="211"/>
      <c r="AN559" s="211"/>
      <c r="AO559" s="211"/>
      <c r="AP559" s="436"/>
      <c r="AQ559" s="146"/>
      <c r="AR559" s="211"/>
      <c r="AS559" s="211"/>
      <c r="AT559" s="211"/>
      <c r="AU559" s="84"/>
      <c r="AV559" s="211"/>
      <c r="AW559" s="211"/>
      <c r="AX559" s="211"/>
      <c r="AY559" s="211"/>
      <c r="AZ559" s="84"/>
      <c r="BA559" s="211"/>
      <c r="BB559" s="211"/>
      <c r="BC559" s="211"/>
      <c r="BD559" s="211"/>
      <c r="BE559" s="84"/>
      <c r="BF559" s="211"/>
      <c r="BG559" s="451"/>
    </row>
    <row r="560" spans="1:59" ht="12.75">
      <c r="A560" s="211"/>
      <c r="B560" s="449"/>
      <c r="C560" s="450"/>
      <c r="D560" s="211"/>
      <c r="E560" s="211"/>
      <c r="F560" s="211"/>
      <c r="G560" s="84"/>
      <c r="H560" s="211"/>
      <c r="I560" s="211"/>
      <c r="J560" s="211"/>
      <c r="K560" s="211"/>
      <c r="L560" s="84"/>
      <c r="M560" s="211"/>
      <c r="N560" s="211"/>
      <c r="O560" s="211"/>
      <c r="P560" s="211"/>
      <c r="Q560" s="84"/>
      <c r="R560" s="211"/>
      <c r="S560" s="211"/>
      <c r="T560" s="211"/>
      <c r="U560" s="211"/>
      <c r="V560" s="84"/>
      <c r="W560" s="211"/>
      <c r="X560" s="211"/>
      <c r="Y560" s="211"/>
      <c r="Z560" s="211"/>
      <c r="AA560" s="84"/>
      <c r="AB560" s="146"/>
      <c r="AC560" s="211"/>
      <c r="AD560" s="211"/>
      <c r="AE560" s="211"/>
      <c r="AF560" s="84"/>
      <c r="AG560" s="146"/>
      <c r="AH560" s="211"/>
      <c r="AI560" s="211"/>
      <c r="AJ560" s="211"/>
      <c r="AK560" s="84"/>
      <c r="AL560" s="146"/>
      <c r="AM560" s="211"/>
      <c r="AN560" s="211"/>
      <c r="AO560" s="211"/>
      <c r="AP560" s="436"/>
      <c r="AQ560" s="146"/>
      <c r="AR560" s="211"/>
      <c r="AS560" s="211"/>
      <c r="AT560" s="211"/>
      <c r="AU560" s="84"/>
      <c r="AV560" s="211"/>
      <c r="AW560" s="211"/>
      <c r="AX560" s="211"/>
      <c r="AY560" s="211"/>
      <c r="AZ560" s="84"/>
      <c r="BA560" s="211"/>
      <c r="BB560" s="211"/>
      <c r="BC560" s="211"/>
      <c r="BD560" s="211"/>
      <c r="BE560" s="84"/>
      <c r="BF560" s="211"/>
      <c r="BG560" s="451"/>
    </row>
    <row r="561" spans="1:59" ht="12.75">
      <c r="A561" s="211"/>
      <c r="B561" s="449"/>
      <c r="C561" s="450"/>
      <c r="D561" s="211"/>
      <c r="E561" s="211"/>
      <c r="F561" s="211"/>
      <c r="G561" s="84"/>
      <c r="H561" s="211"/>
      <c r="I561" s="211"/>
      <c r="J561" s="211"/>
      <c r="K561" s="211"/>
      <c r="L561" s="84"/>
      <c r="M561" s="211"/>
      <c r="N561" s="211"/>
      <c r="O561" s="211"/>
      <c r="P561" s="211"/>
      <c r="Q561" s="84"/>
      <c r="R561" s="211"/>
      <c r="S561" s="211"/>
      <c r="T561" s="211"/>
      <c r="U561" s="211"/>
      <c r="V561" s="84"/>
      <c r="W561" s="211"/>
      <c r="X561" s="211"/>
      <c r="Y561" s="211"/>
      <c r="Z561" s="211"/>
      <c r="AA561" s="84"/>
      <c r="AB561" s="146"/>
      <c r="AC561" s="211"/>
      <c r="AD561" s="211"/>
      <c r="AE561" s="211"/>
      <c r="AF561" s="84"/>
      <c r="AG561" s="146"/>
      <c r="AH561" s="211"/>
      <c r="AI561" s="211"/>
      <c r="AJ561" s="211"/>
      <c r="AK561" s="84"/>
      <c r="AL561" s="146"/>
      <c r="AM561" s="211"/>
      <c r="AN561" s="211"/>
      <c r="AO561" s="211"/>
      <c r="AP561" s="436"/>
      <c r="AQ561" s="146"/>
      <c r="AR561" s="211"/>
      <c r="AS561" s="211"/>
      <c r="AT561" s="211"/>
      <c r="AU561" s="84"/>
      <c r="AV561" s="211"/>
      <c r="AW561" s="211"/>
      <c r="AX561" s="211"/>
      <c r="AY561" s="211"/>
      <c r="AZ561" s="84"/>
      <c r="BA561" s="211"/>
      <c r="BB561" s="211"/>
      <c r="BC561" s="211"/>
      <c r="BD561" s="211"/>
      <c r="BE561" s="84"/>
      <c r="BF561" s="211"/>
      <c r="BG561" s="451"/>
    </row>
    <row r="562" spans="1:59" ht="12.75">
      <c r="A562" s="211"/>
      <c r="B562" s="449"/>
      <c r="C562" s="450"/>
      <c r="D562" s="211"/>
      <c r="E562" s="211"/>
      <c r="F562" s="211"/>
      <c r="G562" s="84"/>
      <c r="H562" s="211"/>
      <c r="I562" s="211"/>
      <c r="J562" s="211"/>
      <c r="K562" s="211"/>
      <c r="L562" s="84"/>
      <c r="M562" s="211"/>
      <c r="N562" s="211"/>
      <c r="O562" s="211"/>
      <c r="P562" s="211"/>
      <c r="Q562" s="84"/>
      <c r="R562" s="211"/>
      <c r="S562" s="211"/>
      <c r="T562" s="211"/>
      <c r="U562" s="211"/>
      <c r="V562" s="84"/>
      <c r="W562" s="211"/>
      <c r="X562" s="211"/>
      <c r="Y562" s="211"/>
      <c r="Z562" s="211"/>
      <c r="AA562" s="84"/>
      <c r="AB562" s="146"/>
      <c r="AC562" s="211"/>
      <c r="AD562" s="211"/>
      <c r="AE562" s="211"/>
      <c r="AF562" s="84"/>
      <c r="AG562" s="146"/>
      <c r="AH562" s="211"/>
      <c r="AI562" s="211"/>
      <c r="AJ562" s="211"/>
      <c r="AK562" s="84"/>
      <c r="AL562" s="146"/>
      <c r="AM562" s="211"/>
      <c r="AN562" s="211"/>
      <c r="AO562" s="211"/>
      <c r="AP562" s="436"/>
      <c r="AQ562" s="146"/>
      <c r="AR562" s="211"/>
      <c r="AS562" s="211"/>
      <c r="AT562" s="211"/>
      <c r="AU562" s="84"/>
      <c r="AV562" s="211"/>
      <c r="AW562" s="211"/>
      <c r="AX562" s="211"/>
      <c r="AY562" s="211"/>
      <c r="AZ562" s="84"/>
      <c r="BA562" s="211"/>
      <c r="BB562" s="211"/>
      <c r="BC562" s="211"/>
      <c r="BD562" s="211"/>
      <c r="BE562" s="84"/>
      <c r="BF562" s="211"/>
      <c r="BG562" s="451"/>
    </row>
    <row r="563" spans="1:59" ht="12.75">
      <c r="A563" s="211"/>
      <c r="B563" s="449"/>
      <c r="C563" s="450"/>
      <c r="D563" s="211"/>
      <c r="E563" s="211"/>
      <c r="F563" s="211"/>
      <c r="G563" s="84"/>
      <c r="H563" s="211"/>
      <c r="I563" s="211"/>
      <c r="J563" s="211"/>
      <c r="K563" s="211"/>
      <c r="L563" s="84"/>
      <c r="M563" s="211"/>
      <c r="N563" s="211"/>
      <c r="O563" s="211"/>
      <c r="P563" s="211"/>
      <c r="Q563" s="84"/>
      <c r="R563" s="211"/>
      <c r="S563" s="211"/>
      <c r="T563" s="211"/>
      <c r="U563" s="211"/>
      <c r="V563" s="84"/>
      <c r="W563" s="211"/>
      <c r="X563" s="211"/>
      <c r="Y563" s="211"/>
      <c r="Z563" s="211"/>
      <c r="AA563" s="84"/>
      <c r="AB563" s="146"/>
      <c r="AC563" s="211"/>
      <c r="AD563" s="211"/>
      <c r="AE563" s="211"/>
      <c r="AF563" s="84"/>
      <c r="AG563" s="146"/>
      <c r="AH563" s="211"/>
      <c r="AI563" s="211"/>
      <c r="AJ563" s="211"/>
      <c r="AK563" s="84"/>
      <c r="AL563" s="146"/>
      <c r="AM563" s="211"/>
      <c r="AN563" s="211"/>
      <c r="AO563" s="211"/>
      <c r="AP563" s="436"/>
      <c r="AQ563" s="146"/>
      <c r="AR563" s="211"/>
      <c r="AS563" s="211"/>
      <c r="AT563" s="211"/>
      <c r="AU563" s="84"/>
      <c r="AV563" s="211"/>
      <c r="AW563" s="211"/>
      <c r="AX563" s="211"/>
      <c r="AY563" s="211"/>
      <c r="AZ563" s="84"/>
      <c r="BA563" s="211"/>
      <c r="BB563" s="211"/>
      <c r="BC563" s="211"/>
      <c r="BD563" s="211"/>
      <c r="BE563" s="84"/>
      <c r="BF563" s="211"/>
      <c r="BG563" s="451"/>
    </row>
    <row r="564" spans="1:59" ht="12.75">
      <c r="A564" s="211"/>
      <c r="B564" s="449"/>
      <c r="C564" s="450"/>
      <c r="D564" s="211"/>
      <c r="E564" s="211"/>
      <c r="F564" s="211"/>
      <c r="G564" s="84"/>
      <c r="H564" s="211"/>
      <c r="I564" s="211"/>
      <c r="J564" s="211"/>
      <c r="K564" s="211"/>
      <c r="L564" s="84"/>
      <c r="M564" s="211"/>
      <c r="N564" s="211"/>
      <c r="O564" s="211"/>
      <c r="P564" s="211"/>
      <c r="Q564" s="84"/>
      <c r="R564" s="211"/>
      <c r="S564" s="211"/>
      <c r="T564" s="211"/>
      <c r="U564" s="211"/>
      <c r="V564" s="84"/>
      <c r="W564" s="211"/>
      <c r="X564" s="211"/>
      <c r="Y564" s="211"/>
      <c r="Z564" s="211"/>
      <c r="AA564" s="84"/>
      <c r="AB564" s="146"/>
      <c r="AC564" s="211"/>
      <c r="AD564" s="211"/>
      <c r="AE564" s="211"/>
      <c r="AF564" s="84"/>
      <c r="AG564" s="146"/>
      <c r="AH564" s="211"/>
      <c r="AI564" s="211"/>
      <c r="AJ564" s="211"/>
      <c r="AK564" s="84"/>
      <c r="AL564" s="146"/>
      <c r="AM564" s="211"/>
      <c r="AN564" s="211"/>
      <c r="AO564" s="211"/>
      <c r="AP564" s="436"/>
      <c r="AQ564" s="146"/>
      <c r="AR564" s="211"/>
      <c r="AS564" s="211"/>
      <c r="AT564" s="211"/>
      <c r="AU564" s="84"/>
      <c r="AV564" s="211"/>
      <c r="AW564" s="211"/>
      <c r="AX564" s="211"/>
      <c r="AY564" s="211"/>
      <c r="AZ564" s="84"/>
      <c r="BA564" s="211"/>
      <c r="BB564" s="211"/>
      <c r="BC564" s="211"/>
      <c r="BD564" s="211"/>
      <c r="BE564" s="84"/>
      <c r="BF564" s="211"/>
      <c r="BG564" s="451"/>
    </row>
    <row r="565" spans="1:59" ht="12.75">
      <c r="A565" s="211"/>
      <c r="B565" s="449"/>
      <c r="C565" s="450"/>
      <c r="D565" s="211"/>
      <c r="E565" s="211"/>
      <c r="F565" s="211"/>
      <c r="G565" s="84"/>
      <c r="H565" s="211"/>
      <c r="I565" s="211"/>
      <c r="J565" s="211"/>
      <c r="K565" s="211"/>
      <c r="L565" s="84"/>
      <c r="M565" s="211"/>
      <c r="N565" s="211"/>
      <c r="O565" s="211"/>
      <c r="P565" s="211"/>
      <c r="Q565" s="84"/>
      <c r="R565" s="211"/>
      <c r="S565" s="211"/>
      <c r="T565" s="211"/>
      <c r="U565" s="211"/>
      <c r="V565" s="84"/>
      <c r="W565" s="211"/>
      <c r="X565" s="211"/>
      <c r="Y565" s="211"/>
      <c r="Z565" s="211"/>
      <c r="AA565" s="84"/>
      <c r="AB565" s="146"/>
      <c r="AC565" s="211"/>
      <c r="AD565" s="211"/>
      <c r="AE565" s="211"/>
      <c r="AF565" s="84"/>
      <c r="AG565" s="146"/>
      <c r="AH565" s="211"/>
      <c r="AI565" s="211"/>
      <c r="AJ565" s="211"/>
      <c r="AK565" s="84"/>
      <c r="AL565" s="146"/>
      <c r="AM565" s="211"/>
      <c r="AN565" s="211"/>
      <c r="AO565" s="211"/>
      <c r="AP565" s="436"/>
      <c r="AQ565" s="146"/>
      <c r="AR565" s="211"/>
      <c r="AS565" s="211"/>
      <c r="AT565" s="211"/>
      <c r="AU565" s="84"/>
      <c r="AV565" s="211"/>
      <c r="AW565" s="211"/>
      <c r="AX565" s="211"/>
      <c r="AY565" s="211"/>
      <c r="AZ565" s="84"/>
      <c r="BA565" s="211"/>
      <c r="BB565" s="211"/>
      <c r="BC565" s="211"/>
      <c r="BD565" s="211"/>
      <c r="BE565" s="84"/>
      <c r="BF565" s="211"/>
      <c r="BG565" s="451"/>
    </row>
    <row r="566" spans="1:59" ht="12.75">
      <c r="A566" s="211"/>
      <c r="B566" s="449"/>
      <c r="C566" s="450"/>
      <c r="D566" s="211"/>
      <c r="E566" s="211"/>
      <c r="F566" s="211"/>
      <c r="G566" s="84"/>
      <c r="H566" s="211"/>
      <c r="I566" s="211"/>
      <c r="J566" s="211"/>
      <c r="K566" s="211"/>
      <c r="L566" s="84"/>
      <c r="M566" s="211"/>
      <c r="N566" s="211"/>
      <c r="O566" s="211"/>
      <c r="P566" s="211"/>
      <c r="Q566" s="84"/>
      <c r="R566" s="211"/>
      <c r="S566" s="211"/>
      <c r="T566" s="211"/>
      <c r="U566" s="211"/>
      <c r="V566" s="84"/>
      <c r="W566" s="211"/>
      <c r="X566" s="211"/>
      <c r="Y566" s="211"/>
      <c r="Z566" s="211"/>
      <c r="AA566" s="84"/>
      <c r="AB566" s="146"/>
      <c r="AC566" s="211"/>
      <c r="AD566" s="211"/>
      <c r="AE566" s="211"/>
      <c r="AF566" s="84"/>
      <c r="AG566" s="146"/>
      <c r="AH566" s="211"/>
      <c r="AI566" s="211"/>
      <c r="AJ566" s="211"/>
      <c r="AK566" s="84"/>
      <c r="AL566" s="146"/>
      <c r="AM566" s="211"/>
      <c r="AN566" s="211"/>
      <c r="AO566" s="211"/>
      <c r="AP566" s="436"/>
      <c r="AQ566" s="146"/>
      <c r="AR566" s="211"/>
      <c r="AS566" s="211"/>
      <c r="AT566" s="211"/>
      <c r="AU566" s="84"/>
      <c r="AV566" s="211"/>
      <c r="AW566" s="211"/>
      <c r="AX566" s="211"/>
      <c r="AY566" s="211"/>
      <c r="AZ566" s="84"/>
      <c r="BA566" s="211"/>
      <c r="BB566" s="211"/>
      <c r="BC566" s="211"/>
      <c r="BD566" s="211"/>
      <c r="BE566" s="84"/>
      <c r="BF566" s="211"/>
      <c r="BG566" s="451"/>
    </row>
    <row r="567" spans="1:59" ht="12.75">
      <c r="A567" s="211"/>
      <c r="B567" s="449"/>
      <c r="C567" s="450"/>
      <c r="D567" s="211"/>
      <c r="E567" s="211"/>
      <c r="F567" s="211"/>
      <c r="G567" s="84"/>
      <c r="H567" s="211"/>
      <c r="I567" s="211"/>
      <c r="J567" s="211"/>
      <c r="K567" s="211"/>
      <c r="L567" s="84"/>
      <c r="M567" s="211"/>
      <c r="N567" s="211"/>
      <c r="O567" s="211"/>
      <c r="P567" s="211"/>
      <c r="Q567" s="84"/>
      <c r="R567" s="211"/>
      <c r="S567" s="211"/>
      <c r="T567" s="211"/>
      <c r="U567" s="211"/>
      <c r="V567" s="84"/>
      <c r="W567" s="211"/>
      <c r="X567" s="211"/>
      <c r="Y567" s="211"/>
      <c r="Z567" s="211"/>
      <c r="AA567" s="84"/>
      <c r="AB567" s="146"/>
      <c r="AC567" s="211"/>
      <c r="AD567" s="211"/>
      <c r="AE567" s="211"/>
      <c r="AF567" s="84"/>
      <c r="AG567" s="146"/>
      <c r="AH567" s="211"/>
      <c r="AI567" s="211"/>
      <c r="AJ567" s="211"/>
      <c r="AK567" s="84"/>
      <c r="AL567" s="146"/>
      <c r="AM567" s="211"/>
      <c r="AN567" s="211"/>
      <c r="AO567" s="211"/>
      <c r="AP567" s="436"/>
      <c r="AQ567" s="146"/>
      <c r="AR567" s="211"/>
      <c r="AS567" s="211"/>
      <c r="AT567" s="211"/>
      <c r="AU567" s="84"/>
      <c r="AV567" s="211"/>
      <c r="AW567" s="211"/>
      <c r="AX567" s="211"/>
      <c r="AY567" s="211"/>
      <c r="AZ567" s="84"/>
      <c r="BA567" s="211"/>
      <c r="BB567" s="211"/>
      <c r="BC567" s="211"/>
      <c r="BD567" s="211"/>
      <c r="BE567" s="84"/>
      <c r="BF567" s="211"/>
      <c r="BG567" s="451"/>
    </row>
    <row r="568" spans="1:59" ht="12.75">
      <c r="A568" s="211"/>
      <c r="B568" s="449"/>
      <c r="C568" s="450"/>
      <c r="D568" s="211"/>
      <c r="E568" s="211"/>
      <c r="F568" s="211"/>
      <c r="G568" s="84"/>
      <c r="H568" s="211"/>
      <c r="I568" s="211"/>
      <c r="J568" s="211"/>
      <c r="K568" s="211"/>
      <c r="L568" s="84"/>
      <c r="M568" s="211"/>
      <c r="N568" s="211"/>
      <c r="O568" s="211"/>
      <c r="P568" s="211"/>
      <c r="Q568" s="84"/>
      <c r="R568" s="211"/>
      <c r="S568" s="211"/>
      <c r="T568" s="211"/>
      <c r="U568" s="211"/>
      <c r="V568" s="84"/>
      <c r="W568" s="211"/>
      <c r="X568" s="211"/>
      <c r="Y568" s="211"/>
      <c r="Z568" s="211"/>
      <c r="AA568" s="84"/>
      <c r="AB568" s="146"/>
      <c r="AC568" s="211"/>
      <c r="AD568" s="211"/>
      <c r="AE568" s="211"/>
      <c r="AF568" s="84"/>
      <c r="AG568" s="146"/>
      <c r="AH568" s="211"/>
      <c r="AI568" s="211"/>
      <c r="AJ568" s="211"/>
      <c r="AK568" s="84"/>
      <c r="AL568" s="146"/>
      <c r="AM568" s="211"/>
      <c r="AN568" s="211"/>
      <c r="AO568" s="211"/>
      <c r="AP568" s="436"/>
      <c r="AQ568" s="146"/>
      <c r="AR568" s="211"/>
      <c r="AS568" s="211"/>
      <c r="AT568" s="211"/>
      <c r="AU568" s="84"/>
      <c r="AV568" s="211"/>
      <c r="AW568" s="211"/>
      <c r="AX568" s="211"/>
      <c r="AY568" s="211"/>
      <c r="AZ568" s="84"/>
      <c r="BA568" s="211"/>
      <c r="BB568" s="211"/>
      <c r="BC568" s="211"/>
      <c r="BD568" s="211"/>
      <c r="BE568" s="84"/>
      <c r="BF568" s="211"/>
      <c r="BG568" s="451"/>
    </row>
    <row r="569" spans="1:59" ht="12.75">
      <c r="A569" s="211"/>
      <c r="B569" s="449"/>
      <c r="C569" s="450"/>
      <c r="D569" s="211"/>
      <c r="E569" s="211"/>
      <c r="F569" s="211"/>
      <c r="G569" s="84"/>
      <c r="H569" s="211"/>
      <c r="I569" s="211"/>
      <c r="J569" s="211"/>
      <c r="K569" s="211"/>
      <c r="L569" s="84"/>
      <c r="M569" s="211"/>
      <c r="N569" s="211"/>
      <c r="O569" s="211"/>
      <c r="P569" s="211"/>
      <c r="Q569" s="84"/>
      <c r="R569" s="211"/>
      <c r="S569" s="211"/>
      <c r="T569" s="211"/>
      <c r="U569" s="211"/>
      <c r="V569" s="84"/>
      <c r="W569" s="211"/>
      <c r="X569" s="211"/>
      <c r="Y569" s="211"/>
      <c r="Z569" s="211"/>
      <c r="AA569" s="84"/>
      <c r="AB569" s="146"/>
      <c r="AC569" s="211"/>
      <c r="AD569" s="211"/>
      <c r="AE569" s="211"/>
      <c r="AF569" s="84"/>
      <c r="AG569" s="146"/>
      <c r="AH569" s="211"/>
      <c r="AI569" s="211"/>
      <c r="AJ569" s="211"/>
      <c r="AK569" s="84"/>
      <c r="AL569" s="146"/>
      <c r="AM569" s="211"/>
      <c r="AN569" s="211"/>
      <c r="AO569" s="211"/>
      <c r="AP569" s="436"/>
      <c r="AQ569" s="146"/>
      <c r="AR569" s="211"/>
      <c r="AS569" s="211"/>
      <c r="AT569" s="211"/>
      <c r="AU569" s="84"/>
      <c r="AV569" s="211"/>
      <c r="AW569" s="211"/>
      <c r="AX569" s="211"/>
      <c r="AY569" s="211"/>
      <c r="AZ569" s="84"/>
      <c r="BA569" s="211"/>
      <c r="BB569" s="211"/>
      <c r="BC569" s="211"/>
      <c r="BD569" s="211"/>
      <c r="BE569" s="84"/>
      <c r="BF569" s="211"/>
      <c r="BG569" s="451"/>
    </row>
    <row r="570" spans="1:59" ht="12.75">
      <c r="A570" s="211"/>
      <c r="B570" s="449"/>
      <c r="C570" s="450"/>
      <c r="D570" s="211"/>
      <c r="E570" s="211"/>
      <c r="F570" s="211"/>
      <c r="G570" s="84"/>
      <c r="H570" s="211"/>
      <c r="I570" s="211"/>
      <c r="J570" s="211"/>
      <c r="K570" s="211"/>
      <c r="L570" s="84"/>
      <c r="M570" s="211"/>
      <c r="N570" s="211"/>
      <c r="O570" s="211"/>
      <c r="P570" s="211"/>
      <c r="Q570" s="84"/>
      <c r="R570" s="211"/>
      <c r="S570" s="211"/>
      <c r="T570" s="211"/>
      <c r="U570" s="211"/>
      <c r="V570" s="84"/>
      <c r="W570" s="211"/>
      <c r="X570" s="211"/>
      <c r="Y570" s="211"/>
      <c r="Z570" s="211"/>
      <c r="AA570" s="84"/>
      <c r="AB570" s="146"/>
      <c r="AC570" s="211"/>
      <c r="AD570" s="211"/>
      <c r="AE570" s="211"/>
      <c r="AF570" s="84"/>
      <c r="AG570" s="146"/>
      <c r="AH570" s="211"/>
      <c r="AI570" s="211"/>
      <c r="AJ570" s="211"/>
      <c r="AK570" s="84"/>
      <c r="AL570" s="146"/>
      <c r="AM570" s="211"/>
      <c r="AN570" s="211"/>
      <c r="AO570" s="211"/>
      <c r="AP570" s="436"/>
      <c r="AQ570" s="146"/>
      <c r="AR570" s="211"/>
      <c r="AS570" s="211"/>
      <c r="AT570" s="211"/>
      <c r="AU570" s="84"/>
      <c r="AV570" s="211"/>
      <c r="AW570" s="211"/>
      <c r="AX570" s="211"/>
      <c r="AY570" s="211"/>
      <c r="AZ570" s="84"/>
      <c r="BA570" s="211"/>
      <c r="BB570" s="211"/>
      <c r="BC570" s="211"/>
      <c r="BD570" s="211"/>
      <c r="BE570" s="84"/>
      <c r="BF570" s="211"/>
      <c r="BG570" s="451"/>
    </row>
    <row r="571" spans="1:59" ht="12.75">
      <c r="A571" s="211"/>
      <c r="B571" s="449"/>
      <c r="C571" s="450"/>
      <c r="D571" s="211"/>
      <c r="E571" s="211"/>
      <c r="F571" s="211"/>
      <c r="G571" s="84"/>
      <c r="H571" s="211"/>
      <c r="I571" s="211"/>
      <c r="J571" s="211"/>
      <c r="K571" s="211"/>
      <c r="L571" s="84"/>
      <c r="M571" s="211"/>
      <c r="N571" s="211"/>
      <c r="O571" s="211"/>
      <c r="P571" s="211"/>
      <c r="Q571" s="84"/>
      <c r="R571" s="211"/>
      <c r="S571" s="211"/>
      <c r="T571" s="211"/>
      <c r="U571" s="211"/>
      <c r="V571" s="84"/>
      <c r="W571" s="211"/>
      <c r="X571" s="211"/>
      <c r="Y571" s="211"/>
      <c r="Z571" s="211"/>
      <c r="AA571" s="84"/>
      <c r="AB571" s="146"/>
      <c r="AC571" s="211"/>
      <c r="AD571" s="211"/>
      <c r="AE571" s="211"/>
      <c r="AF571" s="84"/>
      <c r="AG571" s="146"/>
      <c r="AH571" s="211"/>
      <c r="AI571" s="211"/>
      <c r="AJ571" s="211"/>
      <c r="AK571" s="84"/>
      <c r="AL571" s="146"/>
      <c r="AM571" s="211"/>
      <c r="AN571" s="211"/>
      <c r="AO571" s="211"/>
      <c r="AP571" s="436"/>
      <c r="AQ571" s="146"/>
      <c r="AR571" s="211"/>
      <c r="AS571" s="211"/>
      <c r="AT571" s="211"/>
      <c r="AU571" s="84"/>
      <c r="AV571" s="211"/>
      <c r="AW571" s="211"/>
      <c r="AX571" s="211"/>
      <c r="AY571" s="211"/>
      <c r="AZ571" s="84"/>
      <c r="BA571" s="211"/>
      <c r="BB571" s="211"/>
      <c r="BC571" s="211"/>
      <c r="BD571" s="211"/>
      <c r="BE571" s="84"/>
      <c r="BF571" s="211"/>
      <c r="BG571" s="451"/>
    </row>
    <row r="572" spans="1:59" ht="12.75">
      <c r="A572" s="211"/>
      <c r="B572" s="449"/>
      <c r="C572" s="450"/>
      <c r="D572" s="211"/>
      <c r="E572" s="211"/>
      <c r="F572" s="211"/>
      <c r="G572" s="84"/>
      <c r="H572" s="211"/>
      <c r="I572" s="211"/>
      <c r="J572" s="211"/>
      <c r="K572" s="211"/>
      <c r="L572" s="84"/>
      <c r="M572" s="211"/>
      <c r="N572" s="211"/>
      <c r="O572" s="211"/>
      <c r="P572" s="211"/>
      <c r="Q572" s="84"/>
      <c r="R572" s="211"/>
      <c r="S572" s="211"/>
      <c r="T572" s="211"/>
      <c r="U572" s="211"/>
      <c r="V572" s="84"/>
      <c r="W572" s="211"/>
      <c r="X572" s="211"/>
      <c r="Y572" s="211"/>
      <c r="Z572" s="211"/>
      <c r="AA572" s="84"/>
      <c r="AB572" s="146"/>
      <c r="AC572" s="211"/>
      <c r="AD572" s="211"/>
      <c r="AE572" s="211"/>
      <c r="AF572" s="84"/>
      <c r="AG572" s="146"/>
      <c r="AH572" s="211"/>
      <c r="AI572" s="211"/>
      <c r="AJ572" s="211"/>
      <c r="AK572" s="84"/>
      <c r="AL572" s="146"/>
      <c r="AM572" s="211"/>
      <c r="AN572" s="211"/>
      <c r="AO572" s="211"/>
      <c r="AP572" s="436"/>
      <c r="AQ572" s="146"/>
      <c r="AR572" s="211"/>
      <c r="AS572" s="211"/>
      <c r="AT572" s="211"/>
      <c r="AU572" s="84"/>
      <c r="AV572" s="211"/>
      <c r="AW572" s="211"/>
      <c r="AX572" s="211"/>
      <c r="AY572" s="211"/>
      <c r="AZ572" s="84"/>
      <c r="BA572" s="211"/>
      <c r="BB572" s="211"/>
      <c r="BC572" s="211"/>
      <c r="BD572" s="211"/>
      <c r="BE572" s="84"/>
      <c r="BF572" s="211"/>
      <c r="BG572" s="451"/>
    </row>
    <row r="573" spans="1:59" ht="12.75">
      <c r="A573" s="211"/>
      <c r="B573" s="449"/>
      <c r="C573" s="450"/>
      <c r="D573" s="211"/>
      <c r="E573" s="211"/>
      <c r="F573" s="211"/>
      <c r="G573" s="84"/>
      <c r="H573" s="211"/>
      <c r="I573" s="211"/>
      <c r="J573" s="211"/>
      <c r="K573" s="211"/>
      <c r="L573" s="84"/>
      <c r="M573" s="211"/>
      <c r="N573" s="211"/>
      <c r="O573" s="211"/>
      <c r="P573" s="211"/>
      <c r="Q573" s="84"/>
      <c r="R573" s="211"/>
      <c r="S573" s="211"/>
      <c r="T573" s="211"/>
      <c r="U573" s="211"/>
      <c r="V573" s="84"/>
      <c r="W573" s="211"/>
      <c r="X573" s="211"/>
      <c r="Y573" s="211"/>
      <c r="Z573" s="211"/>
      <c r="AA573" s="84"/>
      <c r="AB573" s="146"/>
      <c r="AC573" s="211"/>
      <c r="AD573" s="211"/>
      <c r="AE573" s="211"/>
      <c r="AF573" s="84"/>
      <c r="AG573" s="146"/>
      <c r="AH573" s="211"/>
      <c r="AI573" s="211"/>
      <c r="AJ573" s="211"/>
      <c r="AK573" s="84"/>
      <c r="AL573" s="146"/>
      <c r="AM573" s="211"/>
      <c r="AN573" s="211"/>
      <c r="AO573" s="211"/>
      <c r="AP573" s="436"/>
      <c r="AQ573" s="146"/>
      <c r="AR573" s="211"/>
      <c r="AS573" s="211"/>
      <c r="AT573" s="211"/>
      <c r="AU573" s="84"/>
      <c r="AV573" s="211"/>
      <c r="AW573" s="211"/>
      <c r="AX573" s="211"/>
      <c r="AY573" s="211"/>
      <c r="AZ573" s="84"/>
      <c r="BA573" s="211"/>
      <c r="BB573" s="211"/>
      <c r="BC573" s="211"/>
      <c r="BD573" s="211"/>
      <c r="BE573" s="84"/>
      <c r="BF573" s="211"/>
      <c r="BG573" s="451"/>
    </row>
    <row r="574" spans="1:59" ht="12.75">
      <c r="A574" s="211"/>
      <c r="B574" s="449"/>
      <c r="C574" s="450"/>
      <c r="D574" s="211"/>
      <c r="E574" s="211"/>
      <c r="F574" s="211"/>
      <c r="G574" s="84"/>
      <c r="H574" s="211"/>
      <c r="I574" s="211"/>
      <c r="J574" s="211"/>
      <c r="K574" s="211"/>
      <c r="L574" s="84"/>
      <c r="M574" s="211"/>
      <c r="N574" s="211"/>
      <c r="O574" s="211"/>
      <c r="P574" s="211"/>
      <c r="Q574" s="84"/>
      <c r="R574" s="211"/>
      <c r="S574" s="211"/>
      <c r="T574" s="211"/>
      <c r="U574" s="211"/>
      <c r="V574" s="84"/>
      <c r="W574" s="211"/>
      <c r="X574" s="211"/>
      <c r="Y574" s="211"/>
      <c r="Z574" s="211"/>
      <c r="AA574" s="84"/>
      <c r="AB574" s="146"/>
      <c r="AC574" s="211"/>
      <c r="AD574" s="211"/>
      <c r="AE574" s="211"/>
      <c r="AF574" s="84"/>
      <c r="AG574" s="146"/>
      <c r="AH574" s="211"/>
      <c r="AI574" s="211"/>
      <c r="AJ574" s="211"/>
      <c r="AK574" s="84"/>
      <c r="AL574" s="146"/>
      <c r="AM574" s="211"/>
      <c r="AN574" s="211"/>
      <c r="AO574" s="211"/>
      <c r="AP574" s="436"/>
      <c r="AQ574" s="146"/>
      <c r="AR574" s="211"/>
      <c r="AS574" s="211"/>
      <c r="AT574" s="211"/>
      <c r="AU574" s="84"/>
      <c r="AV574" s="211"/>
      <c r="AW574" s="211"/>
      <c r="AX574" s="211"/>
      <c r="AY574" s="211"/>
      <c r="AZ574" s="84"/>
      <c r="BA574" s="211"/>
      <c r="BB574" s="211"/>
      <c r="BC574" s="211"/>
      <c r="BD574" s="211"/>
      <c r="BE574" s="84"/>
      <c r="BF574" s="211"/>
      <c r="BG574" s="451"/>
    </row>
    <row r="575" spans="1:59" ht="12.75">
      <c r="A575" s="211"/>
      <c r="B575" s="449"/>
      <c r="C575" s="450"/>
      <c r="D575" s="211"/>
      <c r="E575" s="211"/>
      <c r="F575" s="211"/>
      <c r="G575" s="84"/>
      <c r="H575" s="211"/>
      <c r="I575" s="211"/>
      <c r="J575" s="211"/>
      <c r="K575" s="211"/>
      <c r="L575" s="84"/>
      <c r="M575" s="211"/>
      <c r="N575" s="211"/>
      <c r="O575" s="211"/>
      <c r="P575" s="211"/>
      <c r="Q575" s="84"/>
      <c r="R575" s="211"/>
      <c r="S575" s="211"/>
      <c r="T575" s="211"/>
      <c r="U575" s="211"/>
      <c r="V575" s="84"/>
      <c r="W575" s="211"/>
      <c r="X575" s="211"/>
      <c r="Y575" s="211"/>
      <c r="Z575" s="211"/>
      <c r="AA575" s="84"/>
      <c r="AB575" s="146"/>
      <c r="AC575" s="211"/>
      <c r="AD575" s="211"/>
      <c r="AE575" s="211"/>
      <c r="AF575" s="84"/>
      <c r="AG575" s="146"/>
      <c r="AH575" s="211"/>
      <c r="AI575" s="211"/>
      <c r="AJ575" s="211"/>
      <c r="AK575" s="84"/>
      <c r="AL575" s="146"/>
      <c r="AM575" s="211"/>
      <c r="AN575" s="211"/>
      <c r="AO575" s="211"/>
      <c r="AP575" s="436"/>
      <c r="AQ575" s="146"/>
      <c r="AR575" s="211"/>
      <c r="AS575" s="211"/>
      <c r="AT575" s="211"/>
      <c r="AU575" s="84"/>
      <c r="AV575" s="211"/>
      <c r="AW575" s="211"/>
      <c r="AX575" s="211"/>
      <c r="AY575" s="211"/>
      <c r="AZ575" s="84"/>
      <c r="BA575" s="211"/>
      <c r="BB575" s="211"/>
      <c r="BC575" s="211"/>
      <c r="BD575" s="211"/>
      <c r="BE575" s="84"/>
      <c r="BF575" s="211"/>
      <c r="BG575" s="451"/>
    </row>
    <row r="576" spans="1:59" ht="12.75">
      <c r="A576" s="211"/>
      <c r="B576" s="449"/>
      <c r="C576" s="450"/>
      <c r="D576" s="211"/>
      <c r="E576" s="211"/>
      <c r="F576" s="211"/>
      <c r="G576" s="84"/>
      <c r="H576" s="211"/>
      <c r="I576" s="211"/>
      <c r="J576" s="211"/>
      <c r="K576" s="211"/>
      <c r="L576" s="84"/>
      <c r="M576" s="211"/>
      <c r="N576" s="211"/>
      <c r="O576" s="211"/>
      <c r="P576" s="211"/>
      <c r="Q576" s="84"/>
      <c r="R576" s="211"/>
      <c r="S576" s="211"/>
      <c r="T576" s="211"/>
      <c r="U576" s="211"/>
      <c r="V576" s="84"/>
      <c r="W576" s="211"/>
      <c r="X576" s="211"/>
      <c r="Y576" s="211"/>
      <c r="Z576" s="211"/>
      <c r="AA576" s="84"/>
      <c r="AB576" s="146"/>
      <c r="AC576" s="211"/>
      <c r="AD576" s="211"/>
      <c r="AE576" s="211"/>
      <c r="AF576" s="84"/>
      <c r="AG576" s="146"/>
      <c r="AH576" s="211"/>
      <c r="AI576" s="211"/>
      <c r="AJ576" s="211"/>
      <c r="AK576" s="84"/>
      <c r="AL576" s="146"/>
      <c r="AM576" s="211"/>
      <c r="AN576" s="211"/>
      <c r="AO576" s="211"/>
      <c r="AP576" s="436"/>
      <c r="AQ576" s="146"/>
      <c r="AR576" s="211"/>
      <c r="AS576" s="211"/>
      <c r="AT576" s="211"/>
      <c r="AU576" s="84"/>
      <c r="AV576" s="211"/>
      <c r="AW576" s="211"/>
      <c r="AX576" s="211"/>
      <c r="AY576" s="211"/>
      <c r="AZ576" s="84"/>
      <c r="BA576" s="211"/>
      <c r="BB576" s="211"/>
      <c r="BC576" s="211"/>
      <c r="BD576" s="211"/>
      <c r="BE576" s="84"/>
      <c r="BF576" s="211"/>
      <c r="BG576" s="451"/>
    </row>
    <row r="577" spans="1:59" ht="12.75">
      <c r="A577" s="211"/>
      <c r="B577" s="449"/>
      <c r="C577" s="450"/>
      <c r="D577" s="211"/>
      <c r="E577" s="211"/>
      <c r="F577" s="211"/>
      <c r="G577" s="84"/>
      <c r="H577" s="211"/>
      <c r="I577" s="211"/>
      <c r="J577" s="211"/>
      <c r="K577" s="211"/>
      <c r="L577" s="84"/>
      <c r="M577" s="211"/>
      <c r="N577" s="211"/>
      <c r="O577" s="211"/>
      <c r="P577" s="211"/>
      <c r="Q577" s="84"/>
      <c r="R577" s="211"/>
      <c r="S577" s="211"/>
      <c r="T577" s="211"/>
      <c r="U577" s="211"/>
      <c r="V577" s="84"/>
      <c r="W577" s="211"/>
      <c r="X577" s="211"/>
      <c r="Y577" s="211"/>
      <c r="Z577" s="211"/>
      <c r="AA577" s="84"/>
      <c r="AB577" s="146"/>
      <c r="AC577" s="211"/>
      <c r="AD577" s="211"/>
      <c r="AE577" s="211"/>
      <c r="AF577" s="84"/>
      <c r="AG577" s="146"/>
      <c r="AH577" s="211"/>
      <c r="AI577" s="211"/>
      <c r="AJ577" s="211"/>
      <c r="AK577" s="84"/>
      <c r="AL577" s="146"/>
      <c r="AM577" s="211"/>
      <c r="AN577" s="211"/>
      <c r="AO577" s="211"/>
      <c r="AP577" s="436"/>
      <c r="AQ577" s="146"/>
      <c r="AR577" s="211"/>
      <c r="AS577" s="211"/>
      <c r="AT577" s="211"/>
      <c r="AU577" s="84"/>
      <c r="AV577" s="211"/>
      <c r="AW577" s="211"/>
      <c r="AX577" s="211"/>
      <c r="AY577" s="211"/>
      <c r="AZ577" s="84"/>
      <c r="BA577" s="211"/>
      <c r="BB577" s="211"/>
      <c r="BC577" s="211"/>
      <c r="BD577" s="211"/>
      <c r="BE577" s="84"/>
      <c r="BF577" s="211"/>
      <c r="BG577" s="451"/>
    </row>
    <row r="578" spans="1:59" ht="12.75">
      <c r="A578" s="211"/>
      <c r="B578" s="449"/>
      <c r="C578" s="450"/>
      <c r="D578" s="211"/>
      <c r="E578" s="211"/>
      <c r="F578" s="211"/>
      <c r="G578" s="84"/>
      <c r="H578" s="211"/>
      <c r="I578" s="211"/>
      <c r="J578" s="211"/>
      <c r="K578" s="211"/>
      <c r="L578" s="84"/>
      <c r="M578" s="211"/>
      <c r="N578" s="211"/>
      <c r="O578" s="211"/>
      <c r="P578" s="211"/>
      <c r="Q578" s="84"/>
      <c r="R578" s="211"/>
      <c r="S578" s="211"/>
      <c r="T578" s="211"/>
      <c r="U578" s="211"/>
      <c r="V578" s="84"/>
      <c r="W578" s="211"/>
      <c r="X578" s="211"/>
      <c r="Y578" s="211"/>
      <c r="Z578" s="211"/>
      <c r="AA578" s="84"/>
      <c r="AB578" s="146"/>
      <c r="AC578" s="211"/>
      <c r="AD578" s="211"/>
      <c r="AE578" s="211"/>
      <c r="AF578" s="84"/>
      <c r="AG578" s="146"/>
      <c r="AH578" s="211"/>
      <c r="AI578" s="211"/>
      <c r="AJ578" s="211"/>
      <c r="AK578" s="84"/>
      <c r="AL578" s="146"/>
      <c r="AM578" s="211"/>
      <c r="AN578" s="211"/>
      <c r="AO578" s="211"/>
      <c r="AP578" s="436"/>
      <c r="AQ578" s="146"/>
      <c r="AR578" s="211"/>
      <c r="AS578" s="211"/>
      <c r="AT578" s="211"/>
      <c r="AU578" s="84"/>
      <c r="AV578" s="211"/>
      <c r="AW578" s="211"/>
      <c r="AX578" s="211"/>
      <c r="AY578" s="211"/>
      <c r="AZ578" s="84"/>
      <c r="BA578" s="211"/>
      <c r="BB578" s="211"/>
      <c r="BC578" s="211"/>
      <c r="BD578" s="211"/>
      <c r="BE578" s="84"/>
      <c r="BF578" s="211"/>
      <c r="BG578" s="451"/>
    </row>
    <row r="579" spans="1:59" ht="12.75">
      <c r="A579" s="211"/>
      <c r="B579" s="449"/>
      <c r="C579" s="450"/>
      <c r="D579" s="211"/>
      <c r="E579" s="211"/>
      <c r="F579" s="211"/>
      <c r="G579" s="84"/>
      <c r="H579" s="211"/>
      <c r="I579" s="211"/>
      <c r="J579" s="211"/>
      <c r="K579" s="211"/>
      <c r="L579" s="84"/>
      <c r="M579" s="211"/>
      <c r="N579" s="211"/>
      <c r="O579" s="211"/>
      <c r="P579" s="211"/>
      <c r="Q579" s="84"/>
      <c r="R579" s="211"/>
      <c r="S579" s="211"/>
      <c r="T579" s="211"/>
      <c r="U579" s="211"/>
      <c r="V579" s="84"/>
      <c r="W579" s="211"/>
      <c r="X579" s="211"/>
      <c r="Y579" s="211"/>
      <c r="Z579" s="211"/>
      <c r="AA579" s="84"/>
      <c r="AB579" s="146"/>
      <c r="AC579" s="211"/>
      <c r="AD579" s="211"/>
      <c r="AE579" s="211"/>
      <c r="AF579" s="84"/>
      <c r="AG579" s="146"/>
      <c r="AH579" s="211"/>
      <c r="AI579" s="211"/>
      <c r="AJ579" s="211"/>
      <c r="AK579" s="84"/>
      <c r="AL579" s="146"/>
      <c r="AM579" s="211"/>
      <c r="AN579" s="211"/>
      <c r="AO579" s="211"/>
      <c r="AP579" s="436"/>
      <c r="AQ579" s="146"/>
      <c r="AR579" s="211"/>
      <c r="AS579" s="211"/>
      <c r="AT579" s="211"/>
      <c r="AU579" s="84"/>
      <c r="AV579" s="211"/>
      <c r="AW579" s="211"/>
      <c r="AX579" s="211"/>
      <c r="AY579" s="211"/>
      <c r="AZ579" s="84"/>
      <c r="BA579" s="211"/>
      <c r="BB579" s="211"/>
      <c r="BC579" s="211"/>
      <c r="BD579" s="211"/>
      <c r="BE579" s="84"/>
      <c r="BF579" s="211"/>
      <c r="BG579" s="451"/>
    </row>
    <row r="580" spans="1:59" ht="12.75">
      <c r="A580" s="211"/>
      <c r="B580" s="449"/>
      <c r="C580" s="450"/>
      <c r="D580" s="211"/>
      <c r="E580" s="211"/>
      <c r="F580" s="211"/>
      <c r="G580" s="84"/>
      <c r="H580" s="211"/>
      <c r="I580" s="211"/>
      <c r="J580" s="211"/>
      <c r="K580" s="211"/>
      <c r="L580" s="84"/>
      <c r="M580" s="211"/>
      <c r="N580" s="211"/>
      <c r="O580" s="211"/>
      <c r="P580" s="211"/>
      <c r="Q580" s="84"/>
      <c r="R580" s="211"/>
      <c r="S580" s="211"/>
      <c r="T580" s="211"/>
      <c r="U580" s="211"/>
      <c r="V580" s="84"/>
      <c r="W580" s="211"/>
      <c r="X580" s="211"/>
      <c r="Y580" s="211"/>
      <c r="Z580" s="211"/>
      <c r="AA580" s="84"/>
      <c r="AB580" s="146"/>
      <c r="AC580" s="211"/>
      <c r="AD580" s="211"/>
      <c r="AE580" s="211"/>
      <c r="AF580" s="84"/>
      <c r="AG580" s="146"/>
      <c r="AH580" s="211"/>
      <c r="AI580" s="211"/>
      <c r="AJ580" s="211"/>
      <c r="AK580" s="84"/>
      <c r="AL580" s="146"/>
      <c r="AM580" s="211"/>
      <c r="AN580" s="211"/>
      <c r="AO580" s="211"/>
      <c r="AP580" s="436"/>
      <c r="AQ580" s="146"/>
      <c r="AR580" s="211"/>
      <c r="AS580" s="211"/>
      <c r="AT580" s="211"/>
      <c r="AU580" s="84"/>
      <c r="AV580" s="211"/>
      <c r="AW580" s="211"/>
      <c r="AX580" s="211"/>
      <c r="AY580" s="211"/>
      <c r="AZ580" s="84"/>
      <c r="BA580" s="211"/>
      <c r="BB580" s="211"/>
      <c r="BC580" s="211"/>
      <c r="BD580" s="211"/>
      <c r="BE580" s="84"/>
      <c r="BF580" s="211"/>
      <c r="BG580" s="451"/>
    </row>
    <row r="581" spans="1:59" ht="12.75">
      <c r="A581" s="211"/>
      <c r="B581" s="449"/>
      <c r="C581" s="450"/>
      <c r="D581" s="211"/>
      <c r="E581" s="211"/>
      <c r="F581" s="211"/>
      <c r="G581" s="84"/>
      <c r="H581" s="211"/>
      <c r="I581" s="211"/>
      <c r="J581" s="211"/>
      <c r="K581" s="211"/>
      <c r="L581" s="84"/>
      <c r="M581" s="211"/>
      <c r="N581" s="211"/>
      <c r="O581" s="211"/>
      <c r="P581" s="211"/>
      <c r="Q581" s="84"/>
      <c r="R581" s="211"/>
      <c r="S581" s="211"/>
      <c r="T581" s="211"/>
      <c r="U581" s="211"/>
      <c r="V581" s="84"/>
      <c r="W581" s="211"/>
      <c r="X581" s="211"/>
      <c r="Y581" s="211"/>
      <c r="Z581" s="211"/>
      <c r="AA581" s="84"/>
      <c r="AB581" s="146"/>
      <c r="AC581" s="211"/>
      <c r="AD581" s="211"/>
      <c r="AE581" s="211"/>
      <c r="AF581" s="84"/>
      <c r="AG581" s="146"/>
      <c r="AH581" s="211"/>
      <c r="AI581" s="211"/>
      <c r="AJ581" s="211"/>
      <c r="AK581" s="84"/>
      <c r="AL581" s="146"/>
      <c r="AM581" s="211"/>
      <c r="AN581" s="211"/>
      <c r="AO581" s="211"/>
      <c r="AP581" s="436"/>
      <c r="AQ581" s="146"/>
      <c r="AR581" s="211"/>
      <c r="AS581" s="211"/>
      <c r="AT581" s="211"/>
      <c r="AU581" s="84"/>
      <c r="AV581" s="211"/>
      <c r="AW581" s="211"/>
      <c r="AX581" s="211"/>
      <c r="AY581" s="211"/>
      <c r="AZ581" s="84"/>
      <c r="BA581" s="211"/>
      <c r="BB581" s="211"/>
      <c r="BC581" s="211"/>
      <c r="BD581" s="211"/>
      <c r="BE581" s="84"/>
      <c r="BF581" s="211"/>
      <c r="BG581" s="451"/>
    </row>
    <row r="582" spans="1:59" ht="12.75">
      <c r="A582" s="211"/>
      <c r="B582" s="449"/>
      <c r="C582" s="450"/>
      <c r="D582" s="211"/>
      <c r="E582" s="211"/>
      <c r="F582" s="211"/>
      <c r="G582" s="84"/>
      <c r="H582" s="211"/>
      <c r="I582" s="211"/>
      <c r="J582" s="211"/>
      <c r="K582" s="211"/>
      <c r="L582" s="84"/>
      <c r="M582" s="211"/>
      <c r="N582" s="211"/>
      <c r="O582" s="211"/>
      <c r="P582" s="211"/>
      <c r="Q582" s="84"/>
      <c r="R582" s="211"/>
      <c r="S582" s="211"/>
      <c r="T582" s="211"/>
      <c r="U582" s="211"/>
      <c r="V582" s="84"/>
      <c r="W582" s="211"/>
      <c r="X582" s="211"/>
      <c r="Y582" s="211"/>
      <c r="Z582" s="211"/>
      <c r="AA582" s="84"/>
      <c r="AB582" s="146"/>
      <c r="AC582" s="211"/>
      <c r="AD582" s="211"/>
      <c r="AE582" s="211"/>
      <c r="AF582" s="84"/>
      <c r="AG582" s="146"/>
      <c r="AH582" s="211"/>
      <c r="AI582" s="211"/>
      <c r="AJ582" s="211"/>
      <c r="AK582" s="84"/>
      <c r="AL582" s="146"/>
      <c r="AM582" s="211"/>
      <c r="AN582" s="211"/>
      <c r="AO582" s="211"/>
      <c r="AP582" s="436"/>
      <c r="AQ582" s="146"/>
      <c r="AR582" s="211"/>
      <c r="AS582" s="211"/>
      <c r="AT582" s="211"/>
      <c r="AU582" s="84"/>
      <c r="AV582" s="211"/>
      <c r="AW582" s="211"/>
      <c r="AX582" s="211"/>
      <c r="AY582" s="211"/>
      <c r="AZ582" s="84"/>
      <c r="BA582" s="211"/>
      <c r="BB582" s="211"/>
      <c r="BC582" s="211"/>
      <c r="BD582" s="211"/>
      <c r="BE582" s="84"/>
      <c r="BF582" s="211"/>
      <c r="BG582" s="451"/>
    </row>
    <row r="583" spans="1:59" ht="12.75">
      <c r="A583" s="211"/>
      <c r="B583" s="449"/>
      <c r="C583" s="450"/>
      <c r="D583" s="211"/>
      <c r="E583" s="211"/>
      <c r="F583" s="211"/>
      <c r="G583" s="84"/>
      <c r="H583" s="211"/>
      <c r="I583" s="211"/>
      <c r="J583" s="211"/>
      <c r="K583" s="211"/>
      <c r="L583" s="84"/>
      <c r="M583" s="211"/>
      <c r="N583" s="211"/>
      <c r="O583" s="211"/>
      <c r="P583" s="211"/>
      <c r="Q583" s="84"/>
      <c r="R583" s="211"/>
      <c r="S583" s="211"/>
      <c r="T583" s="211"/>
      <c r="U583" s="211"/>
      <c r="V583" s="84"/>
      <c r="W583" s="211"/>
      <c r="X583" s="211"/>
      <c r="Y583" s="211"/>
      <c r="Z583" s="211"/>
      <c r="AA583" s="84"/>
      <c r="AB583" s="146"/>
      <c r="AC583" s="211"/>
      <c r="AD583" s="211"/>
      <c r="AE583" s="211"/>
      <c r="AF583" s="84"/>
      <c r="AG583" s="146"/>
      <c r="AH583" s="211"/>
      <c r="AI583" s="211"/>
      <c r="AJ583" s="211"/>
      <c r="AK583" s="84"/>
      <c r="AL583" s="146"/>
      <c r="AM583" s="211"/>
      <c r="AN583" s="211"/>
      <c r="AO583" s="211"/>
      <c r="AP583" s="436"/>
      <c r="AQ583" s="146"/>
      <c r="AR583" s="211"/>
      <c r="AS583" s="211"/>
      <c r="AT583" s="211"/>
      <c r="AU583" s="84"/>
      <c r="AV583" s="211"/>
      <c r="AW583" s="211"/>
      <c r="AX583" s="211"/>
      <c r="AY583" s="211"/>
      <c r="AZ583" s="84"/>
      <c r="BA583" s="211"/>
      <c r="BB583" s="211"/>
      <c r="BC583" s="211"/>
      <c r="BD583" s="211"/>
      <c r="BE583" s="84"/>
      <c r="BF583" s="211"/>
      <c r="BG583" s="451"/>
    </row>
    <row r="584" spans="1:59" ht="12.75">
      <c r="A584" s="211"/>
      <c r="B584" s="449"/>
      <c r="C584" s="450"/>
      <c r="D584" s="211"/>
      <c r="E584" s="211"/>
      <c r="F584" s="211"/>
      <c r="G584" s="84"/>
      <c r="H584" s="211"/>
      <c r="I584" s="211"/>
      <c r="J584" s="211"/>
      <c r="K584" s="211"/>
      <c r="L584" s="84"/>
      <c r="M584" s="211"/>
      <c r="N584" s="211"/>
      <c r="O584" s="211"/>
      <c r="P584" s="211"/>
      <c r="Q584" s="84"/>
      <c r="R584" s="211"/>
      <c r="S584" s="211"/>
      <c r="T584" s="211"/>
      <c r="U584" s="211"/>
      <c r="V584" s="84"/>
      <c r="W584" s="211"/>
      <c r="X584" s="211"/>
      <c r="Y584" s="211"/>
      <c r="Z584" s="211"/>
      <c r="AA584" s="84"/>
      <c r="AB584" s="146"/>
      <c r="AC584" s="211"/>
      <c r="AD584" s="211"/>
      <c r="AE584" s="211"/>
      <c r="AF584" s="84"/>
      <c r="AG584" s="146"/>
      <c r="AH584" s="211"/>
      <c r="AI584" s="211"/>
      <c r="AJ584" s="211"/>
      <c r="AK584" s="84"/>
      <c r="AL584" s="146"/>
      <c r="AM584" s="211"/>
      <c r="AN584" s="211"/>
      <c r="AO584" s="211"/>
      <c r="AP584" s="436"/>
      <c r="AQ584" s="146"/>
      <c r="AR584" s="211"/>
      <c r="AS584" s="211"/>
      <c r="AT584" s="211"/>
      <c r="AU584" s="84"/>
      <c r="AV584" s="211"/>
      <c r="AW584" s="211"/>
      <c r="AX584" s="211"/>
      <c r="AY584" s="211"/>
      <c r="AZ584" s="84"/>
      <c r="BA584" s="211"/>
      <c r="BB584" s="211"/>
      <c r="BC584" s="211"/>
      <c r="BD584" s="211"/>
      <c r="BE584" s="84"/>
      <c r="BF584" s="211"/>
      <c r="BG584" s="451"/>
    </row>
    <row r="585" spans="1:59" ht="12.75">
      <c r="A585" s="211"/>
      <c r="B585" s="449"/>
      <c r="C585" s="450"/>
      <c r="D585" s="211"/>
      <c r="E585" s="211"/>
      <c r="F585" s="211"/>
      <c r="G585" s="84"/>
      <c r="H585" s="211"/>
      <c r="I585" s="211"/>
      <c r="J585" s="211"/>
      <c r="K585" s="211"/>
      <c r="L585" s="84"/>
      <c r="M585" s="211"/>
      <c r="N585" s="211"/>
      <c r="O585" s="211"/>
      <c r="P585" s="211"/>
      <c r="Q585" s="84"/>
      <c r="R585" s="211"/>
      <c r="S585" s="211"/>
      <c r="T585" s="211"/>
      <c r="U585" s="211"/>
      <c r="V585" s="84"/>
      <c r="W585" s="211"/>
      <c r="X585" s="211"/>
      <c r="Y585" s="211"/>
      <c r="Z585" s="211"/>
      <c r="AA585" s="84"/>
      <c r="AB585" s="146"/>
      <c r="AC585" s="211"/>
      <c r="AD585" s="211"/>
      <c r="AE585" s="211"/>
      <c r="AF585" s="84"/>
      <c r="AG585" s="146"/>
      <c r="AH585" s="211"/>
      <c r="AI585" s="211"/>
      <c r="AJ585" s="211"/>
      <c r="AK585" s="84"/>
      <c r="AL585" s="146"/>
      <c r="AM585" s="211"/>
      <c r="AN585" s="211"/>
      <c r="AO585" s="211"/>
      <c r="AP585" s="436"/>
      <c r="AQ585" s="146"/>
      <c r="AR585" s="211"/>
      <c r="AS585" s="211"/>
      <c r="AT585" s="211"/>
      <c r="AU585" s="84"/>
      <c r="AV585" s="211"/>
      <c r="AW585" s="211"/>
      <c r="AX585" s="211"/>
      <c r="AY585" s="211"/>
      <c r="AZ585" s="84"/>
      <c r="BA585" s="211"/>
      <c r="BB585" s="211"/>
      <c r="BC585" s="211"/>
      <c r="BD585" s="211"/>
      <c r="BE585" s="84"/>
      <c r="BF585" s="211"/>
      <c r="BG585" s="451"/>
    </row>
    <row r="586" spans="1:59" ht="12.75">
      <c r="A586" s="211"/>
      <c r="B586" s="449"/>
      <c r="C586" s="450"/>
      <c r="D586" s="211"/>
      <c r="E586" s="211"/>
      <c r="F586" s="211"/>
      <c r="G586" s="84"/>
      <c r="H586" s="211"/>
      <c r="I586" s="211"/>
      <c r="J586" s="211"/>
      <c r="K586" s="211"/>
      <c r="L586" s="84"/>
      <c r="M586" s="211"/>
      <c r="N586" s="211"/>
      <c r="O586" s="211"/>
      <c r="P586" s="211"/>
      <c r="Q586" s="84"/>
      <c r="R586" s="211"/>
      <c r="S586" s="211"/>
      <c r="T586" s="211"/>
      <c r="U586" s="211"/>
      <c r="V586" s="84"/>
      <c r="W586" s="211"/>
      <c r="X586" s="211"/>
      <c r="Y586" s="211"/>
      <c r="Z586" s="211"/>
      <c r="AA586" s="84"/>
      <c r="AB586" s="146"/>
      <c r="AC586" s="211"/>
      <c r="AD586" s="211"/>
      <c r="AE586" s="211"/>
      <c r="AF586" s="84"/>
      <c r="AG586" s="146"/>
      <c r="AH586" s="211"/>
      <c r="AI586" s="211"/>
      <c r="AJ586" s="211"/>
      <c r="AK586" s="84"/>
      <c r="AL586" s="146"/>
      <c r="AM586" s="211"/>
      <c r="AN586" s="211"/>
      <c r="AO586" s="211"/>
      <c r="AP586" s="436"/>
      <c r="AQ586" s="146"/>
      <c r="AR586" s="211"/>
      <c r="AS586" s="211"/>
      <c r="AT586" s="211"/>
      <c r="AU586" s="84"/>
      <c r="AV586" s="211"/>
      <c r="AW586" s="211"/>
      <c r="AX586" s="211"/>
      <c r="AY586" s="211"/>
      <c r="AZ586" s="84"/>
      <c r="BA586" s="211"/>
      <c r="BB586" s="211"/>
      <c r="BC586" s="211"/>
      <c r="BD586" s="211"/>
      <c r="BE586" s="84"/>
      <c r="BF586" s="211"/>
      <c r="BG586" s="451"/>
    </row>
    <row r="587" spans="1:59" ht="12.75">
      <c r="A587" s="211"/>
      <c r="B587" s="449"/>
      <c r="C587" s="450"/>
      <c r="D587" s="211"/>
      <c r="E587" s="211"/>
      <c r="F587" s="211"/>
      <c r="G587" s="84"/>
      <c r="H587" s="211"/>
      <c r="I587" s="211"/>
      <c r="J587" s="211"/>
      <c r="K587" s="211"/>
      <c r="L587" s="84"/>
      <c r="M587" s="211"/>
      <c r="N587" s="211"/>
      <c r="O587" s="211"/>
      <c r="P587" s="211"/>
      <c r="Q587" s="84"/>
      <c r="R587" s="211"/>
      <c r="S587" s="211"/>
      <c r="T587" s="211"/>
      <c r="U587" s="211"/>
      <c r="V587" s="84"/>
      <c r="W587" s="211"/>
      <c r="X587" s="211"/>
      <c r="Y587" s="211"/>
      <c r="Z587" s="211"/>
      <c r="AA587" s="84"/>
      <c r="AB587" s="146"/>
      <c r="AC587" s="211"/>
      <c r="AD587" s="211"/>
      <c r="AE587" s="211"/>
      <c r="AF587" s="84"/>
      <c r="AG587" s="146"/>
      <c r="AH587" s="211"/>
      <c r="AI587" s="211"/>
      <c r="AJ587" s="211"/>
      <c r="AK587" s="84"/>
      <c r="AL587" s="146"/>
      <c r="AM587" s="211"/>
      <c r="AN587" s="211"/>
      <c r="AO587" s="211"/>
      <c r="AP587" s="436"/>
      <c r="AQ587" s="146"/>
      <c r="AR587" s="211"/>
      <c r="AS587" s="211"/>
      <c r="AT587" s="211"/>
      <c r="AU587" s="84"/>
      <c r="AV587" s="211"/>
      <c r="AW587" s="211"/>
      <c r="AX587" s="211"/>
      <c r="AY587" s="211"/>
      <c r="AZ587" s="84"/>
      <c r="BA587" s="211"/>
      <c r="BB587" s="211"/>
      <c r="BC587" s="211"/>
      <c r="BD587" s="211"/>
      <c r="BE587" s="84"/>
      <c r="BF587" s="211"/>
      <c r="BG587" s="451"/>
    </row>
    <row r="588" spans="1:59" ht="12.75">
      <c r="A588" s="211"/>
      <c r="B588" s="449"/>
      <c r="C588" s="450"/>
      <c r="D588" s="211"/>
      <c r="E588" s="211"/>
      <c r="F588" s="211"/>
      <c r="G588" s="84"/>
      <c r="H588" s="211"/>
      <c r="I588" s="211"/>
      <c r="J588" s="211"/>
      <c r="K588" s="211"/>
      <c r="L588" s="84"/>
      <c r="M588" s="211"/>
      <c r="N588" s="211"/>
      <c r="O588" s="211"/>
      <c r="P588" s="211"/>
      <c r="Q588" s="84"/>
      <c r="R588" s="211"/>
      <c r="S588" s="211"/>
      <c r="T588" s="211"/>
      <c r="U588" s="211"/>
      <c r="V588" s="84"/>
      <c r="W588" s="211"/>
      <c r="X588" s="211"/>
      <c r="Y588" s="211"/>
      <c r="Z588" s="211"/>
      <c r="AA588" s="84"/>
      <c r="AB588" s="146"/>
      <c r="AC588" s="211"/>
      <c r="AD588" s="211"/>
      <c r="AE588" s="211"/>
      <c r="AF588" s="84"/>
      <c r="AG588" s="146"/>
      <c r="AH588" s="211"/>
      <c r="AI588" s="211"/>
      <c r="AJ588" s="211"/>
      <c r="AK588" s="84"/>
      <c r="AL588" s="146"/>
      <c r="AM588" s="211"/>
      <c r="AN588" s="211"/>
      <c r="AO588" s="211"/>
      <c r="AP588" s="436"/>
      <c r="AQ588" s="146"/>
      <c r="AR588" s="211"/>
      <c r="AS588" s="211"/>
      <c r="AT588" s="211"/>
      <c r="AU588" s="84"/>
      <c r="AV588" s="211"/>
      <c r="AW588" s="211"/>
      <c r="AX588" s="211"/>
      <c r="AY588" s="211"/>
      <c r="AZ588" s="84"/>
      <c r="BA588" s="211"/>
      <c r="BB588" s="211"/>
      <c r="BC588" s="211"/>
      <c r="BD588" s="211"/>
      <c r="BE588" s="84"/>
      <c r="BF588" s="211"/>
      <c r="BG588" s="451"/>
    </row>
    <row r="589" spans="1:59" ht="12.75">
      <c r="A589" s="211"/>
      <c r="B589" s="449"/>
      <c r="C589" s="450"/>
      <c r="D589" s="211"/>
      <c r="E589" s="211"/>
      <c r="F589" s="211"/>
      <c r="G589" s="84"/>
      <c r="H589" s="211"/>
      <c r="I589" s="211"/>
      <c r="J589" s="211"/>
      <c r="K589" s="211"/>
      <c r="L589" s="84"/>
      <c r="M589" s="211"/>
      <c r="N589" s="211"/>
      <c r="O589" s="211"/>
      <c r="P589" s="211"/>
      <c r="Q589" s="84"/>
      <c r="R589" s="211"/>
      <c r="S589" s="211"/>
      <c r="T589" s="211"/>
      <c r="U589" s="211"/>
      <c r="V589" s="84"/>
      <c r="W589" s="211"/>
      <c r="X589" s="211"/>
      <c r="Y589" s="211"/>
      <c r="Z589" s="211"/>
      <c r="AA589" s="84"/>
      <c r="AB589" s="146"/>
      <c r="AC589" s="211"/>
      <c r="AD589" s="211"/>
      <c r="AE589" s="211"/>
      <c r="AF589" s="84"/>
      <c r="AG589" s="146"/>
      <c r="AH589" s="211"/>
      <c r="AI589" s="211"/>
      <c r="AJ589" s="211"/>
      <c r="AK589" s="84"/>
      <c r="AL589" s="146"/>
      <c r="AM589" s="211"/>
      <c r="AN589" s="211"/>
      <c r="AO589" s="211"/>
      <c r="AP589" s="436"/>
      <c r="AQ589" s="146"/>
      <c r="AR589" s="211"/>
      <c r="AS589" s="211"/>
      <c r="AT589" s="211"/>
      <c r="AU589" s="84"/>
      <c r="AV589" s="211"/>
      <c r="AW589" s="211"/>
      <c r="AX589" s="211"/>
      <c r="AY589" s="211"/>
      <c r="AZ589" s="84"/>
      <c r="BA589" s="211"/>
      <c r="BB589" s="211"/>
      <c r="BC589" s="211"/>
      <c r="BD589" s="211"/>
      <c r="BE589" s="84"/>
      <c r="BF589" s="211"/>
      <c r="BG589" s="451"/>
    </row>
    <row r="590" spans="1:59" ht="12.75">
      <c r="A590" s="211"/>
      <c r="B590" s="449"/>
      <c r="C590" s="450"/>
      <c r="D590" s="211"/>
      <c r="E590" s="211"/>
      <c r="F590" s="211"/>
      <c r="G590" s="84"/>
      <c r="H590" s="211"/>
      <c r="I590" s="211"/>
      <c r="J590" s="211"/>
      <c r="K590" s="211"/>
      <c r="L590" s="84"/>
      <c r="M590" s="211"/>
      <c r="N590" s="211"/>
      <c r="O590" s="211"/>
      <c r="P590" s="211"/>
      <c r="Q590" s="84"/>
      <c r="R590" s="211"/>
      <c r="S590" s="211"/>
      <c r="T590" s="211"/>
      <c r="U590" s="211"/>
      <c r="V590" s="84"/>
      <c r="W590" s="211"/>
      <c r="X590" s="211"/>
      <c r="Y590" s="211"/>
      <c r="Z590" s="211"/>
      <c r="AA590" s="84"/>
      <c r="AB590" s="146"/>
      <c r="AC590" s="211"/>
      <c r="AD590" s="211"/>
      <c r="AE590" s="211"/>
      <c r="AF590" s="84"/>
      <c r="AG590" s="146"/>
      <c r="AH590" s="211"/>
      <c r="AI590" s="211"/>
      <c r="AJ590" s="211"/>
      <c r="AK590" s="84"/>
      <c r="AL590" s="146"/>
      <c r="AM590" s="211"/>
      <c r="AN590" s="211"/>
      <c r="AO590" s="211"/>
      <c r="AP590" s="436"/>
      <c r="AQ590" s="146"/>
      <c r="AR590" s="211"/>
      <c r="AS590" s="211"/>
      <c r="AT590" s="211"/>
      <c r="AU590" s="84"/>
      <c r="AV590" s="211"/>
      <c r="AW590" s="211"/>
      <c r="AX590" s="211"/>
      <c r="AY590" s="211"/>
      <c r="AZ590" s="84"/>
      <c r="BA590" s="211"/>
      <c r="BB590" s="211"/>
      <c r="BC590" s="211"/>
      <c r="BD590" s="211"/>
      <c r="BE590" s="84"/>
      <c r="BF590" s="211"/>
      <c r="BG590" s="451"/>
    </row>
    <row r="591" spans="1:59" ht="12.75">
      <c r="A591" s="211"/>
      <c r="B591" s="449"/>
      <c r="C591" s="450"/>
      <c r="D591" s="211"/>
      <c r="E591" s="211"/>
      <c r="F591" s="211"/>
      <c r="G591" s="84"/>
      <c r="H591" s="211"/>
      <c r="I591" s="211"/>
      <c r="J591" s="211"/>
      <c r="K591" s="211"/>
      <c r="L591" s="84"/>
      <c r="M591" s="211"/>
      <c r="N591" s="211"/>
      <c r="O591" s="211"/>
      <c r="P591" s="211"/>
      <c r="Q591" s="84"/>
      <c r="R591" s="211"/>
      <c r="S591" s="211"/>
      <c r="T591" s="211"/>
      <c r="U591" s="211"/>
      <c r="V591" s="84"/>
      <c r="W591" s="211"/>
      <c r="X591" s="211"/>
      <c r="Y591" s="211"/>
      <c r="Z591" s="211"/>
      <c r="AA591" s="84"/>
      <c r="AB591" s="146"/>
      <c r="AC591" s="211"/>
      <c r="AD591" s="211"/>
      <c r="AE591" s="211"/>
      <c r="AF591" s="84"/>
      <c r="AG591" s="146"/>
      <c r="AH591" s="211"/>
      <c r="AI591" s="211"/>
      <c r="AJ591" s="211"/>
      <c r="AK591" s="84"/>
      <c r="AL591" s="146"/>
      <c r="AM591" s="211"/>
      <c r="AN591" s="211"/>
      <c r="AO591" s="211"/>
      <c r="AP591" s="436"/>
      <c r="AQ591" s="146"/>
      <c r="AR591" s="211"/>
      <c r="AS591" s="211"/>
      <c r="AT591" s="211"/>
      <c r="AU591" s="84"/>
      <c r="AV591" s="211"/>
      <c r="AW591" s="211"/>
      <c r="AX591" s="211"/>
      <c r="AY591" s="211"/>
      <c r="AZ591" s="84"/>
      <c r="BA591" s="211"/>
      <c r="BB591" s="211"/>
      <c r="BC591" s="211"/>
      <c r="BD591" s="211"/>
      <c r="BE591" s="84"/>
      <c r="BF591" s="211"/>
      <c r="BG591" s="451"/>
    </row>
    <row r="592" spans="1:59" ht="12.75">
      <c r="A592" s="211"/>
      <c r="B592" s="449"/>
      <c r="C592" s="450"/>
      <c r="D592" s="211"/>
      <c r="E592" s="211"/>
      <c r="F592" s="211"/>
      <c r="G592" s="84"/>
      <c r="H592" s="211"/>
      <c r="I592" s="211"/>
      <c r="J592" s="211"/>
      <c r="K592" s="211"/>
      <c r="L592" s="84"/>
      <c r="M592" s="211"/>
      <c r="N592" s="211"/>
      <c r="O592" s="211"/>
      <c r="P592" s="211"/>
      <c r="Q592" s="84"/>
      <c r="R592" s="211"/>
      <c r="S592" s="211"/>
      <c r="T592" s="211"/>
      <c r="U592" s="211"/>
      <c r="V592" s="84"/>
      <c r="W592" s="211"/>
      <c r="X592" s="211"/>
      <c r="Y592" s="211"/>
      <c r="Z592" s="211"/>
      <c r="AA592" s="84"/>
      <c r="AB592" s="146"/>
      <c r="AC592" s="211"/>
      <c r="AD592" s="211"/>
      <c r="AE592" s="211"/>
      <c r="AF592" s="84"/>
      <c r="AG592" s="146"/>
      <c r="AH592" s="211"/>
      <c r="AI592" s="211"/>
      <c r="AJ592" s="211"/>
      <c r="AK592" s="84"/>
      <c r="AL592" s="146"/>
      <c r="AM592" s="211"/>
      <c r="AN592" s="211"/>
      <c r="AO592" s="211"/>
      <c r="AP592" s="436"/>
      <c r="AQ592" s="146"/>
      <c r="AR592" s="211"/>
      <c r="AS592" s="211"/>
      <c r="AT592" s="211"/>
      <c r="AU592" s="84"/>
      <c r="AV592" s="211"/>
      <c r="AW592" s="211"/>
      <c r="AX592" s="211"/>
      <c r="AY592" s="211"/>
      <c r="AZ592" s="84"/>
      <c r="BA592" s="211"/>
      <c r="BB592" s="211"/>
      <c r="BC592" s="211"/>
      <c r="BD592" s="211"/>
      <c r="BE592" s="84"/>
      <c r="BF592" s="211"/>
      <c r="BG592" s="451"/>
    </row>
    <row r="593" spans="1:59" ht="12.75">
      <c r="A593" s="211"/>
      <c r="B593" s="449"/>
      <c r="C593" s="450"/>
      <c r="D593" s="211"/>
      <c r="E593" s="211"/>
      <c r="F593" s="211"/>
      <c r="G593" s="84"/>
      <c r="H593" s="211"/>
      <c r="I593" s="211"/>
      <c r="J593" s="211"/>
      <c r="K593" s="211"/>
      <c r="L593" s="84"/>
      <c r="M593" s="211"/>
      <c r="N593" s="211"/>
      <c r="O593" s="211"/>
      <c r="P593" s="211"/>
      <c r="Q593" s="84"/>
      <c r="R593" s="211"/>
      <c r="S593" s="211"/>
      <c r="T593" s="211"/>
      <c r="U593" s="211"/>
      <c r="V593" s="84"/>
      <c r="W593" s="211"/>
      <c r="X593" s="211"/>
      <c r="Y593" s="211"/>
      <c r="Z593" s="211"/>
      <c r="AA593" s="84"/>
      <c r="AB593" s="146"/>
      <c r="AC593" s="211"/>
      <c r="AD593" s="211"/>
      <c r="AE593" s="211"/>
      <c r="AF593" s="84"/>
      <c r="AG593" s="146"/>
      <c r="AH593" s="211"/>
      <c r="AI593" s="211"/>
      <c r="AJ593" s="211"/>
      <c r="AK593" s="84"/>
      <c r="AL593" s="146"/>
      <c r="AM593" s="211"/>
      <c r="AN593" s="211"/>
      <c r="AO593" s="211"/>
      <c r="AP593" s="436"/>
      <c r="AQ593" s="146"/>
      <c r="AR593" s="211"/>
      <c r="AS593" s="211"/>
      <c r="AT593" s="211"/>
      <c r="AU593" s="84"/>
      <c r="AV593" s="211"/>
      <c r="AW593" s="211"/>
      <c r="AX593" s="211"/>
      <c r="AY593" s="211"/>
      <c r="AZ593" s="84"/>
      <c r="BA593" s="211"/>
      <c r="BB593" s="211"/>
      <c r="BC593" s="211"/>
      <c r="BD593" s="211"/>
      <c r="BE593" s="84"/>
      <c r="BF593" s="211"/>
      <c r="BG593" s="451"/>
    </row>
    <row r="594" spans="1:59" ht="12.75">
      <c r="A594" s="211"/>
      <c r="B594" s="449"/>
      <c r="C594" s="450"/>
      <c r="D594" s="211"/>
      <c r="E594" s="211"/>
      <c r="F594" s="211"/>
      <c r="G594" s="84"/>
      <c r="H594" s="211"/>
      <c r="I594" s="211"/>
      <c r="J594" s="211"/>
      <c r="K594" s="211"/>
      <c r="L594" s="84"/>
      <c r="M594" s="211"/>
      <c r="N594" s="211"/>
      <c r="O594" s="211"/>
      <c r="P594" s="211"/>
      <c r="Q594" s="84"/>
      <c r="R594" s="211"/>
      <c r="S594" s="211"/>
      <c r="T594" s="211"/>
      <c r="U594" s="211"/>
      <c r="V594" s="84"/>
      <c r="W594" s="211"/>
      <c r="X594" s="211"/>
      <c r="Y594" s="211"/>
      <c r="Z594" s="211"/>
      <c r="AA594" s="84"/>
      <c r="AB594" s="146"/>
      <c r="AC594" s="211"/>
      <c r="AD594" s="211"/>
      <c r="AE594" s="211"/>
      <c r="AF594" s="84"/>
      <c r="AG594" s="146"/>
      <c r="AH594" s="211"/>
      <c r="AI594" s="211"/>
      <c r="AJ594" s="211"/>
      <c r="AK594" s="84"/>
      <c r="AL594" s="146"/>
      <c r="AM594" s="211"/>
      <c r="AN594" s="211"/>
      <c r="AO594" s="211"/>
      <c r="AP594" s="436"/>
      <c r="AQ594" s="146"/>
      <c r="AR594" s="211"/>
      <c r="AS594" s="211"/>
      <c r="AT594" s="211"/>
      <c r="AU594" s="84"/>
      <c r="AV594" s="211"/>
      <c r="AW594" s="211"/>
      <c r="AX594" s="211"/>
      <c r="AY594" s="211"/>
      <c r="AZ594" s="84"/>
      <c r="BA594" s="211"/>
      <c r="BB594" s="211"/>
      <c r="BC594" s="211"/>
      <c r="BD594" s="211"/>
      <c r="BE594" s="84"/>
      <c r="BF594" s="211"/>
      <c r="BG594" s="451"/>
    </row>
    <row r="595" spans="1:59" ht="12.75">
      <c r="A595" s="211"/>
      <c r="B595" s="449"/>
      <c r="C595" s="450"/>
      <c r="D595" s="211"/>
      <c r="E595" s="211"/>
      <c r="F595" s="211"/>
      <c r="G595" s="84"/>
      <c r="H595" s="211"/>
      <c r="I595" s="211"/>
      <c r="J595" s="211"/>
      <c r="K595" s="211"/>
      <c r="L595" s="84"/>
      <c r="M595" s="211"/>
      <c r="N595" s="211"/>
      <c r="O595" s="211"/>
      <c r="P595" s="211"/>
      <c r="Q595" s="84"/>
      <c r="R595" s="211"/>
      <c r="S595" s="211"/>
      <c r="T595" s="211"/>
      <c r="U595" s="211"/>
      <c r="V595" s="84"/>
      <c r="W595" s="211"/>
      <c r="X595" s="211"/>
      <c r="Y595" s="211"/>
      <c r="Z595" s="211"/>
      <c r="AA595" s="84"/>
      <c r="AB595" s="146"/>
      <c r="AC595" s="211"/>
      <c r="AD595" s="211"/>
      <c r="AE595" s="211"/>
      <c r="AF595" s="84"/>
      <c r="AG595" s="146"/>
      <c r="AH595" s="211"/>
      <c r="AI595" s="211"/>
      <c r="AJ595" s="211"/>
      <c r="AK595" s="84"/>
      <c r="AL595" s="146"/>
      <c r="AM595" s="211"/>
      <c r="AN595" s="211"/>
      <c r="AO595" s="211"/>
      <c r="AP595" s="436"/>
      <c r="AQ595" s="146"/>
      <c r="AR595" s="211"/>
      <c r="AS595" s="211"/>
      <c r="AT595" s="211"/>
      <c r="AU595" s="84"/>
      <c r="AV595" s="211"/>
      <c r="AW595" s="211"/>
      <c r="AX595" s="211"/>
      <c r="AY595" s="211"/>
      <c r="AZ595" s="84"/>
      <c r="BA595" s="211"/>
      <c r="BB595" s="211"/>
      <c r="BC595" s="211"/>
      <c r="BD595" s="211"/>
      <c r="BE595" s="84"/>
      <c r="BF595" s="211"/>
      <c r="BG595" s="451"/>
    </row>
    <row r="596" spans="1:59" ht="12.75">
      <c r="A596" s="211"/>
      <c r="B596" s="449"/>
      <c r="C596" s="450"/>
      <c r="D596" s="211"/>
      <c r="E596" s="211"/>
      <c r="F596" s="211"/>
      <c r="G596" s="84"/>
      <c r="H596" s="211"/>
      <c r="I596" s="211"/>
      <c r="J596" s="211"/>
      <c r="K596" s="211"/>
      <c r="L596" s="84"/>
      <c r="M596" s="211"/>
      <c r="N596" s="211"/>
      <c r="O596" s="211"/>
      <c r="P596" s="211"/>
      <c r="Q596" s="84"/>
      <c r="R596" s="211"/>
      <c r="S596" s="211"/>
      <c r="T596" s="211"/>
      <c r="U596" s="211"/>
      <c r="V596" s="84"/>
      <c r="W596" s="211"/>
      <c r="X596" s="211"/>
      <c r="Y596" s="211"/>
      <c r="Z596" s="211"/>
      <c r="AA596" s="84"/>
      <c r="AB596" s="146"/>
      <c r="AC596" s="211"/>
      <c r="AD596" s="211"/>
      <c r="AE596" s="211"/>
      <c r="AF596" s="84"/>
      <c r="AG596" s="146"/>
      <c r="AH596" s="211"/>
      <c r="AI596" s="211"/>
      <c r="AJ596" s="211"/>
      <c r="AK596" s="84"/>
      <c r="AL596" s="146"/>
      <c r="AM596" s="211"/>
      <c r="AN596" s="211"/>
      <c r="AO596" s="211"/>
      <c r="AP596" s="436"/>
      <c r="AQ596" s="146"/>
      <c r="AR596" s="211"/>
      <c r="AS596" s="211"/>
      <c r="AT596" s="211"/>
      <c r="AU596" s="84"/>
      <c r="AV596" s="211"/>
      <c r="AW596" s="211"/>
      <c r="AX596" s="211"/>
      <c r="AY596" s="211"/>
      <c r="AZ596" s="84"/>
      <c r="BA596" s="211"/>
      <c r="BB596" s="211"/>
      <c r="BC596" s="211"/>
      <c r="BD596" s="211"/>
      <c r="BE596" s="84"/>
      <c r="BF596" s="211"/>
      <c r="BG596" s="451"/>
    </row>
    <row r="597" spans="1:59" ht="12.75">
      <c r="A597" s="211"/>
      <c r="B597" s="449"/>
      <c r="C597" s="450"/>
      <c r="D597" s="211"/>
      <c r="E597" s="211"/>
      <c r="F597" s="211"/>
      <c r="G597" s="84"/>
      <c r="H597" s="211"/>
      <c r="I597" s="211"/>
      <c r="J597" s="211"/>
      <c r="K597" s="211"/>
      <c r="L597" s="84"/>
      <c r="M597" s="211"/>
      <c r="N597" s="211"/>
      <c r="O597" s="211"/>
      <c r="P597" s="211"/>
      <c r="Q597" s="84"/>
      <c r="R597" s="211"/>
      <c r="S597" s="211"/>
      <c r="T597" s="211"/>
      <c r="U597" s="211"/>
      <c r="V597" s="84"/>
      <c r="W597" s="211"/>
      <c r="X597" s="211"/>
      <c r="Y597" s="211"/>
      <c r="Z597" s="211"/>
      <c r="AA597" s="84"/>
      <c r="AB597" s="146"/>
      <c r="AC597" s="211"/>
      <c r="AD597" s="211"/>
      <c r="AE597" s="211"/>
      <c r="AF597" s="84"/>
      <c r="AG597" s="146"/>
      <c r="AH597" s="211"/>
      <c r="AI597" s="211"/>
      <c r="AJ597" s="211"/>
      <c r="AK597" s="84"/>
      <c r="AL597" s="146"/>
      <c r="AM597" s="211"/>
      <c r="AN597" s="211"/>
      <c r="AO597" s="211"/>
      <c r="AP597" s="436"/>
      <c r="AQ597" s="146"/>
      <c r="AR597" s="211"/>
      <c r="AS597" s="211"/>
      <c r="AT597" s="211"/>
      <c r="AU597" s="84"/>
      <c r="AV597" s="211"/>
      <c r="AW597" s="211"/>
      <c r="AX597" s="211"/>
      <c r="AY597" s="211"/>
      <c r="AZ597" s="84"/>
      <c r="BA597" s="211"/>
      <c r="BB597" s="211"/>
      <c r="BC597" s="211"/>
      <c r="BD597" s="211"/>
      <c r="BE597" s="84"/>
      <c r="BF597" s="211"/>
      <c r="BG597" s="451"/>
    </row>
    <row r="598" spans="1:59" ht="12.75">
      <c r="A598" s="211"/>
      <c r="B598" s="449"/>
      <c r="C598" s="450"/>
      <c r="D598" s="211"/>
      <c r="E598" s="211"/>
      <c r="F598" s="211"/>
      <c r="G598" s="84"/>
      <c r="H598" s="211"/>
      <c r="I598" s="211"/>
      <c r="J598" s="211"/>
      <c r="K598" s="211"/>
      <c r="L598" s="84"/>
      <c r="M598" s="211"/>
      <c r="N598" s="211"/>
      <c r="O598" s="211"/>
      <c r="P598" s="211"/>
      <c r="Q598" s="84"/>
      <c r="R598" s="211"/>
      <c r="S598" s="211"/>
      <c r="T598" s="211"/>
      <c r="U598" s="211"/>
      <c r="V598" s="84"/>
      <c r="W598" s="211"/>
      <c r="X598" s="211"/>
      <c r="Y598" s="211"/>
      <c r="Z598" s="211"/>
      <c r="AA598" s="84"/>
      <c r="AB598" s="146"/>
      <c r="AC598" s="211"/>
      <c r="AD598" s="211"/>
      <c r="AE598" s="211"/>
      <c r="AF598" s="84"/>
      <c r="AG598" s="146"/>
      <c r="AH598" s="211"/>
      <c r="AI598" s="211"/>
      <c r="AJ598" s="211"/>
      <c r="AK598" s="84"/>
      <c r="AL598" s="146"/>
      <c r="AM598" s="211"/>
      <c r="AN598" s="211"/>
      <c r="AO598" s="211"/>
      <c r="AP598" s="436"/>
      <c r="AQ598" s="146"/>
      <c r="AR598" s="211"/>
      <c r="AS598" s="211"/>
      <c r="AT598" s="211"/>
      <c r="AU598" s="84"/>
      <c r="AV598" s="211"/>
      <c r="AW598" s="211"/>
      <c r="AX598" s="211"/>
      <c r="AY598" s="211"/>
      <c r="AZ598" s="84"/>
      <c r="BA598" s="211"/>
      <c r="BB598" s="211"/>
      <c r="BC598" s="211"/>
      <c r="BD598" s="211"/>
      <c r="BE598" s="84"/>
      <c r="BF598" s="211"/>
      <c r="BG598" s="451"/>
    </row>
    <row r="599" spans="1:59" ht="12.75">
      <c r="A599" s="211"/>
      <c r="B599" s="449"/>
      <c r="C599" s="450"/>
      <c r="D599" s="211"/>
      <c r="E599" s="211"/>
      <c r="F599" s="211"/>
      <c r="G599" s="84"/>
      <c r="H599" s="211"/>
      <c r="I599" s="211"/>
      <c r="J599" s="211"/>
      <c r="K599" s="211"/>
      <c r="L599" s="84"/>
      <c r="M599" s="211"/>
      <c r="N599" s="211"/>
      <c r="O599" s="211"/>
      <c r="P599" s="211"/>
      <c r="Q599" s="84"/>
      <c r="R599" s="211"/>
      <c r="S599" s="211"/>
      <c r="T599" s="211"/>
      <c r="U599" s="211"/>
      <c r="V599" s="84"/>
      <c r="W599" s="211"/>
      <c r="X599" s="211"/>
      <c r="Y599" s="211"/>
      <c r="Z599" s="211"/>
      <c r="AA599" s="84"/>
      <c r="AB599" s="146"/>
      <c r="AC599" s="211"/>
      <c r="AD599" s="211"/>
      <c r="AE599" s="211"/>
      <c r="AF599" s="84"/>
      <c r="AG599" s="146"/>
      <c r="AH599" s="211"/>
      <c r="AI599" s="211"/>
      <c r="AJ599" s="211"/>
      <c r="AK599" s="84"/>
      <c r="AL599" s="146"/>
      <c r="AM599" s="211"/>
      <c r="AN599" s="211"/>
      <c r="AO599" s="211"/>
      <c r="AP599" s="436"/>
      <c r="AQ599" s="146"/>
      <c r="AR599" s="211"/>
      <c r="AS599" s="211"/>
      <c r="AT599" s="211"/>
      <c r="AU599" s="84"/>
      <c r="AV599" s="211"/>
      <c r="AW599" s="211"/>
      <c r="AX599" s="211"/>
      <c r="AY599" s="211"/>
      <c r="AZ599" s="84"/>
      <c r="BA599" s="211"/>
      <c r="BB599" s="211"/>
      <c r="BC599" s="211"/>
      <c r="BD599" s="211"/>
      <c r="BE599" s="84"/>
      <c r="BF599" s="211"/>
      <c r="BG599" s="451"/>
    </row>
    <row r="600" spans="1:59" ht="12.75">
      <c r="A600" s="211"/>
      <c r="B600" s="449"/>
      <c r="C600" s="450"/>
      <c r="D600" s="211"/>
      <c r="E600" s="211"/>
      <c r="F600" s="211"/>
      <c r="G600" s="84"/>
      <c r="H600" s="211"/>
      <c r="I600" s="211"/>
      <c r="J600" s="211"/>
      <c r="K600" s="211"/>
      <c r="L600" s="84"/>
      <c r="M600" s="211"/>
      <c r="N600" s="211"/>
      <c r="O600" s="211"/>
      <c r="P600" s="211"/>
      <c r="Q600" s="84"/>
      <c r="R600" s="211"/>
      <c r="S600" s="211"/>
      <c r="T600" s="211"/>
      <c r="U600" s="211"/>
      <c r="V600" s="84"/>
      <c r="W600" s="211"/>
      <c r="X600" s="211"/>
      <c r="Y600" s="211"/>
      <c r="Z600" s="211"/>
      <c r="AA600" s="84"/>
      <c r="AB600" s="146"/>
      <c r="AC600" s="211"/>
      <c r="AD600" s="211"/>
      <c r="AE600" s="211"/>
      <c r="AF600" s="84"/>
      <c r="AG600" s="146"/>
      <c r="AH600" s="211"/>
      <c r="AI600" s="211"/>
      <c r="AJ600" s="211"/>
      <c r="AK600" s="84"/>
      <c r="AL600" s="146"/>
      <c r="AM600" s="211"/>
      <c r="AN600" s="211"/>
      <c r="AO600" s="211"/>
      <c r="AP600" s="436"/>
      <c r="AQ600" s="146"/>
      <c r="AR600" s="211"/>
      <c r="AS600" s="211"/>
      <c r="AT600" s="211"/>
      <c r="AU600" s="84"/>
      <c r="AV600" s="211"/>
      <c r="AW600" s="211"/>
      <c r="AX600" s="211"/>
      <c r="AY600" s="211"/>
      <c r="AZ600" s="84"/>
      <c r="BA600" s="211"/>
      <c r="BB600" s="211"/>
      <c r="BC600" s="211"/>
      <c r="BD600" s="211"/>
      <c r="BE600" s="84"/>
      <c r="BF600" s="211"/>
      <c r="BG600" s="451"/>
    </row>
    <row r="601" spans="1:59" ht="12.75">
      <c r="A601" s="211"/>
      <c r="B601" s="449"/>
      <c r="C601" s="450"/>
      <c r="D601" s="211"/>
      <c r="E601" s="211"/>
      <c r="F601" s="211"/>
      <c r="G601" s="84"/>
      <c r="H601" s="211"/>
      <c r="I601" s="211"/>
      <c r="J601" s="211"/>
      <c r="K601" s="211"/>
      <c r="L601" s="84"/>
      <c r="M601" s="211"/>
      <c r="N601" s="211"/>
      <c r="O601" s="211"/>
      <c r="P601" s="211"/>
      <c r="Q601" s="84"/>
      <c r="R601" s="211"/>
      <c r="S601" s="211"/>
      <c r="T601" s="211"/>
      <c r="U601" s="211"/>
      <c r="V601" s="84"/>
      <c r="W601" s="211"/>
      <c r="X601" s="211"/>
      <c r="Y601" s="211"/>
      <c r="Z601" s="211"/>
      <c r="AA601" s="84"/>
      <c r="AB601" s="146"/>
      <c r="AC601" s="211"/>
      <c r="AD601" s="211"/>
      <c r="AE601" s="211"/>
      <c r="AF601" s="84"/>
      <c r="AG601" s="146"/>
      <c r="AH601" s="211"/>
      <c r="AI601" s="211"/>
      <c r="AJ601" s="211"/>
      <c r="AK601" s="84"/>
      <c r="AL601" s="146"/>
      <c r="AM601" s="211"/>
      <c r="AN601" s="211"/>
      <c r="AO601" s="211"/>
      <c r="AP601" s="436"/>
      <c r="AQ601" s="146"/>
      <c r="AR601" s="211"/>
      <c r="AS601" s="211"/>
      <c r="AT601" s="211"/>
      <c r="AU601" s="84"/>
      <c r="AV601" s="211"/>
      <c r="AW601" s="211"/>
      <c r="AX601" s="211"/>
      <c r="AY601" s="211"/>
      <c r="AZ601" s="84"/>
      <c r="BA601" s="211"/>
      <c r="BB601" s="211"/>
      <c r="BC601" s="211"/>
      <c r="BD601" s="211"/>
      <c r="BE601" s="84"/>
      <c r="BF601" s="211"/>
      <c r="BG601" s="451"/>
    </row>
    <row r="602" spans="1:59" ht="12.75">
      <c r="A602" s="211"/>
      <c r="B602" s="449"/>
      <c r="C602" s="450"/>
      <c r="D602" s="211"/>
      <c r="E602" s="211"/>
      <c r="F602" s="211"/>
      <c r="G602" s="84"/>
      <c r="H602" s="211"/>
      <c r="I602" s="211"/>
      <c r="J602" s="211"/>
      <c r="K602" s="211"/>
      <c r="L602" s="84"/>
      <c r="M602" s="211"/>
      <c r="N602" s="211"/>
      <c r="O602" s="211"/>
      <c r="P602" s="211"/>
      <c r="Q602" s="84"/>
      <c r="R602" s="211"/>
      <c r="S602" s="211"/>
      <c r="T602" s="211"/>
      <c r="U602" s="211"/>
      <c r="V602" s="84"/>
      <c r="W602" s="211"/>
      <c r="X602" s="211"/>
      <c r="Y602" s="211"/>
      <c r="Z602" s="211"/>
      <c r="AA602" s="84"/>
      <c r="AB602" s="146"/>
      <c r="AC602" s="211"/>
      <c r="AD602" s="211"/>
      <c r="AE602" s="211"/>
      <c r="AF602" s="84"/>
      <c r="AG602" s="146"/>
      <c r="AH602" s="211"/>
      <c r="AI602" s="211"/>
      <c r="AJ602" s="211"/>
      <c r="AK602" s="84"/>
      <c r="AL602" s="146"/>
      <c r="AM602" s="211"/>
      <c r="AN602" s="211"/>
      <c r="AO602" s="211"/>
      <c r="AP602" s="436"/>
      <c r="AQ602" s="146"/>
      <c r="AR602" s="211"/>
      <c r="AS602" s="211"/>
      <c r="AT602" s="211"/>
      <c r="AU602" s="84"/>
      <c r="AV602" s="211"/>
      <c r="AW602" s="211"/>
      <c r="AX602" s="211"/>
      <c r="AY602" s="211"/>
      <c r="AZ602" s="84"/>
      <c r="BA602" s="211"/>
      <c r="BB602" s="211"/>
      <c r="BC602" s="211"/>
      <c r="BD602" s="211"/>
      <c r="BE602" s="84"/>
      <c r="BF602" s="211"/>
      <c r="BG602" s="451"/>
    </row>
    <row r="603" spans="1:59" ht="12.75">
      <c r="A603" s="211"/>
      <c r="B603" s="449"/>
      <c r="C603" s="450"/>
      <c r="D603" s="211"/>
      <c r="E603" s="211"/>
      <c r="F603" s="211"/>
      <c r="G603" s="84"/>
      <c r="H603" s="211"/>
      <c r="I603" s="211"/>
      <c r="J603" s="211"/>
      <c r="K603" s="211"/>
      <c r="L603" s="84"/>
      <c r="M603" s="211"/>
      <c r="N603" s="211"/>
      <c r="O603" s="211"/>
      <c r="P603" s="211"/>
      <c r="Q603" s="84"/>
      <c r="R603" s="211"/>
      <c r="S603" s="211"/>
      <c r="T603" s="211"/>
      <c r="U603" s="211"/>
      <c r="V603" s="84"/>
      <c r="W603" s="211"/>
      <c r="X603" s="211"/>
      <c r="Y603" s="211"/>
      <c r="Z603" s="211"/>
      <c r="AA603" s="84"/>
      <c r="AB603" s="146"/>
      <c r="AC603" s="211"/>
      <c r="AD603" s="211"/>
      <c r="AE603" s="211"/>
      <c r="AF603" s="84"/>
      <c r="AG603" s="146"/>
      <c r="AH603" s="211"/>
      <c r="AI603" s="211"/>
      <c r="AJ603" s="211"/>
      <c r="AK603" s="84"/>
      <c r="AL603" s="146"/>
      <c r="AM603" s="211"/>
      <c r="AN603" s="211"/>
      <c r="AO603" s="211"/>
      <c r="AP603" s="436"/>
      <c r="AQ603" s="146"/>
      <c r="AR603" s="211"/>
      <c r="AS603" s="211"/>
      <c r="AT603" s="211"/>
      <c r="AU603" s="84"/>
      <c r="AV603" s="211"/>
      <c r="AW603" s="211"/>
      <c r="AX603" s="211"/>
      <c r="AY603" s="211"/>
      <c r="AZ603" s="84"/>
      <c r="BA603" s="211"/>
      <c r="BB603" s="211"/>
      <c r="BC603" s="211"/>
      <c r="BD603" s="211"/>
      <c r="BE603" s="84"/>
      <c r="BF603" s="211"/>
      <c r="BG603" s="451"/>
    </row>
    <row r="604" spans="1:59" ht="12.75">
      <c r="A604" s="211"/>
      <c r="B604" s="449"/>
      <c r="C604" s="450"/>
      <c r="D604" s="211"/>
      <c r="E604" s="211"/>
      <c r="F604" s="211"/>
      <c r="G604" s="84"/>
      <c r="H604" s="211"/>
      <c r="I604" s="211"/>
      <c r="J604" s="211"/>
      <c r="K604" s="211"/>
      <c r="L604" s="84"/>
      <c r="M604" s="211"/>
      <c r="N604" s="211"/>
      <c r="O604" s="211"/>
      <c r="P604" s="211"/>
      <c r="Q604" s="84"/>
      <c r="R604" s="211"/>
      <c r="S604" s="211"/>
      <c r="T604" s="211"/>
      <c r="U604" s="211"/>
      <c r="V604" s="84"/>
      <c r="W604" s="211"/>
      <c r="X604" s="211"/>
      <c r="Y604" s="211"/>
      <c r="Z604" s="211"/>
      <c r="AA604" s="84"/>
      <c r="AB604" s="146"/>
      <c r="AC604" s="211"/>
      <c r="AD604" s="211"/>
      <c r="AE604" s="211"/>
      <c r="AF604" s="84"/>
      <c r="AG604" s="146"/>
      <c r="AH604" s="211"/>
      <c r="AI604" s="211"/>
      <c r="AJ604" s="211"/>
      <c r="AK604" s="84"/>
      <c r="AL604" s="146"/>
      <c r="AM604" s="211"/>
      <c r="AN604" s="211"/>
      <c r="AO604" s="211"/>
      <c r="AP604" s="436"/>
      <c r="AQ604" s="146"/>
      <c r="AR604" s="211"/>
      <c r="AS604" s="211"/>
      <c r="AT604" s="211"/>
      <c r="AU604" s="84"/>
      <c r="AV604" s="211"/>
      <c r="AW604" s="211"/>
      <c r="AX604" s="211"/>
      <c r="AY604" s="211"/>
      <c r="AZ604" s="84"/>
      <c r="BA604" s="211"/>
      <c r="BB604" s="211"/>
      <c r="BC604" s="211"/>
      <c r="BD604" s="211"/>
      <c r="BE604" s="84"/>
      <c r="BF604" s="211"/>
      <c r="BG604" s="451"/>
    </row>
    <row r="605" spans="1:59" ht="12.75">
      <c r="A605" s="211"/>
      <c r="B605" s="449"/>
      <c r="C605" s="450"/>
      <c r="D605" s="211"/>
      <c r="E605" s="211"/>
      <c r="F605" s="211"/>
      <c r="G605" s="84"/>
      <c r="H605" s="211"/>
      <c r="I605" s="211"/>
      <c r="J605" s="211"/>
      <c r="K605" s="211"/>
      <c r="L605" s="84"/>
      <c r="M605" s="211"/>
      <c r="N605" s="211"/>
      <c r="O605" s="211"/>
      <c r="P605" s="211"/>
      <c r="Q605" s="84"/>
      <c r="R605" s="211"/>
      <c r="S605" s="211"/>
      <c r="T605" s="211"/>
      <c r="U605" s="211"/>
      <c r="V605" s="84"/>
      <c r="W605" s="211"/>
      <c r="X605" s="211"/>
      <c r="Y605" s="211"/>
      <c r="Z605" s="211"/>
      <c r="AA605" s="84"/>
      <c r="AB605" s="146"/>
      <c r="AC605" s="211"/>
      <c r="AD605" s="211"/>
      <c r="AE605" s="211"/>
      <c r="AF605" s="84"/>
      <c r="AG605" s="146"/>
      <c r="AH605" s="211"/>
      <c r="AI605" s="211"/>
      <c r="AJ605" s="211"/>
      <c r="AK605" s="84"/>
      <c r="AL605" s="146"/>
      <c r="AM605" s="211"/>
      <c r="AN605" s="211"/>
      <c r="AO605" s="211"/>
      <c r="AP605" s="436"/>
      <c r="AQ605" s="146"/>
      <c r="AR605" s="211"/>
      <c r="AS605" s="211"/>
      <c r="AT605" s="211"/>
      <c r="AU605" s="84"/>
      <c r="AV605" s="211"/>
      <c r="AW605" s="211"/>
      <c r="AX605" s="211"/>
      <c r="AY605" s="211"/>
      <c r="AZ605" s="84"/>
      <c r="BA605" s="211"/>
      <c r="BB605" s="211"/>
      <c r="BC605" s="211"/>
      <c r="BD605" s="211"/>
      <c r="BE605" s="84"/>
      <c r="BF605" s="211"/>
      <c r="BG605" s="451"/>
    </row>
    <row r="606" spans="1:59" ht="12.75">
      <c r="A606" s="211"/>
      <c r="B606" s="449"/>
      <c r="C606" s="450"/>
      <c r="D606" s="211"/>
      <c r="E606" s="211"/>
      <c r="F606" s="211"/>
      <c r="G606" s="84"/>
      <c r="H606" s="211"/>
      <c r="I606" s="211"/>
      <c r="J606" s="211"/>
      <c r="K606" s="211"/>
      <c r="L606" s="84"/>
      <c r="M606" s="211"/>
      <c r="N606" s="211"/>
      <c r="O606" s="211"/>
      <c r="P606" s="211"/>
      <c r="Q606" s="84"/>
      <c r="R606" s="211"/>
      <c r="S606" s="211"/>
      <c r="T606" s="211"/>
      <c r="U606" s="211"/>
      <c r="V606" s="84"/>
      <c r="W606" s="211"/>
      <c r="X606" s="211"/>
      <c r="Y606" s="211"/>
      <c r="Z606" s="211"/>
      <c r="AA606" s="84"/>
      <c r="AB606" s="146"/>
      <c r="AC606" s="211"/>
      <c r="AD606" s="211"/>
      <c r="AE606" s="211"/>
      <c r="AF606" s="84"/>
      <c r="AG606" s="146"/>
      <c r="AH606" s="211"/>
      <c r="AI606" s="211"/>
      <c r="AJ606" s="211"/>
      <c r="AK606" s="84"/>
      <c r="AL606" s="146"/>
      <c r="AM606" s="211"/>
      <c r="AN606" s="211"/>
      <c r="AO606" s="211"/>
      <c r="AP606" s="436"/>
      <c r="AQ606" s="146"/>
      <c r="AR606" s="211"/>
      <c r="AS606" s="211"/>
      <c r="AT606" s="211"/>
      <c r="AU606" s="84"/>
      <c r="AV606" s="211"/>
      <c r="AW606" s="211"/>
      <c r="AX606" s="211"/>
      <c r="AY606" s="211"/>
      <c r="AZ606" s="84"/>
      <c r="BA606" s="211"/>
      <c r="BB606" s="211"/>
      <c r="BC606" s="211"/>
      <c r="BD606" s="211"/>
      <c r="BE606" s="84"/>
      <c r="BF606" s="211"/>
      <c r="BG606" s="451"/>
    </row>
    <row r="607" spans="1:59" ht="12.75">
      <c r="A607" s="211"/>
      <c r="B607" s="449"/>
      <c r="C607" s="450"/>
      <c r="D607" s="211"/>
      <c r="E607" s="211"/>
      <c r="F607" s="211"/>
      <c r="G607" s="84"/>
      <c r="H607" s="211"/>
      <c r="I607" s="211"/>
      <c r="J607" s="211"/>
      <c r="K607" s="211"/>
      <c r="L607" s="84"/>
      <c r="M607" s="211"/>
      <c r="N607" s="211"/>
      <c r="O607" s="211"/>
      <c r="P607" s="211"/>
      <c r="Q607" s="84"/>
      <c r="R607" s="211"/>
      <c r="S607" s="211"/>
      <c r="T607" s="211"/>
      <c r="U607" s="211"/>
      <c r="V607" s="84"/>
      <c r="W607" s="211"/>
      <c r="X607" s="211"/>
      <c r="Y607" s="211"/>
      <c r="Z607" s="211"/>
      <c r="AA607" s="84"/>
      <c r="AB607" s="146"/>
      <c r="AC607" s="211"/>
      <c r="AD607" s="211"/>
      <c r="AE607" s="211"/>
      <c r="AF607" s="84"/>
      <c r="AG607" s="146"/>
      <c r="AH607" s="211"/>
      <c r="AI607" s="211"/>
      <c r="AJ607" s="211"/>
      <c r="AK607" s="84"/>
      <c r="AL607" s="146"/>
      <c r="AM607" s="211"/>
      <c r="AN607" s="211"/>
      <c r="AO607" s="211"/>
      <c r="AP607" s="436"/>
      <c r="AQ607" s="146"/>
      <c r="AR607" s="211"/>
      <c r="AS607" s="211"/>
      <c r="AT607" s="211"/>
      <c r="AU607" s="84"/>
      <c r="AV607" s="211"/>
      <c r="AW607" s="211"/>
      <c r="AX607" s="211"/>
      <c r="AY607" s="211"/>
      <c r="AZ607" s="84"/>
      <c r="BA607" s="211"/>
      <c r="BB607" s="211"/>
      <c r="BC607" s="211"/>
      <c r="BD607" s="211"/>
      <c r="BE607" s="84"/>
      <c r="BF607" s="211"/>
      <c r="BG607" s="451"/>
    </row>
    <row r="608" spans="1:59" ht="12.75">
      <c r="A608" s="211"/>
      <c r="B608" s="449"/>
      <c r="C608" s="450"/>
      <c r="D608" s="211"/>
      <c r="E608" s="211"/>
      <c r="F608" s="211"/>
      <c r="G608" s="84"/>
      <c r="H608" s="211"/>
      <c r="I608" s="211"/>
      <c r="J608" s="211"/>
      <c r="K608" s="211"/>
      <c r="L608" s="84"/>
      <c r="M608" s="211"/>
      <c r="N608" s="211"/>
      <c r="O608" s="211"/>
      <c r="P608" s="211"/>
      <c r="Q608" s="84"/>
      <c r="R608" s="211"/>
      <c r="S608" s="211"/>
      <c r="T608" s="211"/>
      <c r="U608" s="211"/>
      <c r="V608" s="84"/>
      <c r="W608" s="211"/>
      <c r="X608" s="211"/>
      <c r="Y608" s="211"/>
      <c r="Z608" s="211"/>
      <c r="AA608" s="84"/>
      <c r="AB608" s="146"/>
      <c r="AC608" s="211"/>
      <c r="AD608" s="211"/>
      <c r="AE608" s="211"/>
      <c r="AF608" s="84"/>
      <c r="AG608" s="146"/>
      <c r="AH608" s="211"/>
      <c r="AI608" s="211"/>
      <c r="AJ608" s="211"/>
      <c r="AK608" s="84"/>
      <c r="AL608" s="146"/>
      <c r="AM608" s="211"/>
      <c r="AN608" s="211"/>
      <c r="AO608" s="211"/>
      <c r="AP608" s="436"/>
      <c r="AQ608" s="146"/>
      <c r="AR608" s="211"/>
      <c r="AS608" s="211"/>
      <c r="AT608" s="211"/>
      <c r="AU608" s="84"/>
      <c r="AV608" s="211"/>
      <c r="AW608" s="211"/>
      <c r="AX608" s="211"/>
      <c r="AY608" s="211"/>
      <c r="AZ608" s="84"/>
      <c r="BA608" s="211"/>
      <c r="BB608" s="211"/>
      <c r="BC608" s="211"/>
      <c r="BD608" s="211"/>
      <c r="BE608" s="84"/>
      <c r="BF608" s="211"/>
      <c r="BG608" s="451"/>
    </row>
    <row r="609" spans="1:59" ht="12.75">
      <c r="A609" s="211"/>
      <c r="B609" s="449"/>
      <c r="C609" s="450"/>
      <c r="D609" s="211"/>
      <c r="E609" s="211"/>
      <c r="F609" s="211"/>
      <c r="G609" s="84"/>
      <c r="H609" s="211"/>
      <c r="I609" s="211"/>
      <c r="J609" s="211"/>
      <c r="K609" s="211"/>
      <c r="L609" s="84"/>
      <c r="M609" s="211"/>
      <c r="N609" s="211"/>
      <c r="O609" s="211"/>
      <c r="P609" s="211"/>
      <c r="Q609" s="84"/>
      <c r="R609" s="211"/>
      <c r="S609" s="211"/>
      <c r="T609" s="211"/>
      <c r="U609" s="211"/>
      <c r="V609" s="84"/>
      <c r="W609" s="211"/>
      <c r="X609" s="211"/>
      <c r="Y609" s="211"/>
      <c r="Z609" s="211"/>
      <c r="AA609" s="84"/>
      <c r="AB609" s="146"/>
      <c r="AC609" s="211"/>
      <c r="AD609" s="211"/>
      <c r="AE609" s="211"/>
      <c r="AF609" s="84"/>
      <c r="AG609" s="146"/>
      <c r="AH609" s="211"/>
      <c r="AI609" s="211"/>
      <c r="AJ609" s="211"/>
      <c r="AK609" s="84"/>
      <c r="AL609" s="146"/>
      <c r="AM609" s="211"/>
      <c r="AN609" s="211"/>
      <c r="AO609" s="211"/>
      <c r="AP609" s="436"/>
      <c r="AQ609" s="146"/>
      <c r="AR609" s="211"/>
      <c r="AS609" s="211"/>
      <c r="AT609" s="211"/>
      <c r="AU609" s="84"/>
      <c r="AV609" s="211"/>
      <c r="AW609" s="211"/>
      <c r="AX609" s="211"/>
      <c r="AY609" s="211"/>
      <c r="AZ609" s="84"/>
      <c r="BA609" s="211"/>
      <c r="BB609" s="211"/>
      <c r="BC609" s="211"/>
      <c r="BD609" s="211"/>
      <c r="BE609" s="84"/>
      <c r="BF609" s="211"/>
      <c r="BG609" s="451"/>
    </row>
    <row r="610" spans="1:59" ht="12.75">
      <c r="A610" s="211"/>
      <c r="B610" s="449"/>
      <c r="C610" s="450"/>
      <c r="D610" s="211"/>
      <c r="E610" s="211"/>
      <c r="F610" s="211"/>
      <c r="G610" s="84"/>
      <c r="H610" s="211"/>
      <c r="I610" s="211"/>
      <c r="J610" s="211"/>
      <c r="K610" s="211"/>
      <c r="L610" s="84"/>
      <c r="M610" s="211"/>
      <c r="N610" s="211"/>
      <c r="O610" s="211"/>
      <c r="P610" s="211"/>
      <c r="Q610" s="84"/>
      <c r="R610" s="211"/>
      <c r="S610" s="211"/>
      <c r="T610" s="211"/>
      <c r="U610" s="211"/>
      <c r="V610" s="84"/>
      <c r="W610" s="211"/>
      <c r="X610" s="211"/>
      <c r="Y610" s="211"/>
      <c r="Z610" s="211"/>
      <c r="AA610" s="84"/>
      <c r="AB610" s="146"/>
      <c r="AC610" s="211"/>
      <c r="AD610" s="211"/>
      <c r="AE610" s="211"/>
      <c r="AF610" s="84"/>
      <c r="AG610" s="146"/>
      <c r="AH610" s="211"/>
      <c r="AI610" s="211"/>
      <c r="AJ610" s="211"/>
      <c r="AK610" s="84"/>
      <c r="AL610" s="146"/>
      <c r="AM610" s="211"/>
      <c r="AN610" s="211"/>
      <c r="AO610" s="211"/>
      <c r="AP610" s="436"/>
      <c r="AQ610" s="146"/>
      <c r="AR610" s="211"/>
      <c r="AS610" s="211"/>
      <c r="AT610" s="211"/>
      <c r="AU610" s="84"/>
      <c r="AV610" s="211"/>
      <c r="AW610" s="211"/>
      <c r="AX610" s="211"/>
      <c r="AY610" s="211"/>
      <c r="AZ610" s="84"/>
      <c r="BA610" s="211"/>
      <c r="BB610" s="211"/>
      <c r="BC610" s="211"/>
      <c r="BD610" s="211"/>
      <c r="BE610" s="84"/>
      <c r="BF610" s="211"/>
      <c r="BG610" s="451"/>
    </row>
    <row r="611" spans="1:59" ht="12.75">
      <c r="A611" s="211"/>
      <c r="B611" s="449"/>
      <c r="C611" s="450"/>
      <c r="D611" s="211"/>
      <c r="E611" s="211"/>
      <c r="F611" s="211"/>
      <c r="G611" s="84"/>
      <c r="H611" s="211"/>
      <c r="I611" s="211"/>
      <c r="J611" s="211"/>
      <c r="K611" s="211"/>
      <c r="L611" s="84"/>
      <c r="M611" s="211"/>
      <c r="N611" s="211"/>
      <c r="O611" s="211"/>
      <c r="P611" s="211"/>
      <c r="Q611" s="84"/>
      <c r="R611" s="211"/>
      <c r="S611" s="211"/>
      <c r="T611" s="211"/>
      <c r="U611" s="211"/>
      <c r="V611" s="84"/>
      <c r="W611" s="211"/>
      <c r="X611" s="211"/>
      <c r="Y611" s="211"/>
      <c r="Z611" s="211"/>
      <c r="AA611" s="84"/>
      <c r="AB611" s="146"/>
      <c r="AC611" s="211"/>
      <c r="AD611" s="211"/>
      <c r="AE611" s="211"/>
      <c r="AF611" s="84"/>
      <c r="AG611" s="146"/>
      <c r="AH611" s="211"/>
      <c r="AI611" s="211"/>
      <c r="AJ611" s="211"/>
      <c r="AK611" s="84"/>
      <c r="AL611" s="146"/>
      <c r="AM611" s="211"/>
      <c r="AN611" s="211"/>
      <c r="AO611" s="211"/>
      <c r="AP611" s="436"/>
      <c r="AQ611" s="146"/>
      <c r="AR611" s="211"/>
      <c r="AS611" s="211"/>
      <c r="AT611" s="211"/>
      <c r="AU611" s="84"/>
      <c r="AV611" s="211"/>
      <c r="AW611" s="211"/>
      <c r="AX611" s="211"/>
      <c r="AY611" s="211"/>
      <c r="AZ611" s="84"/>
      <c r="BA611" s="211"/>
      <c r="BB611" s="211"/>
      <c r="BC611" s="211"/>
      <c r="BD611" s="211"/>
      <c r="BE611" s="84"/>
      <c r="BF611" s="211"/>
      <c r="BG611" s="451"/>
    </row>
    <row r="612" spans="1:59" ht="12.75">
      <c r="A612" s="211"/>
      <c r="B612" s="449"/>
      <c r="C612" s="450"/>
      <c r="D612" s="211"/>
      <c r="E612" s="211"/>
      <c r="F612" s="211"/>
      <c r="G612" s="84"/>
      <c r="H612" s="211"/>
      <c r="I612" s="211"/>
      <c r="J612" s="211"/>
      <c r="K612" s="211"/>
      <c r="L612" s="84"/>
      <c r="M612" s="211"/>
      <c r="N612" s="211"/>
      <c r="O612" s="211"/>
      <c r="P612" s="211"/>
      <c r="Q612" s="84"/>
      <c r="R612" s="211"/>
      <c r="S612" s="211"/>
      <c r="T612" s="211"/>
      <c r="U612" s="211"/>
      <c r="V612" s="84"/>
      <c r="W612" s="211"/>
      <c r="X612" s="211"/>
      <c r="Y612" s="211"/>
      <c r="Z612" s="211"/>
      <c r="AA612" s="84"/>
      <c r="AB612" s="146"/>
      <c r="AC612" s="211"/>
      <c r="AD612" s="211"/>
      <c r="AE612" s="211"/>
      <c r="AF612" s="84"/>
      <c r="AG612" s="146"/>
      <c r="AH612" s="211"/>
      <c r="AI612" s="211"/>
      <c r="AJ612" s="211"/>
      <c r="AK612" s="84"/>
      <c r="AL612" s="146"/>
      <c r="AM612" s="211"/>
      <c r="AN612" s="211"/>
      <c r="AO612" s="211"/>
      <c r="AP612" s="436"/>
      <c r="AQ612" s="146"/>
      <c r="AR612" s="211"/>
      <c r="AS612" s="211"/>
      <c r="AT612" s="211"/>
      <c r="AU612" s="84"/>
      <c r="AV612" s="211"/>
      <c r="AW612" s="211"/>
      <c r="AX612" s="211"/>
      <c r="AY612" s="211"/>
      <c r="AZ612" s="84"/>
      <c r="BA612" s="211"/>
      <c r="BB612" s="211"/>
      <c r="BC612" s="211"/>
      <c r="BD612" s="211"/>
      <c r="BE612" s="84"/>
      <c r="BF612" s="211"/>
      <c r="BG612" s="451"/>
    </row>
    <row r="613" spans="1:59" ht="12.75">
      <c r="A613" s="211"/>
      <c r="B613" s="449"/>
      <c r="C613" s="450"/>
      <c r="D613" s="211"/>
      <c r="E613" s="211"/>
      <c r="F613" s="211"/>
      <c r="G613" s="84"/>
      <c r="H613" s="211"/>
      <c r="I613" s="211"/>
      <c r="J613" s="211"/>
      <c r="K613" s="211"/>
      <c r="L613" s="84"/>
      <c r="M613" s="211"/>
      <c r="N613" s="211"/>
      <c r="O613" s="211"/>
      <c r="P613" s="211"/>
      <c r="Q613" s="84"/>
      <c r="R613" s="211"/>
      <c r="S613" s="211"/>
      <c r="T613" s="211"/>
      <c r="U613" s="211"/>
      <c r="V613" s="84"/>
      <c r="W613" s="211"/>
      <c r="X613" s="211"/>
      <c r="Y613" s="211"/>
      <c r="Z613" s="211"/>
      <c r="AA613" s="84"/>
      <c r="AB613" s="146"/>
      <c r="AC613" s="211"/>
      <c r="AD613" s="211"/>
      <c r="AE613" s="211"/>
      <c r="AF613" s="84"/>
      <c r="AG613" s="146"/>
      <c r="AH613" s="211"/>
      <c r="AI613" s="211"/>
      <c r="AJ613" s="211"/>
      <c r="AK613" s="84"/>
      <c r="AL613" s="146"/>
      <c r="AM613" s="211"/>
      <c r="AN613" s="211"/>
      <c r="AO613" s="211"/>
      <c r="AP613" s="436"/>
      <c r="AQ613" s="146"/>
      <c r="AR613" s="211"/>
      <c r="AS613" s="211"/>
      <c r="AT613" s="211"/>
      <c r="AU613" s="84"/>
      <c r="AV613" s="211"/>
      <c r="AW613" s="211"/>
      <c r="AX613" s="211"/>
      <c r="AY613" s="211"/>
      <c r="AZ613" s="84"/>
      <c r="BA613" s="211"/>
      <c r="BB613" s="211"/>
      <c r="BC613" s="211"/>
      <c r="BD613" s="211"/>
      <c r="BE613" s="84"/>
      <c r="BF613" s="211"/>
      <c r="BG613" s="451"/>
    </row>
    <row r="614" spans="1:59" ht="12.75">
      <c r="A614" s="211"/>
      <c r="B614" s="449"/>
      <c r="C614" s="450"/>
      <c r="D614" s="211"/>
      <c r="E614" s="211"/>
      <c r="F614" s="211"/>
      <c r="G614" s="84"/>
      <c r="H614" s="211"/>
      <c r="I614" s="211"/>
      <c r="J614" s="211"/>
      <c r="K614" s="211"/>
      <c r="L614" s="84"/>
      <c r="M614" s="211"/>
      <c r="N614" s="211"/>
      <c r="O614" s="211"/>
      <c r="P614" s="211"/>
      <c r="Q614" s="84"/>
      <c r="R614" s="211"/>
      <c r="S614" s="211"/>
      <c r="T614" s="211"/>
      <c r="U614" s="211"/>
      <c r="V614" s="84"/>
      <c r="W614" s="211"/>
      <c r="X614" s="211"/>
      <c r="Y614" s="211"/>
      <c r="Z614" s="211"/>
      <c r="AA614" s="84"/>
      <c r="AB614" s="146"/>
      <c r="AC614" s="211"/>
      <c r="AD614" s="211"/>
      <c r="AE614" s="211"/>
      <c r="AF614" s="84"/>
      <c r="AG614" s="146"/>
      <c r="AH614" s="211"/>
      <c r="AI614" s="211"/>
      <c r="AJ614" s="211"/>
      <c r="AK614" s="84"/>
      <c r="AL614" s="146"/>
      <c r="AM614" s="211"/>
      <c r="AN614" s="211"/>
      <c r="AO614" s="211"/>
      <c r="AP614" s="436"/>
      <c r="AQ614" s="146"/>
      <c r="AR614" s="211"/>
      <c r="AS614" s="211"/>
      <c r="AT614" s="211"/>
      <c r="AU614" s="84"/>
      <c r="AV614" s="211"/>
      <c r="AW614" s="211"/>
      <c r="AX614" s="211"/>
      <c r="AY614" s="211"/>
      <c r="AZ614" s="84"/>
      <c r="BA614" s="211"/>
      <c r="BB614" s="211"/>
      <c r="BC614" s="211"/>
      <c r="BD614" s="211"/>
      <c r="BE614" s="84"/>
      <c r="BF614" s="211"/>
      <c r="BG614" s="451"/>
    </row>
    <row r="615" spans="1:59" ht="12.75">
      <c r="A615" s="211"/>
      <c r="B615" s="449"/>
      <c r="C615" s="450"/>
      <c r="D615" s="211"/>
      <c r="E615" s="211"/>
      <c r="F615" s="211"/>
      <c r="G615" s="84"/>
      <c r="H615" s="211"/>
      <c r="I615" s="211"/>
      <c r="J615" s="211"/>
      <c r="K615" s="211"/>
      <c r="L615" s="84"/>
      <c r="M615" s="211"/>
      <c r="N615" s="211"/>
      <c r="O615" s="211"/>
      <c r="P615" s="211"/>
      <c r="Q615" s="84"/>
      <c r="R615" s="211"/>
      <c r="S615" s="211"/>
      <c r="T615" s="211"/>
      <c r="U615" s="211"/>
      <c r="V615" s="84"/>
      <c r="W615" s="211"/>
      <c r="X615" s="211"/>
      <c r="Y615" s="211"/>
      <c r="Z615" s="211"/>
      <c r="AA615" s="84"/>
      <c r="AB615" s="146"/>
      <c r="AC615" s="211"/>
      <c r="AD615" s="211"/>
      <c r="AE615" s="211"/>
      <c r="AF615" s="84"/>
      <c r="AG615" s="146"/>
      <c r="AH615" s="211"/>
      <c r="AI615" s="211"/>
      <c r="AJ615" s="211"/>
      <c r="AK615" s="84"/>
      <c r="AL615" s="146"/>
      <c r="AM615" s="211"/>
      <c r="AN615" s="211"/>
      <c r="AO615" s="211"/>
      <c r="AP615" s="436"/>
      <c r="AQ615" s="146"/>
      <c r="AR615" s="211"/>
      <c r="AS615" s="211"/>
      <c r="AT615" s="211"/>
      <c r="AU615" s="84"/>
      <c r="AV615" s="211"/>
      <c r="AW615" s="211"/>
      <c r="AX615" s="211"/>
      <c r="AY615" s="211"/>
      <c r="AZ615" s="84"/>
      <c r="BA615" s="211"/>
      <c r="BB615" s="211"/>
      <c r="BC615" s="211"/>
      <c r="BD615" s="211"/>
      <c r="BE615" s="84"/>
      <c r="BF615" s="211"/>
      <c r="BG615" s="451"/>
    </row>
    <row r="616" spans="1:59" ht="12.75">
      <c r="A616" s="211"/>
      <c r="B616" s="449"/>
      <c r="C616" s="450"/>
      <c r="D616" s="211"/>
      <c r="E616" s="211"/>
      <c r="F616" s="211"/>
      <c r="G616" s="84"/>
      <c r="H616" s="211"/>
      <c r="I616" s="211"/>
      <c r="J616" s="211"/>
      <c r="K616" s="211"/>
      <c r="L616" s="84"/>
      <c r="M616" s="211"/>
      <c r="N616" s="211"/>
      <c r="O616" s="211"/>
      <c r="P616" s="211"/>
      <c r="Q616" s="84"/>
      <c r="R616" s="211"/>
      <c r="S616" s="211"/>
      <c r="T616" s="211"/>
      <c r="U616" s="211"/>
      <c r="V616" s="84"/>
      <c r="W616" s="211"/>
      <c r="X616" s="211"/>
      <c r="Y616" s="211"/>
      <c r="Z616" s="211"/>
      <c r="AA616" s="84"/>
      <c r="AB616" s="146"/>
      <c r="AC616" s="211"/>
      <c r="AD616" s="211"/>
      <c r="AE616" s="211"/>
      <c r="AF616" s="84"/>
      <c r="AG616" s="146"/>
      <c r="AH616" s="211"/>
      <c r="AI616" s="211"/>
      <c r="AJ616" s="211"/>
      <c r="AK616" s="84"/>
      <c r="AL616" s="146"/>
      <c r="AM616" s="211"/>
      <c r="AN616" s="211"/>
      <c r="AO616" s="211"/>
      <c r="AP616" s="436"/>
      <c r="AQ616" s="146"/>
      <c r="AR616" s="211"/>
      <c r="AS616" s="211"/>
      <c r="AT616" s="211"/>
      <c r="AU616" s="84"/>
      <c r="AV616" s="211"/>
      <c r="AW616" s="211"/>
      <c r="AX616" s="211"/>
      <c r="AY616" s="211"/>
      <c r="AZ616" s="84"/>
      <c r="BA616" s="211"/>
      <c r="BB616" s="211"/>
      <c r="BC616" s="211"/>
      <c r="BD616" s="211"/>
      <c r="BE616" s="84"/>
      <c r="BF616" s="211"/>
      <c r="BG616" s="451"/>
    </row>
    <row r="617" spans="1:59" ht="12.75">
      <c r="A617" s="211"/>
      <c r="B617" s="449"/>
      <c r="C617" s="450"/>
      <c r="D617" s="211"/>
      <c r="E617" s="211"/>
      <c r="F617" s="211"/>
      <c r="G617" s="84"/>
      <c r="H617" s="211"/>
      <c r="I617" s="211"/>
      <c r="J617" s="211"/>
      <c r="K617" s="211"/>
      <c r="L617" s="84"/>
      <c r="M617" s="211"/>
      <c r="N617" s="211"/>
      <c r="O617" s="211"/>
      <c r="P617" s="211"/>
      <c r="Q617" s="84"/>
      <c r="R617" s="211"/>
      <c r="S617" s="211"/>
      <c r="T617" s="211"/>
      <c r="U617" s="211"/>
      <c r="V617" s="84"/>
      <c r="W617" s="211"/>
      <c r="X617" s="211"/>
      <c r="Y617" s="211"/>
      <c r="Z617" s="211"/>
      <c r="AA617" s="84"/>
      <c r="AB617" s="146"/>
      <c r="AC617" s="211"/>
      <c r="AD617" s="211"/>
      <c r="AE617" s="211"/>
      <c r="AF617" s="84"/>
      <c r="AG617" s="146"/>
      <c r="AH617" s="211"/>
      <c r="AI617" s="211"/>
      <c r="AJ617" s="211"/>
      <c r="AK617" s="84"/>
      <c r="AL617" s="146"/>
      <c r="AM617" s="211"/>
      <c r="AN617" s="211"/>
      <c r="AO617" s="211"/>
      <c r="AP617" s="436"/>
      <c r="AQ617" s="146"/>
      <c r="AR617" s="211"/>
      <c r="AS617" s="211"/>
      <c r="AT617" s="211"/>
      <c r="AU617" s="84"/>
      <c r="AV617" s="211"/>
      <c r="AW617" s="211"/>
      <c r="AX617" s="211"/>
      <c r="AY617" s="211"/>
      <c r="AZ617" s="84"/>
      <c r="BA617" s="211"/>
      <c r="BB617" s="211"/>
      <c r="BC617" s="211"/>
      <c r="BD617" s="211"/>
      <c r="BE617" s="84"/>
      <c r="BF617" s="211"/>
      <c r="BG617" s="451"/>
    </row>
    <row r="618" spans="1:59" ht="12.75">
      <c r="A618" s="211"/>
      <c r="B618" s="449"/>
      <c r="C618" s="450"/>
      <c r="D618" s="211"/>
      <c r="E618" s="211"/>
      <c r="F618" s="211"/>
      <c r="G618" s="84"/>
      <c r="H618" s="211"/>
      <c r="I618" s="211"/>
      <c r="J618" s="211"/>
      <c r="K618" s="211"/>
      <c r="L618" s="84"/>
      <c r="M618" s="211"/>
      <c r="N618" s="211"/>
      <c r="O618" s="211"/>
      <c r="P618" s="211"/>
      <c r="Q618" s="84"/>
      <c r="R618" s="211"/>
      <c r="S618" s="211"/>
      <c r="T618" s="211"/>
      <c r="U618" s="211"/>
      <c r="V618" s="84"/>
      <c r="W618" s="211"/>
      <c r="X618" s="211"/>
      <c r="Y618" s="211"/>
      <c r="Z618" s="211"/>
      <c r="AA618" s="84"/>
      <c r="AB618" s="146"/>
      <c r="AC618" s="211"/>
      <c r="AD618" s="211"/>
      <c r="AE618" s="211"/>
      <c r="AF618" s="84"/>
      <c r="AG618" s="146"/>
      <c r="AH618" s="211"/>
      <c r="AI618" s="211"/>
      <c r="AJ618" s="211"/>
      <c r="AK618" s="84"/>
      <c r="AL618" s="146"/>
      <c r="AM618" s="211"/>
      <c r="AN618" s="211"/>
      <c r="AO618" s="211"/>
      <c r="AP618" s="436"/>
      <c r="AQ618" s="146"/>
      <c r="AR618" s="211"/>
      <c r="AS618" s="211"/>
      <c r="AT618" s="211"/>
      <c r="AU618" s="84"/>
      <c r="AV618" s="211"/>
      <c r="AW618" s="211"/>
      <c r="AX618" s="211"/>
      <c r="AY618" s="211"/>
      <c r="AZ618" s="84"/>
      <c r="BA618" s="211"/>
      <c r="BB618" s="211"/>
      <c r="BC618" s="211"/>
      <c r="BD618" s="211"/>
      <c r="BE618" s="84"/>
      <c r="BF618" s="211"/>
      <c r="BG618" s="451"/>
    </row>
    <row r="619" spans="1:59" ht="12.75">
      <c r="A619" s="211"/>
      <c r="B619" s="449"/>
      <c r="C619" s="450"/>
      <c r="D619" s="211"/>
      <c r="E619" s="211"/>
      <c r="F619" s="211"/>
      <c r="G619" s="84"/>
      <c r="H619" s="211"/>
      <c r="I619" s="211"/>
      <c r="J619" s="211"/>
      <c r="K619" s="211"/>
      <c r="L619" s="84"/>
      <c r="M619" s="211"/>
      <c r="N619" s="211"/>
      <c r="O619" s="211"/>
      <c r="P619" s="211"/>
      <c r="Q619" s="84"/>
      <c r="R619" s="211"/>
      <c r="S619" s="211"/>
      <c r="T619" s="211"/>
      <c r="U619" s="211"/>
      <c r="V619" s="84"/>
      <c r="W619" s="211"/>
      <c r="X619" s="211"/>
      <c r="Y619" s="211"/>
      <c r="Z619" s="211"/>
      <c r="AA619" s="84"/>
      <c r="AB619" s="146"/>
      <c r="AC619" s="211"/>
      <c r="AD619" s="211"/>
      <c r="AE619" s="211"/>
      <c r="AF619" s="84"/>
      <c r="AG619" s="146"/>
      <c r="AH619" s="211"/>
      <c r="AI619" s="211"/>
      <c r="AJ619" s="211"/>
      <c r="AK619" s="84"/>
      <c r="AL619" s="146"/>
      <c r="AM619" s="211"/>
      <c r="AN619" s="211"/>
      <c r="AO619" s="211"/>
      <c r="AP619" s="436"/>
      <c r="AQ619" s="146"/>
      <c r="AR619" s="211"/>
      <c r="AS619" s="211"/>
      <c r="AT619" s="211"/>
      <c r="AU619" s="84"/>
      <c r="AV619" s="211"/>
      <c r="AW619" s="211"/>
      <c r="AX619" s="211"/>
      <c r="AY619" s="211"/>
      <c r="AZ619" s="84"/>
      <c r="BA619" s="211"/>
      <c r="BB619" s="211"/>
      <c r="BC619" s="211"/>
      <c r="BD619" s="211"/>
      <c r="BE619" s="84"/>
      <c r="BF619" s="211"/>
      <c r="BG619" s="451"/>
    </row>
    <row r="620" spans="1:59" ht="12.75">
      <c r="A620" s="211"/>
      <c r="B620" s="449"/>
      <c r="C620" s="450"/>
      <c r="D620" s="211"/>
      <c r="E620" s="211"/>
      <c r="F620" s="211"/>
      <c r="G620" s="84"/>
      <c r="H620" s="211"/>
      <c r="I620" s="211"/>
      <c r="J620" s="211"/>
      <c r="K620" s="211"/>
      <c r="L620" s="84"/>
      <c r="M620" s="211"/>
      <c r="N620" s="211"/>
      <c r="O620" s="211"/>
      <c r="P620" s="211"/>
      <c r="Q620" s="84"/>
      <c r="R620" s="211"/>
      <c r="S620" s="211"/>
      <c r="T620" s="211"/>
      <c r="U620" s="211"/>
      <c r="V620" s="84"/>
      <c r="W620" s="211"/>
      <c r="X620" s="211"/>
      <c r="Y620" s="211"/>
      <c r="Z620" s="211"/>
      <c r="AA620" s="84"/>
      <c r="AB620" s="146"/>
      <c r="AC620" s="211"/>
      <c r="AD620" s="211"/>
      <c r="AE620" s="211"/>
      <c r="AF620" s="84"/>
      <c r="AG620" s="146"/>
      <c r="AH620" s="211"/>
      <c r="AI620" s="211"/>
      <c r="AJ620" s="211"/>
      <c r="AK620" s="84"/>
      <c r="AL620" s="146"/>
      <c r="AM620" s="211"/>
      <c r="AN620" s="211"/>
      <c r="AO620" s="211"/>
      <c r="AP620" s="436"/>
      <c r="AQ620" s="146"/>
      <c r="AR620" s="211"/>
      <c r="AS620" s="211"/>
      <c r="AT620" s="211"/>
      <c r="AU620" s="84"/>
      <c r="AV620" s="211"/>
      <c r="AW620" s="211"/>
      <c r="AX620" s="211"/>
      <c r="AY620" s="211"/>
      <c r="AZ620" s="84"/>
      <c r="BA620" s="211"/>
      <c r="BB620" s="211"/>
      <c r="BC620" s="211"/>
      <c r="BD620" s="211"/>
      <c r="BE620" s="84"/>
      <c r="BF620" s="211"/>
      <c r="BG620" s="451"/>
    </row>
    <row r="621" spans="1:59" ht="12.75">
      <c r="A621" s="211"/>
      <c r="B621" s="449"/>
      <c r="C621" s="450"/>
      <c r="D621" s="211"/>
      <c r="E621" s="211"/>
      <c r="F621" s="211"/>
      <c r="G621" s="84"/>
      <c r="H621" s="211"/>
      <c r="I621" s="211"/>
      <c r="J621" s="211"/>
      <c r="K621" s="211"/>
      <c r="L621" s="84"/>
      <c r="M621" s="211"/>
      <c r="N621" s="211"/>
      <c r="O621" s="211"/>
      <c r="P621" s="211"/>
      <c r="Q621" s="84"/>
      <c r="R621" s="211"/>
      <c r="S621" s="211"/>
      <c r="T621" s="211"/>
      <c r="U621" s="211"/>
      <c r="V621" s="84"/>
      <c r="W621" s="211"/>
      <c r="X621" s="211"/>
      <c r="Y621" s="211"/>
      <c r="Z621" s="211"/>
      <c r="AA621" s="84"/>
      <c r="AB621" s="146"/>
      <c r="AC621" s="211"/>
      <c r="AD621" s="211"/>
      <c r="AE621" s="211"/>
      <c r="AF621" s="84"/>
      <c r="AG621" s="146"/>
      <c r="AH621" s="211"/>
      <c r="AI621" s="211"/>
      <c r="AJ621" s="211"/>
      <c r="AK621" s="84"/>
      <c r="AL621" s="146"/>
      <c r="AM621" s="211"/>
      <c r="AN621" s="211"/>
      <c r="AO621" s="211"/>
      <c r="AP621" s="436"/>
      <c r="AQ621" s="146"/>
      <c r="AR621" s="211"/>
      <c r="AS621" s="211"/>
      <c r="AT621" s="211"/>
      <c r="AU621" s="84"/>
      <c r="AV621" s="211"/>
      <c r="AW621" s="211"/>
      <c r="AX621" s="211"/>
      <c r="AY621" s="211"/>
      <c r="AZ621" s="84"/>
      <c r="BA621" s="211"/>
      <c r="BB621" s="211"/>
      <c r="BC621" s="211"/>
      <c r="BD621" s="211"/>
      <c r="BE621" s="84"/>
      <c r="BF621" s="211"/>
      <c r="BG621" s="451"/>
    </row>
    <row r="622" spans="1:59" ht="12.75">
      <c r="A622" s="211"/>
      <c r="B622" s="449"/>
      <c r="C622" s="450"/>
      <c r="D622" s="211"/>
      <c r="E622" s="211"/>
      <c r="F622" s="211"/>
      <c r="G622" s="84"/>
      <c r="H622" s="211"/>
      <c r="I622" s="211"/>
      <c r="J622" s="211"/>
      <c r="K622" s="211"/>
      <c r="L622" s="84"/>
      <c r="M622" s="211"/>
      <c r="N622" s="211"/>
      <c r="O622" s="211"/>
      <c r="P622" s="211"/>
      <c r="Q622" s="84"/>
      <c r="R622" s="211"/>
      <c r="S622" s="211"/>
      <c r="T622" s="211"/>
      <c r="U622" s="211"/>
      <c r="V622" s="84"/>
      <c r="W622" s="211"/>
      <c r="X622" s="211"/>
      <c r="Y622" s="211"/>
      <c r="Z622" s="211"/>
      <c r="AA622" s="84"/>
      <c r="AB622" s="146"/>
      <c r="AC622" s="211"/>
      <c r="AD622" s="211"/>
      <c r="AE622" s="211"/>
      <c r="AF622" s="84"/>
      <c r="AG622" s="146"/>
      <c r="AH622" s="211"/>
      <c r="AI622" s="211"/>
      <c r="AJ622" s="211"/>
      <c r="AK622" s="84"/>
      <c r="AL622" s="146"/>
      <c r="AM622" s="211"/>
      <c r="AN622" s="211"/>
      <c r="AO622" s="211"/>
      <c r="AP622" s="436"/>
      <c r="AQ622" s="146"/>
      <c r="AR622" s="211"/>
      <c r="AS622" s="211"/>
      <c r="AT622" s="211"/>
      <c r="AU622" s="84"/>
      <c r="AV622" s="211"/>
      <c r="AW622" s="211"/>
      <c r="AX622" s="211"/>
      <c r="AY622" s="211"/>
      <c r="AZ622" s="84"/>
      <c r="BA622" s="211"/>
      <c r="BB622" s="211"/>
      <c r="BC622" s="211"/>
      <c r="BD622" s="211"/>
      <c r="BE622" s="84"/>
      <c r="BF622" s="211"/>
      <c r="BG622" s="451"/>
    </row>
    <row r="623" spans="1:59" ht="12.75">
      <c r="A623" s="211"/>
      <c r="B623" s="449"/>
      <c r="C623" s="450"/>
      <c r="D623" s="211"/>
      <c r="E623" s="211"/>
      <c r="F623" s="211"/>
      <c r="G623" s="84"/>
      <c r="H623" s="211"/>
      <c r="I623" s="211"/>
      <c r="J623" s="211"/>
      <c r="K623" s="211"/>
      <c r="L623" s="84"/>
      <c r="M623" s="211"/>
      <c r="N623" s="211"/>
      <c r="O623" s="211"/>
      <c r="P623" s="211"/>
      <c r="Q623" s="84"/>
      <c r="R623" s="211"/>
      <c r="S623" s="211"/>
      <c r="T623" s="211"/>
      <c r="U623" s="211"/>
      <c r="V623" s="84"/>
      <c r="W623" s="211"/>
      <c r="X623" s="211"/>
      <c r="Y623" s="211"/>
      <c r="Z623" s="211"/>
      <c r="AA623" s="84"/>
      <c r="AB623" s="146"/>
      <c r="AC623" s="211"/>
      <c r="AD623" s="211"/>
      <c r="AE623" s="211"/>
      <c r="AF623" s="84"/>
      <c r="AG623" s="146"/>
      <c r="AH623" s="211"/>
      <c r="AI623" s="211"/>
      <c r="AJ623" s="211"/>
      <c r="AK623" s="84"/>
      <c r="AL623" s="146"/>
      <c r="AM623" s="211"/>
      <c r="AN623" s="211"/>
      <c r="AO623" s="211"/>
      <c r="AP623" s="436"/>
      <c r="AQ623" s="146"/>
      <c r="AR623" s="211"/>
      <c r="AS623" s="211"/>
      <c r="AT623" s="211"/>
      <c r="AU623" s="84"/>
      <c r="AV623" s="211"/>
      <c r="AW623" s="211"/>
      <c r="AX623" s="211"/>
      <c r="AY623" s="211"/>
      <c r="AZ623" s="84"/>
      <c r="BA623" s="211"/>
      <c r="BB623" s="211"/>
      <c r="BC623" s="211"/>
      <c r="BD623" s="211"/>
      <c r="BE623" s="84"/>
      <c r="BF623" s="211"/>
      <c r="BG623" s="451"/>
    </row>
    <row r="624" spans="1:59" ht="12.75">
      <c r="A624" s="211"/>
      <c r="B624" s="449"/>
      <c r="C624" s="450"/>
      <c r="D624" s="211"/>
      <c r="E624" s="211"/>
      <c r="F624" s="211"/>
      <c r="G624" s="84"/>
      <c r="H624" s="211"/>
      <c r="I624" s="211"/>
      <c r="J624" s="211"/>
      <c r="K624" s="211"/>
      <c r="L624" s="84"/>
      <c r="M624" s="211"/>
      <c r="N624" s="211"/>
      <c r="O624" s="211"/>
      <c r="P624" s="211"/>
      <c r="Q624" s="84"/>
      <c r="R624" s="211"/>
      <c r="S624" s="211"/>
      <c r="T624" s="211"/>
      <c r="U624" s="211"/>
      <c r="V624" s="84"/>
      <c r="W624" s="211"/>
      <c r="X624" s="211"/>
      <c r="Y624" s="211"/>
      <c r="Z624" s="211"/>
      <c r="AA624" s="84"/>
      <c r="AB624" s="146"/>
      <c r="AC624" s="211"/>
      <c r="AD624" s="211"/>
      <c r="AE624" s="211"/>
      <c r="AF624" s="84"/>
      <c r="AG624" s="146"/>
      <c r="AH624" s="211"/>
      <c r="AI624" s="211"/>
      <c r="AJ624" s="211"/>
      <c r="AK624" s="84"/>
      <c r="AL624" s="146"/>
      <c r="AM624" s="211"/>
      <c r="AN624" s="211"/>
      <c r="AO624" s="211"/>
      <c r="AP624" s="436"/>
      <c r="AQ624" s="146"/>
      <c r="AR624" s="211"/>
      <c r="AS624" s="211"/>
      <c r="AT624" s="211"/>
      <c r="AU624" s="84"/>
      <c r="AV624" s="211"/>
      <c r="AW624" s="211"/>
      <c r="AX624" s="211"/>
      <c r="AY624" s="211"/>
      <c r="AZ624" s="84"/>
      <c r="BA624" s="211"/>
      <c r="BB624" s="211"/>
      <c r="BC624" s="211"/>
      <c r="BD624" s="211"/>
      <c r="BE624" s="84"/>
      <c r="BF624" s="211"/>
      <c r="BG624" s="451"/>
    </row>
    <row r="625" spans="1:59" ht="12.75">
      <c r="A625" s="211"/>
      <c r="B625" s="449"/>
      <c r="C625" s="450"/>
      <c r="D625" s="211"/>
      <c r="E625" s="211"/>
      <c r="F625" s="211"/>
      <c r="G625" s="84"/>
      <c r="H625" s="211"/>
      <c r="I625" s="211"/>
      <c r="J625" s="211"/>
      <c r="K625" s="211"/>
      <c r="L625" s="84"/>
      <c r="M625" s="211"/>
      <c r="N625" s="211"/>
      <c r="O625" s="211"/>
      <c r="P625" s="211"/>
      <c r="Q625" s="84"/>
      <c r="R625" s="211"/>
      <c r="S625" s="211"/>
      <c r="T625" s="211"/>
      <c r="U625" s="211"/>
      <c r="V625" s="84"/>
      <c r="W625" s="211"/>
      <c r="X625" s="211"/>
      <c r="Y625" s="211"/>
      <c r="Z625" s="211"/>
      <c r="AA625" s="84"/>
      <c r="AB625" s="146"/>
      <c r="AC625" s="211"/>
      <c r="AD625" s="211"/>
      <c r="AE625" s="211"/>
      <c r="AF625" s="84"/>
      <c r="AG625" s="146"/>
      <c r="AH625" s="211"/>
      <c r="AI625" s="211"/>
      <c r="AJ625" s="211"/>
      <c r="AK625" s="84"/>
      <c r="AL625" s="146"/>
      <c r="AM625" s="211"/>
      <c r="AN625" s="211"/>
      <c r="AO625" s="211"/>
      <c r="AP625" s="436"/>
      <c r="AQ625" s="146"/>
      <c r="AR625" s="211"/>
      <c r="AS625" s="211"/>
      <c r="AT625" s="211"/>
      <c r="AU625" s="84"/>
      <c r="AV625" s="211"/>
      <c r="AW625" s="211"/>
      <c r="AX625" s="211"/>
      <c r="AY625" s="211"/>
      <c r="AZ625" s="84"/>
      <c r="BA625" s="211"/>
      <c r="BB625" s="211"/>
      <c r="BC625" s="211"/>
      <c r="BD625" s="211"/>
      <c r="BE625" s="84"/>
      <c r="BF625" s="211"/>
      <c r="BG625" s="451"/>
    </row>
    <row r="626" spans="1:59" ht="12.75">
      <c r="A626" s="211"/>
      <c r="B626" s="449"/>
      <c r="C626" s="450"/>
      <c r="D626" s="211"/>
      <c r="E626" s="211"/>
      <c r="F626" s="211"/>
      <c r="G626" s="84"/>
      <c r="H626" s="211"/>
      <c r="I626" s="211"/>
      <c r="J626" s="211"/>
      <c r="K626" s="211"/>
      <c r="L626" s="84"/>
      <c r="M626" s="211"/>
      <c r="N626" s="211"/>
      <c r="O626" s="211"/>
      <c r="P626" s="211"/>
      <c r="Q626" s="84"/>
      <c r="R626" s="211"/>
      <c r="S626" s="211"/>
      <c r="T626" s="211"/>
      <c r="U626" s="211"/>
      <c r="V626" s="84"/>
      <c r="W626" s="211"/>
      <c r="X626" s="211"/>
      <c r="Y626" s="211"/>
      <c r="Z626" s="211"/>
      <c r="AA626" s="84"/>
      <c r="AB626" s="146"/>
      <c r="AC626" s="211"/>
      <c r="AD626" s="211"/>
      <c r="AE626" s="211"/>
      <c r="AF626" s="84"/>
      <c r="AG626" s="146"/>
      <c r="AH626" s="211"/>
      <c r="AI626" s="211"/>
      <c r="AJ626" s="211"/>
      <c r="AK626" s="84"/>
      <c r="AL626" s="146"/>
      <c r="AM626" s="211"/>
      <c r="AN626" s="211"/>
      <c r="AO626" s="211"/>
      <c r="AP626" s="436"/>
      <c r="AQ626" s="146"/>
      <c r="AR626" s="211"/>
      <c r="AS626" s="211"/>
      <c r="AT626" s="211"/>
      <c r="AU626" s="84"/>
      <c r="AV626" s="211"/>
      <c r="AW626" s="211"/>
      <c r="AX626" s="211"/>
      <c r="AY626" s="211"/>
      <c r="AZ626" s="84"/>
      <c r="BA626" s="211"/>
      <c r="BB626" s="211"/>
      <c r="BC626" s="211"/>
      <c r="BD626" s="211"/>
      <c r="BE626" s="84"/>
      <c r="BF626" s="211"/>
      <c r="BG626" s="451"/>
    </row>
    <row r="627" spans="1:59" ht="12.75">
      <c r="A627" s="211"/>
      <c r="B627" s="449"/>
      <c r="C627" s="450"/>
      <c r="D627" s="211"/>
      <c r="E627" s="211"/>
      <c r="F627" s="211"/>
      <c r="G627" s="84"/>
      <c r="H627" s="211"/>
      <c r="I627" s="211"/>
      <c r="J627" s="211"/>
      <c r="K627" s="211"/>
      <c r="L627" s="84"/>
      <c r="M627" s="211"/>
      <c r="N627" s="211"/>
      <c r="O627" s="211"/>
      <c r="P627" s="211"/>
      <c r="Q627" s="84"/>
      <c r="R627" s="211"/>
      <c r="S627" s="211"/>
      <c r="T627" s="211"/>
      <c r="U627" s="211"/>
      <c r="V627" s="84"/>
      <c r="W627" s="211"/>
      <c r="X627" s="211"/>
      <c r="Y627" s="211"/>
      <c r="Z627" s="211"/>
      <c r="AA627" s="84"/>
      <c r="AB627" s="146"/>
      <c r="AC627" s="211"/>
      <c r="AD627" s="211"/>
      <c r="AE627" s="211"/>
      <c r="AF627" s="84"/>
      <c r="AG627" s="146"/>
      <c r="AH627" s="211"/>
      <c r="AI627" s="211"/>
      <c r="AJ627" s="211"/>
      <c r="AK627" s="84"/>
      <c r="AL627" s="146"/>
      <c r="AM627" s="211"/>
      <c r="AN627" s="211"/>
      <c r="AO627" s="211"/>
      <c r="AP627" s="436"/>
      <c r="AQ627" s="146"/>
      <c r="AR627" s="211"/>
      <c r="AS627" s="211"/>
      <c r="AT627" s="211"/>
      <c r="AU627" s="84"/>
      <c r="AV627" s="211"/>
      <c r="AW627" s="211"/>
      <c r="AX627" s="211"/>
      <c r="AY627" s="211"/>
      <c r="AZ627" s="84"/>
      <c r="BA627" s="211"/>
      <c r="BB627" s="211"/>
      <c r="BC627" s="211"/>
      <c r="BD627" s="211"/>
      <c r="BE627" s="84"/>
      <c r="BF627" s="211"/>
      <c r="BG627" s="451"/>
    </row>
    <row r="628" spans="1:59" ht="12.75">
      <c r="A628" s="211"/>
      <c r="B628" s="449"/>
      <c r="C628" s="450"/>
      <c r="D628" s="211"/>
      <c r="E628" s="211"/>
      <c r="F628" s="211"/>
      <c r="G628" s="84"/>
      <c r="H628" s="211"/>
      <c r="I628" s="211"/>
      <c r="J628" s="211"/>
      <c r="K628" s="211"/>
      <c r="L628" s="84"/>
      <c r="M628" s="211"/>
      <c r="N628" s="211"/>
      <c r="O628" s="211"/>
      <c r="P628" s="211"/>
      <c r="Q628" s="84"/>
      <c r="R628" s="211"/>
      <c r="S628" s="211"/>
      <c r="T628" s="211"/>
      <c r="U628" s="211"/>
      <c r="V628" s="84"/>
      <c r="W628" s="211"/>
      <c r="X628" s="211"/>
      <c r="Y628" s="211"/>
      <c r="Z628" s="211"/>
      <c r="AA628" s="84"/>
      <c r="AB628" s="146"/>
      <c r="AC628" s="211"/>
      <c r="AD628" s="211"/>
      <c r="AE628" s="211"/>
      <c r="AF628" s="84"/>
      <c r="AG628" s="146"/>
      <c r="AH628" s="211"/>
      <c r="AI628" s="211"/>
      <c r="AJ628" s="211"/>
      <c r="AK628" s="84"/>
      <c r="AL628" s="146"/>
      <c r="AM628" s="211"/>
      <c r="AN628" s="211"/>
      <c r="AO628" s="211"/>
      <c r="AP628" s="436"/>
      <c r="AQ628" s="146"/>
      <c r="AR628" s="211"/>
      <c r="AS628" s="211"/>
      <c r="AT628" s="211"/>
      <c r="AU628" s="84"/>
      <c r="AV628" s="211"/>
      <c r="AW628" s="211"/>
      <c r="AX628" s="211"/>
      <c r="AY628" s="211"/>
      <c r="AZ628" s="84"/>
      <c r="BA628" s="211"/>
      <c r="BB628" s="211"/>
      <c r="BC628" s="211"/>
      <c r="BD628" s="211"/>
      <c r="BE628" s="84"/>
      <c r="BF628" s="211"/>
      <c r="BG628" s="451"/>
    </row>
    <row r="629" spans="1:59" ht="12.75">
      <c r="A629" s="211"/>
      <c r="B629" s="449"/>
      <c r="C629" s="450"/>
      <c r="D629" s="211"/>
      <c r="E629" s="211"/>
      <c r="F629" s="211"/>
      <c r="G629" s="84"/>
      <c r="H629" s="211"/>
      <c r="I629" s="211"/>
      <c r="J629" s="211"/>
      <c r="K629" s="211"/>
      <c r="L629" s="84"/>
      <c r="M629" s="211"/>
      <c r="N629" s="211"/>
      <c r="O629" s="211"/>
      <c r="P629" s="211"/>
      <c r="Q629" s="84"/>
      <c r="R629" s="211"/>
      <c r="S629" s="211"/>
      <c r="T629" s="211"/>
      <c r="U629" s="211"/>
      <c r="V629" s="84"/>
      <c r="W629" s="211"/>
      <c r="X629" s="211"/>
      <c r="Y629" s="211"/>
      <c r="Z629" s="211"/>
      <c r="AA629" s="84"/>
      <c r="AB629" s="146"/>
      <c r="AC629" s="211"/>
      <c r="AD629" s="211"/>
      <c r="AE629" s="211"/>
      <c r="AF629" s="84"/>
      <c r="AG629" s="146"/>
      <c r="AH629" s="211"/>
      <c r="AI629" s="211"/>
      <c r="AJ629" s="211"/>
      <c r="AK629" s="84"/>
      <c r="AL629" s="146"/>
      <c r="AM629" s="211"/>
      <c r="AN629" s="211"/>
      <c r="AO629" s="211"/>
      <c r="AP629" s="436"/>
      <c r="AQ629" s="146"/>
      <c r="AR629" s="211"/>
      <c r="AS629" s="211"/>
      <c r="AT629" s="211"/>
      <c r="AU629" s="84"/>
      <c r="AV629" s="211"/>
      <c r="AW629" s="211"/>
      <c r="AX629" s="211"/>
      <c r="AY629" s="211"/>
      <c r="AZ629" s="84"/>
      <c r="BA629" s="211"/>
      <c r="BB629" s="211"/>
      <c r="BC629" s="211"/>
      <c r="BD629" s="211"/>
      <c r="BE629" s="84"/>
      <c r="BF629" s="211"/>
      <c r="BG629" s="451"/>
    </row>
    <row r="630" spans="1:59" ht="12.75">
      <c r="A630" s="211"/>
      <c r="B630" s="449"/>
      <c r="C630" s="450"/>
      <c r="D630" s="211"/>
      <c r="E630" s="211"/>
      <c r="F630" s="211"/>
      <c r="G630" s="84"/>
      <c r="H630" s="211"/>
      <c r="I630" s="211"/>
      <c r="J630" s="211"/>
      <c r="K630" s="211"/>
      <c r="L630" s="84"/>
      <c r="M630" s="211"/>
      <c r="N630" s="211"/>
      <c r="O630" s="211"/>
      <c r="P630" s="211"/>
      <c r="Q630" s="84"/>
      <c r="R630" s="211"/>
      <c r="S630" s="211"/>
      <c r="T630" s="211"/>
      <c r="U630" s="211"/>
      <c r="V630" s="84"/>
      <c r="W630" s="211"/>
      <c r="X630" s="211"/>
      <c r="Y630" s="211"/>
      <c r="Z630" s="211"/>
      <c r="AA630" s="84"/>
      <c r="AB630" s="146"/>
      <c r="AC630" s="211"/>
      <c r="AD630" s="211"/>
      <c r="AE630" s="211"/>
      <c r="AF630" s="84"/>
      <c r="AG630" s="146"/>
      <c r="AH630" s="211"/>
      <c r="AI630" s="211"/>
      <c r="AJ630" s="211"/>
      <c r="AK630" s="84"/>
      <c r="AL630" s="146"/>
      <c r="AM630" s="211"/>
      <c r="AN630" s="211"/>
      <c r="AO630" s="211"/>
      <c r="AP630" s="436"/>
      <c r="AQ630" s="146"/>
      <c r="AR630" s="211"/>
      <c r="AS630" s="211"/>
      <c r="AT630" s="211"/>
      <c r="AU630" s="84"/>
      <c r="AV630" s="211"/>
      <c r="AW630" s="211"/>
      <c r="AX630" s="211"/>
      <c r="AY630" s="211"/>
      <c r="AZ630" s="84"/>
      <c r="BA630" s="211"/>
      <c r="BB630" s="211"/>
      <c r="BC630" s="211"/>
      <c r="BD630" s="211"/>
      <c r="BE630" s="84"/>
      <c r="BF630" s="211"/>
      <c r="BG630" s="451"/>
    </row>
    <row r="631" spans="1:59" ht="12.75">
      <c r="A631" s="211"/>
      <c r="B631" s="449"/>
      <c r="C631" s="450"/>
      <c r="D631" s="211"/>
      <c r="E631" s="211"/>
      <c r="F631" s="211"/>
      <c r="G631" s="84"/>
      <c r="H631" s="211"/>
      <c r="I631" s="211"/>
      <c r="J631" s="211"/>
      <c r="K631" s="211"/>
      <c r="L631" s="84"/>
      <c r="M631" s="211"/>
      <c r="N631" s="211"/>
      <c r="O631" s="211"/>
      <c r="P631" s="211"/>
      <c r="Q631" s="84"/>
      <c r="R631" s="211"/>
      <c r="S631" s="211"/>
      <c r="T631" s="211"/>
      <c r="U631" s="211"/>
      <c r="V631" s="84"/>
      <c r="W631" s="211"/>
      <c r="X631" s="211"/>
      <c r="Y631" s="211"/>
      <c r="Z631" s="211"/>
      <c r="AA631" s="84"/>
      <c r="AB631" s="146"/>
      <c r="AC631" s="211"/>
      <c r="AD631" s="211"/>
      <c r="AE631" s="211"/>
      <c r="AF631" s="84"/>
      <c r="AG631" s="146"/>
      <c r="AH631" s="211"/>
      <c r="AI631" s="211"/>
      <c r="AJ631" s="211"/>
      <c r="AK631" s="84"/>
      <c r="AL631" s="146"/>
      <c r="AM631" s="211"/>
      <c r="AN631" s="211"/>
      <c r="AO631" s="211"/>
      <c r="AP631" s="436"/>
      <c r="AQ631" s="146"/>
      <c r="AR631" s="211"/>
      <c r="AS631" s="211"/>
      <c r="AT631" s="211"/>
      <c r="AU631" s="84"/>
      <c r="AV631" s="211"/>
      <c r="AW631" s="211"/>
      <c r="AX631" s="211"/>
      <c r="AY631" s="211"/>
      <c r="AZ631" s="84"/>
      <c r="BA631" s="211"/>
      <c r="BB631" s="211"/>
      <c r="BC631" s="211"/>
      <c r="BD631" s="211"/>
      <c r="BE631" s="84"/>
      <c r="BF631" s="211"/>
      <c r="BG631" s="451"/>
    </row>
    <row r="632" spans="1:59" ht="12.75">
      <c r="A632" s="211"/>
      <c r="B632" s="449"/>
      <c r="C632" s="450"/>
      <c r="D632" s="211"/>
      <c r="E632" s="211"/>
      <c r="F632" s="211"/>
      <c r="G632" s="84"/>
      <c r="H632" s="211"/>
      <c r="I632" s="211"/>
      <c r="J632" s="211"/>
      <c r="K632" s="211"/>
      <c r="L632" s="84"/>
      <c r="M632" s="211"/>
      <c r="N632" s="211"/>
      <c r="O632" s="211"/>
      <c r="P632" s="211"/>
      <c r="Q632" s="84"/>
      <c r="R632" s="211"/>
      <c r="S632" s="211"/>
      <c r="T632" s="211"/>
      <c r="U632" s="211"/>
      <c r="V632" s="84"/>
      <c r="W632" s="211"/>
      <c r="X632" s="211"/>
      <c r="Y632" s="211"/>
      <c r="Z632" s="211"/>
      <c r="AA632" s="84"/>
      <c r="AB632" s="146"/>
      <c r="AC632" s="211"/>
      <c r="AD632" s="211"/>
      <c r="AE632" s="211"/>
      <c r="AF632" s="84"/>
      <c r="AG632" s="146"/>
      <c r="AH632" s="211"/>
      <c r="AI632" s="211"/>
      <c r="AJ632" s="211"/>
      <c r="AK632" s="84"/>
      <c r="AL632" s="146"/>
      <c r="AM632" s="211"/>
      <c r="AN632" s="211"/>
      <c r="AO632" s="211"/>
      <c r="AP632" s="436"/>
      <c r="AQ632" s="146"/>
      <c r="AR632" s="211"/>
      <c r="AS632" s="211"/>
      <c r="AT632" s="211"/>
      <c r="AU632" s="84"/>
      <c r="AV632" s="211"/>
      <c r="AW632" s="211"/>
      <c r="AX632" s="211"/>
      <c r="AY632" s="211"/>
      <c r="AZ632" s="84"/>
      <c r="BA632" s="211"/>
      <c r="BB632" s="211"/>
      <c r="BC632" s="211"/>
      <c r="BD632" s="211"/>
      <c r="BE632" s="84"/>
      <c r="BF632" s="211"/>
      <c r="BG632" s="451"/>
    </row>
    <row r="633" spans="1:59" ht="12.75">
      <c r="A633" s="211"/>
      <c r="B633" s="449"/>
      <c r="C633" s="450"/>
      <c r="D633" s="211"/>
      <c r="E633" s="211"/>
      <c r="F633" s="211"/>
      <c r="G633" s="84"/>
      <c r="H633" s="211"/>
      <c r="I633" s="211"/>
      <c r="J633" s="211"/>
      <c r="K633" s="211"/>
      <c r="L633" s="84"/>
      <c r="M633" s="211"/>
      <c r="N633" s="211"/>
      <c r="O633" s="211"/>
      <c r="P633" s="211"/>
      <c r="Q633" s="84"/>
      <c r="R633" s="211"/>
      <c r="S633" s="211"/>
      <c r="T633" s="211"/>
      <c r="U633" s="211"/>
      <c r="V633" s="84"/>
      <c r="W633" s="211"/>
      <c r="X633" s="211"/>
      <c r="Y633" s="211"/>
      <c r="Z633" s="211"/>
      <c r="AA633" s="84"/>
      <c r="AB633" s="146"/>
      <c r="AC633" s="211"/>
      <c r="AD633" s="211"/>
      <c r="AE633" s="211"/>
      <c r="AF633" s="84"/>
      <c r="AG633" s="146"/>
      <c r="AH633" s="211"/>
      <c r="AI633" s="211"/>
      <c r="AJ633" s="211"/>
      <c r="AK633" s="84"/>
      <c r="AL633" s="146"/>
      <c r="AM633" s="211"/>
      <c r="AN633" s="211"/>
      <c r="AO633" s="211"/>
      <c r="AP633" s="436"/>
      <c r="AQ633" s="146"/>
      <c r="AR633" s="211"/>
      <c r="AS633" s="211"/>
      <c r="AT633" s="211"/>
      <c r="AU633" s="84"/>
      <c r="AV633" s="211"/>
      <c r="AW633" s="211"/>
      <c r="AX633" s="211"/>
      <c r="AY633" s="211"/>
      <c r="AZ633" s="84"/>
      <c r="BA633" s="211"/>
      <c r="BB633" s="211"/>
      <c r="BC633" s="211"/>
      <c r="BD633" s="211"/>
      <c r="BE633" s="84"/>
      <c r="BF633" s="211"/>
      <c r="BG633" s="451"/>
    </row>
    <row r="634" spans="1:59" ht="12.75">
      <c r="A634" s="211"/>
      <c r="B634" s="449"/>
      <c r="C634" s="450"/>
      <c r="D634" s="211"/>
      <c r="E634" s="211"/>
      <c r="F634" s="211"/>
      <c r="G634" s="84"/>
      <c r="H634" s="211"/>
      <c r="I634" s="211"/>
      <c r="J634" s="211"/>
      <c r="K634" s="211"/>
      <c r="L634" s="84"/>
      <c r="M634" s="211"/>
      <c r="N634" s="211"/>
      <c r="O634" s="211"/>
      <c r="P634" s="211"/>
      <c r="Q634" s="84"/>
      <c r="R634" s="211"/>
      <c r="S634" s="211"/>
      <c r="T634" s="211"/>
      <c r="U634" s="211"/>
      <c r="V634" s="84"/>
      <c r="W634" s="211"/>
      <c r="X634" s="211"/>
      <c r="Y634" s="211"/>
      <c r="Z634" s="211"/>
      <c r="AA634" s="84"/>
      <c r="AB634" s="146"/>
      <c r="AC634" s="211"/>
      <c r="AD634" s="211"/>
      <c r="AE634" s="211"/>
      <c r="AF634" s="84"/>
      <c r="AG634" s="146"/>
      <c r="AH634" s="211"/>
      <c r="AI634" s="211"/>
      <c r="AJ634" s="211"/>
      <c r="AK634" s="84"/>
      <c r="AL634" s="146"/>
      <c r="AM634" s="211"/>
      <c r="AN634" s="211"/>
      <c r="AO634" s="211"/>
      <c r="AP634" s="436"/>
      <c r="AQ634" s="146"/>
      <c r="AR634" s="211"/>
      <c r="AS634" s="211"/>
      <c r="AT634" s="211"/>
      <c r="AU634" s="84"/>
      <c r="AV634" s="211"/>
      <c r="AW634" s="211"/>
      <c r="AX634" s="211"/>
      <c r="AY634" s="211"/>
      <c r="AZ634" s="84"/>
      <c r="BA634" s="211"/>
      <c r="BB634" s="211"/>
      <c r="BC634" s="211"/>
      <c r="BD634" s="211"/>
      <c r="BE634" s="84"/>
      <c r="BF634" s="211"/>
      <c r="BG634" s="451"/>
    </row>
    <row r="635" spans="1:59" ht="12.75">
      <c r="A635" s="211"/>
      <c r="B635" s="449"/>
      <c r="C635" s="450"/>
      <c r="D635" s="211"/>
      <c r="E635" s="211"/>
      <c r="F635" s="211"/>
      <c r="G635" s="84"/>
      <c r="H635" s="211"/>
      <c r="I635" s="211"/>
      <c r="J635" s="211"/>
      <c r="K635" s="211"/>
      <c r="L635" s="84"/>
      <c r="M635" s="211"/>
      <c r="N635" s="211"/>
      <c r="O635" s="211"/>
      <c r="P635" s="211"/>
      <c r="Q635" s="84"/>
      <c r="R635" s="211"/>
      <c r="S635" s="211"/>
      <c r="T635" s="211"/>
      <c r="U635" s="211"/>
      <c r="V635" s="84"/>
      <c r="W635" s="211"/>
      <c r="X635" s="211"/>
      <c r="Y635" s="211"/>
      <c r="Z635" s="211"/>
      <c r="AA635" s="84"/>
      <c r="AB635" s="146"/>
      <c r="AC635" s="211"/>
      <c r="AD635" s="211"/>
      <c r="AE635" s="211"/>
      <c r="AF635" s="84"/>
      <c r="AG635" s="146"/>
      <c r="AH635" s="211"/>
      <c r="AI635" s="211"/>
      <c r="AJ635" s="211"/>
      <c r="AK635" s="84"/>
      <c r="AL635" s="146"/>
      <c r="AM635" s="211"/>
      <c r="AN635" s="211"/>
      <c r="AO635" s="211"/>
      <c r="AP635" s="436"/>
      <c r="AQ635" s="146"/>
      <c r="AR635" s="211"/>
      <c r="AS635" s="211"/>
      <c r="AT635" s="211"/>
      <c r="AU635" s="84"/>
      <c r="AV635" s="211"/>
      <c r="AW635" s="211"/>
      <c r="AX635" s="211"/>
      <c r="AY635" s="211"/>
      <c r="AZ635" s="84"/>
      <c r="BA635" s="211"/>
      <c r="BB635" s="211"/>
      <c r="BC635" s="211"/>
      <c r="BD635" s="211"/>
      <c r="BE635" s="84"/>
      <c r="BF635" s="211"/>
      <c r="BG635" s="451"/>
    </row>
    <row r="636" spans="1:59" ht="12.75">
      <c r="A636" s="211"/>
      <c r="B636" s="449"/>
      <c r="C636" s="450"/>
      <c r="D636" s="211"/>
      <c r="E636" s="211"/>
      <c r="F636" s="211"/>
      <c r="G636" s="84"/>
      <c r="H636" s="211"/>
      <c r="I636" s="211"/>
      <c r="J636" s="211"/>
      <c r="K636" s="211"/>
      <c r="L636" s="84"/>
      <c r="M636" s="211"/>
      <c r="N636" s="211"/>
      <c r="O636" s="211"/>
      <c r="P636" s="211"/>
      <c r="Q636" s="84"/>
      <c r="R636" s="211"/>
      <c r="S636" s="211"/>
      <c r="T636" s="211"/>
      <c r="U636" s="211"/>
      <c r="V636" s="84"/>
      <c r="W636" s="211"/>
      <c r="X636" s="211"/>
      <c r="Y636" s="211"/>
      <c r="Z636" s="211"/>
      <c r="AA636" s="84"/>
      <c r="AB636" s="146"/>
      <c r="AC636" s="211"/>
      <c r="AD636" s="211"/>
      <c r="AE636" s="211"/>
      <c r="AF636" s="84"/>
      <c r="AG636" s="146"/>
      <c r="AH636" s="211"/>
      <c r="AI636" s="211"/>
      <c r="AJ636" s="211"/>
      <c r="AK636" s="84"/>
      <c r="AL636" s="146"/>
      <c r="AM636" s="211"/>
      <c r="AN636" s="211"/>
      <c r="AO636" s="211"/>
      <c r="AP636" s="436"/>
      <c r="AQ636" s="146"/>
      <c r="AR636" s="211"/>
      <c r="AS636" s="211"/>
      <c r="AT636" s="211"/>
      <c r="AU636" s="84"/>
      <c r="AV636" s="211"/>
      <c r="AW636" s="211"/>
      <c r="AX636" s="211"/>
      <c r="AY636" s="211"/>
      <c r="AZ636" s="84"/>
      <c r="BA636" s="211"/>
      <c r="BB636" s="211"/>
      <c r="BC636" s="211"/>
      <c r="BD636" s="211"/>
      <c r="BE636" s="84"/>
      <c r="BF636" s="211"/>
      <c r="BG636" s="451"/>
    </row>
    <row r="637" spans="1:59" ht="12.75">
      <c r="A637" s="211"/>
      <c r="B637" s="449"/>
      <c r="C637" s="450"/>
      <c r="D637" s="211"/>
      <c r="E637" s="211"/>
      <c r="F637" s="211"/>
      <c r="G637" s="84"/>
      <c r="H637" s="211"/>
      <c r="I637" s="211"/>
      <c r="J637" s="211"/>
      <c r="K637" s="211"/>
      <c r="L637" s="84"/>
      <c r="M637" s="211"/>
      <c r="N637" s="211"/>
      <c r="O637" s="211"/>
      <c r="P637" s="211"/>
      <c r="Q637" s="84"/>
      <c r="R637" s="211"/>
      <c r="S637" s="211"/>
      <c r="T637" s="211"/>
      <c r="U637" s="211"/>
      <c r="V637" s="84"/>
      <c r="W637" s="211"/>
      <c r="X637" s="211"/>
      <c r="Y637" s="211"/>
      <c r="Z637" s="211"/>
      <c r="AA637" s="84"/>
      <c r="AB637" s="146"/>
      <c r="AC637" s="211"/>
      <c r="AD637" s="211"/>
      <c r="AE637" s="211"/>
      <c r="AF637" s="84"/>
      <c r="AG637" s="146"/>
      <c r="AH637" s="211"/>
      <c r="AI637" s="211"/>
      <c r="AJ637" s="211"/>
      <c r="AK637" s="84"/>
      <c r="AL637" s="146"/>
      <c r="AM637" s="211"/>
      <c r="AN637" s="211"/>
      <c r="AO637" s="211"/>
      <c r="AP637" s="436"/>
      <c r="AQ637" s="146"/>
      <c r="AR637" s="211"/>
      <c r="AS637" s="211"/>
      <c r="AT637" s="211"/>
      <c r="AU637" s="84"/>
      <c r="AV637" s="211"/>
      <c r="AW637" s="211"/>
      <c r="AX637" s="211"/>
      <c r="AY637" s="211"/>
      <c r="AZ637" s="84"/>
      <c r="BA637" s="211"/>
      <c r="BB637" s="211"/>
      <c r="BC637" s="211"/>
      <c r="BD637" s="211"/>
      <c r="BE637" s="84"/>
      <c r="BF637" s="211"/>
      <c r="BG637" s="451"/>
    </row>
    <row r="638" spans="1:59" ht="12.75">
      <c r="A638" s="211"/>
      <c r="B638" s="449"/>
      <c r="C638" s="450"/>
      <c r="D638" s="211"/>
      <c r="E638" s="211"/>
      <c r="F638" s="211"/>
      <c r="G638" s="84"/>
      <c r="H638" s="211"/>
      <c r="I638" s="211"/>
      <c r="J638" s="211"/>
      <c r="K638" s="211"/>
      <c r="L638" s="84"/>
      <c r="M638" s="211"/>
      <c r="N638" s="211"/>
      <c r="O638" s="211"/>
      <c r="P638" s="211"/>
      <c r="Q638" s="84"/>
      <c r="R638" s="211"/>
      <c r="S638" s="211"/>
      <c r="T638" s="211"/>
      <c r="U638" s="211"/>
      <c r="V638" s="84"/>
      <c r="W638" s="211"/>
      <c r="X638" s="211"/>
      <c r="Y638" s="211"/>
      <c r="Z638" s="211"/>
      <c r="AA638" s="84"/>
      <c r="AB638" s="146"/>
      <c r="AC638" s="211"/>
      <c r="AD638" s="211"/>
      <c r="AE638" s="211"/>
      <c r="AF638" s="84"/>
      <c r="AG638" s="146"/>
      <c r="AH638" s="211"/>
      <c r="AI638" s="211"/>
      <c r="AJ638" s="211"/>
      <c r="AK638" s="84"/>
      <c r="AL638" s="146"/>
      <c r="AM638" s="211"/>
      <c r="AN638" s="211"/>
      <c r="AO638" s="211"/>
      <c r="AP638" s="436"/>
      <c r="AQ638" s="146"/>
      <c r="AR638" s="211"/>
      <c r="AS638" s="211"/>
      <c r="AT638" s="211"/>
      <c r="AU638" s="84"/>
      <c r="AV638" s="211"/>
      <c r="AW638" s="211"/>
      <c r="AX638" s="211"/>
      <c r="AY638" s="211"/>
      <c r="AZ638" s="84"/>
      <c r="BA638" s="211"/>
      <c r="BB638" s="211"/>
      <c r="BC638" s="211"/>
      <c r="BD638" s="211"/>
      <c r="BE638" s="84"/>
      <c r="BF638" s="211"/>
      <c r="BG638" s="451"/>
    </row>
    <row r="639" spans="1:59" ht="12.75">
      <c r="A639" s="211"/>
      <c r="B639" s="449"/>
      <c r="C639" s="450"/>
      <c r="D639" s="211"/>
      <c r="E639" s="211"/>
      <c r="F639" s="211"/>
      <c r="G639" s="84"/>
      <c r="H639" s="211"/>
      <c r="I639" s="211"/>
      <c r="J639" s="211"/>
      <c r="K639" s="211"/>
      <c r="L639" s="84"/>
      <c r="M639" s="211"/>
      <c r="N639" s="211"/>
      <c r="O639" s="211"/>
      <c r="P639" s="211"/>
      <c r="Q639" s="84"/>
      <c r="R639" s="211"/>
      <c r="S639" s="211"/>
      <c r="T639" s="211"/>
      <c r="U639" s="211"/>
      <c r="V639" s="84"/>
      <c r="W639" s="211"/>
      <c r="X639" s="211"/>
      <c r="Y639" s="211"/>
      <c r="Z639" s="211"/>
      <c r="AA639" s="84"/>
      <c r="AB639" s="146"/>
      <c r="AC639" s="211"/>
      <c r="AD639" s="211"/>
      <c r="AE639" s="211"/>
      <c r="AF639" s="84"/>
      <c r="AG639" s="146"/>
      <c r="AH639" s="211"/>
      <c r="AI639" s="211"/>
      <c r="AJ639" s="211"/>
      <c r="AK639" s="84"/>
      <c r="AL639" s="146"/>
      <c r="AM639" s="211"/>
      <c r="AN639" s="211"/>
      <c r="AO639" s="211"/>
      <c r="AP639" s="436"/>
      <c r="AQ639" s="146"/>
      <c r="AR639" s="211"/>
      <c r="AS639" s="211"/>
      <c r="AT639" s="211"/>
      <c r="AU639" s="84"/>
      <c r="AV639" s="211"/>
      <c r="AW639" s="211"/>
      <c r="AX639" s="211"/>
      <c r="AY639" s="211"/>
      <c r="AZ639" s="84"/>
      <c r="BA639" s="211"/>
      <c r="BB639" s="211"/>
      <c r="BC639" s="211"/>
      <c r="BD639" s="211"/>
      <c r="BE639" s="84"/>
      <c r="BF639" s="211"/>
      <c r="BG639" s="451"/>
    </row>
    <row r="640" spans="1:59" ht="12.75">
      <c r="A640" s="211"/>
      <c r="B640" s="449"/>
      <c r="C640" s="450"/>
      <c r="D640" s="211"/>
      <c r="E640" s="211"/>
      <c r="F640" s="211"/>
      <c r="G640" s="84"/>
      <c r="H640" s="211"/>
      <c r="I640" s="211"/>
      <c r="J640" s="211"/>
      <c r="K640" s="211"/>
      <c r="L640" s="84"/>
      <c r="M640" s="211"/>
      <c r="N640" s="211"/>
      <c r="O640" s="211"/>
      <c r="P640" s="211"/>
      <c r="Q640" s="84"/>
      <c r="R640" s="211"/>
      <c r="S640" s="211"/>
      <c r="T640" s="211"/>
      <c r="U640" s="211"/>
      <c r="V640" s="84"/>
      <c r="W640" s="211"/>
      <c r="X640" s="211"/>
      <c r="Y640" s="211"/>
      <c r="Z640" s="211"/>
      <c r="AA640" s="84"/>
      <c r="AB640" s="146"/>
      <c r="AC640" s="211"/>
      <c r="AD640" s="211"/>
      <c r="AE640" s="211"/>
      <c r="AF640" s="84"/>
      <c r="AG640" s="146"/>
      <c r="AH640" s="211"/>
      <c r="AI640" s="211"/>
      <c r="AJ640" s="211"/>
      <c r="AK640" s="84"/>
      <c r="AL640" s="146"/>
      <c r="AM640" s="211"/>
      <c r="AN640" s="211"/>
      <c r="AO640" s="211"/>
      <c r="AP640" s="436"/>
      <c r="AQ640" s="146"/>
      <c r="AR640" s="211"/>
      <c r="AS640" s="211"/>
      <c r="AT640" s="211"/>
      <c r="AU640" s="84"/>
      <c r="AV640" s="211"/>
      <c r="AW640" s="211"/>
      <c r="AX640" s="211"/>
      <c r="AY640" s="211"/>
      <c r="AZ640" s="84"/>
      <c r="BA640" s="211"/>
      <c r="BB640" s="211"/>
      <c r="BC640" s="211"/>
      <c r="BD640" s="211"/>
      <c r="BE640" s="84"/>
      <c r="BF640" s="211"/>
      <c r="BG640" s="451"/>
    </row>
    <row r="641" spans="1:59" ht="12.75">
      <c r="A641" s="211"/>
      <c r="B641" s="449"/>
      <c r="C641" s="450"/>
      <c r="D641" s="211"/>
      <c r="E641" s="211"/>
      <c r="F641" s="211"/>
      <c r="G641" s="84"/>
      <c r="H641" s="211"/>
      <c r="I641" s="211"/>
      <c r="J641" s="211"/>
      <c r="K641" s="211"/>
      <c r="L641" s="84"/>
      <c r="M641" s="211"/>
      <c r="N641" s="211"/>
      <c r="O641" s="211"/>
      <c r="P641" s="211"/>
      <c r="Q641" s="84"/>
      <c r="R641" s="211"/>
      <c r="S641" s="211"/>
      <c r="T641" s="211"/>
      <c r="U641" s="211"/>
      <c r="V641" s="84"/>
      <c r="W641" s="211"/>
      <c r="X641" s="211"/>
      <c r="Y641" s="211"/>
      <c r="Z641" s="211"/>
      <c r="AA641" s="84"/>
      <c r="AB641" s="146"/>
      <c r="AC641" s="211"/>
      <c r="AD641" s="211"/>
      <c r="AE641" s="211"/>
      <c r="AF641" s="84"/>
      <c r="AG641" s="146"/>
      <c r="AH641" s="211"/>
      <c r="AI641" s="211"/>
      <c r="AJ641" s="211"/>
      <c r="AK641" s="84"/>
      <c r="AL641" s="146"/>
      <c r="AM641" s="211"/>
      <c r="AN641" s="211"/>
      <c r="AO641" s="211"/>
      <c r="AP641" s="436"/>
      <c r="AQ641" s="146"/>
      <c r="AR641" s="211"/>
      <c r="AS641" s="211"/>
      <c r="AT641" s="211"/>
      <c r="AU641" s="84"/>
      <c r="AV641" s="211"/>
      <c r="AW641" s="211"/>
      <c r="AX641" s="211"/>
      <c r="AY641" s="211"/>
      <c r="AZ641" s="84"/>
      <c r="BA641" s="211"/>
      <c r="BB641" s="211"/>
      <c r="BC641" s="211"/>
      <c r="BD641" s="211"/>
      <c r="BE641" s="84"/>
      <c r="BF641" s="211"/>
      <c r="BG641" s="451"/>
    </row>
    <row r="642" spans="1:59" ht="12.75">
      <c r="A642" s="211"/>
      <c r="B642" s="449"/>
      <c r="C642" s="450"/>
      <c r="D642" s="211"/>
      <c r="E642" s="211"/>
      <c r="F642" s="211"/>
      <c r="G642" s="84"/>
      <c r="H642" s="211"/>
      <c r="I642" s="211"/>
      <c r="J642" s="211"/>
      <c r="K642" s="211"/>
      <c r="L642" s="84"/>
      <c r="M642" s="211"/>
      <c r="N642" s="211"/>
      <c r="O642" s="211"/>
      <c r="P642" s="211"/>
      <c r="Q642" s="84"/>
      <c r="R642" s="211"/>
      <c r="S642" s="211"/>
      <c r="T642" s="211"/>
      <c r="U642" s="211"/>
      <c r="V642" s="84"/>
      <c r="W642" s="211"/>
      <c r="X642" s="211"/>
      <c r="Y642" s="211"/>
      <c r="Z642" s="211"/>
      <c r="AA642" s="84"/>
      <c r="AB642" s="146"/>
      <c r="AC642" s="211"/>
      <c r="AD642" s="211"/>
      <c r="AE642" s="211"/>
      <c r="AF642" s="84"/>
      <c r="AG642" s="146"/>
      <c r="AH642" s="211"/>
      <c r="AI642" s="211"/>
      <c r="AJ642" s="211"/>
      <c r="AK642" s="84"/>
      <c r="AL642" s="146"/>
      <c r="AM642" s="211"/>
      <c r="AN642" s="211"/>
      <c r="AO642" s="211"/>
      <c r="AP642" s="436"/>
      <c r="AQ642" s="146"/>
      <c r="AR642" s="211"/>
      <c r="AS642" s="211"/>
      <c r="AT642" s="211"/>
      <c r="AU642" s="84"/>
      <c r="AV642" s="211"/>
      <c r="AW642" s="211"/>
      <c r="AX642" s="211"/>
      <c r="AY642" s="211"/>
      <c r="AZ642" s="84"/>
      <c r="BA642" s="211"/>
      <c r="BB642" s="211"/>
      <c r="BC642" s="211"/>
      <c r="BD642" s="211"/>
      <c r="BE642" s="84"/>
      <c r="BF642" s="211"/>
      <c r="BG642" s="451"/>
    </row>
    <row r="643" spans="1:59" ht="12.75">
      <c r="A643" s="211"/>
      <c r="B643" s="449"/>
      <c r="C643" s="450"/>
      <c r="D643" s="211"/>
      <c r="E643" s="211"/>
      <c r="F643" s="211"/>
      <c r="G643" s="84"/>
      <c r="H643" s="211"/>
      <c r="I643" s="211"/>
      <c r="J643" s="211"/>
      <c r="K643" s="211"/>
      <c r="L643" s="84"/>
      <c r="M643" s="211"/>
      <c r="N643" s="211"/>
      <c r="O643" s="211"/>
      <c r="P643" s="211"/>
      <c r="Q643" s="84"/>
      <c r="R643" s="211"/>
      <c r="S643" s="211"/>
      <c r="T643" s="211"/>
      <c r="U643" s="211"/>
      <c r="V643" s="84"/>
      <c r="W643" s="211"/>
      <c r="X643" s="211"/>
      <c r="Y643" s="211"/>
      <c r="Z643" s="211"/>
      <c r="AA643" s="84"/>
      <c r="AB643" s="146"/>
      <c r="AC643" s="211"/>
      <c r="AD643" s="211"/>
      <c r="AE643" s="211"/>
      <c r="AF643" s="84"/>
      <c r="AG643" s="146"/>
      <c r="AH643" s="211"/>
      <c r="AI643" s="211"/>
      <c r="AJ643" s="211"/>
      <c r="AK643" s="84"/>
      <c r="AL643" s="146"/>
      <c r="AM643" s="211"/>
      <c r="AN643" s="211"/>
      <c r="AO643" s="211"/>
      <c r="AP643" s="436"/>
      <c r="AQ643" s="146"/>
      <c r="AR643" s="211"/>
      <c r="AS643" s="211"/>
      <c r="AT643" s="211"/>
      <c r="AU643" s="84"/>
      <c r="AV643" s="211"/>
      <c r="AW643" s="211"/>
      <c r="AX643" s="211"/>
      <c r="AY643" s="211"/>
      <c r="AZ643" s="84"/>
      <c r="BA643" s="211"/>
      <c r="BB643" s="211"/>
      <c r="BC643" s="211"/>
      <c r="BD643" s="211"/>
      <c r="BE643" s="84"/>
      <c r="BF643" s="211"/>
      <c r="BG643" s="451"/>
    </row>
    <row r="644" spans="1:59" ht="12.75">
      <c r="A644" s="211"/>
      <c r="B644" s="449"/>
      <c r="C644" s="450"/>
      <c r="D644" s="211"/>
      <c r="E644" s="211"/>
      <c r="F644" s="211"/>
      <c r="G644" s="84"/>
      <c r="H644" s="211"/>
      <c r="I644" s="211"/>
      <c r="J644" s="211"/>
      <c r="K644" s="211"/>
      <c r="L644" s="84"/>
      <c r="M644" s="211"/>
      <c r="N644" s="211"/>
      <c r="O644" s="211"/>
      <c r="P644" s="211"/>
      <c r="Q644" s="84"/>
      <c r="R644" s="211"/>
      <c r="S644" s="211"/>
      <c r="T644" s="211"/>
      <c r="U644" s="211"/>
      <c r="V644" s="84"/>
      <c r="W644" s="211"/>
      <c r="X644" s="211"/>
      <c r="Y644" s="211"/>
      <c r="Z644" s="211"/>
      <c r="AA644" s="84"/>
      <c r="AB644" s="146"/>
      <c r="AC644" s="211"/>
      <c r="AD644" s="211"/>
      <c r="AE644" s="211"/>
      <c r="AF644" s="84"/>
      <c r="AG644" s="146"/>
      <c r="AH644" s="211"/>
      <c r="AI644" s="211"/>
      <c r="AJ644" s="211"/>
      <c r="AK644" s="84"/>
      <c r="AL644" s="146"/>
      <c r="AM644" s="211"/>
      <c r="AN644" s="211"/>
      <c r="AO644" s="211"/>
      <c r="AP644" s="436"/>
      <c r="AQ644" s="146"/>
      <c r="AR644" s="211"/>
      <c r="AS644" s="211"/>
      <c r="AT644" s="211"/>
      <c r="AU644" s="84"/>
      <c r="AV644" s="211"/>
      <c r="AW644" s="211"/>
      <c r="AX644" s="211"/>
      <c r="AY644" s="211"/>
      <c r="AZ644" s="84"/>
      <c r="BA644" s="211"/>
      <c r="BB644" s="211"/>
      <c r="BC644" s="211"/>
      <c r="BD644" s="211"/>
      <c r="BE644" s="84"/>
      <c r="BF644" s="211"/>
      <c r="BG644" s="451"/>
    </row>
    <row r="645" spans="1:59" ht="12.75">
      <c r="A645" s="211"/>
      <c r="B645" s="449"/>
      <c r="C645" s="450"/>
      <c r="D645" s="211"/>
      <c r="E645" s="211"/>
      <c r="F645" s="211"/>
      <c r="G645" s="84"/>
      <c r="H645" s="211"/>
      <c r="I645" s="211"/>
      <c r="J645" s="211"/>
      <c r="K645" s="211"/>
      <c r="L645" s="84"/>
      <c r="M645" s="211"/>
      <c r="N645" s="211"/>
      <c r="O645" s="211"/>
      <c r="P645" s="211"/>
      <c r="Q645" s="84"/>
      <c r="R645" s="211"/>
      <c r="S645" s="211"/>
      <c r="T645" s="211"/>
      <c r="U645" s="211"/>
      <c r="V645" s="84"/>
      <c r="W645" s="211"/>
      <c r="X645" s="211"/>
      <c r="Y645" s="211"/>
      <c r="Z645" s="211"/>
      <c r="AA645" s="84"/>
      <c r="AB645" s="146"/>
      <c r="AC645" s="211"/>
      <c r="AD645" s="211"/>
      <c r="AE645" s="211"/>
      <c r="AF645" s="84"/>
      <c r="AG645" s="146"/>
      <c r="AH645" s="211"/>
      <c r="AI645" s="211"/>
      <c r="AJ645" s="211"/>
      <c r="AK645" s="84"/>
      <c r="AL645" s="146"/>
      <c r="AM645" s="211"/>
      <c r="AN645" s="211"/>
      <c r="AO645" s="211"/>
      <c r="AP645" s="436"/>
      <c r="AQ645" s="146"/>
      <c r="AR645" s="211"/>
      <c r="AS645" s="211"/>
      <c r="AT645" s="211"/>
      <c r="AU645" s="84"/>
      <c r="AV645" s="211"/>
      <c r="AW645" s="211"/>
      <c r="AX645" s="211"/>
      <c r="AY645" s="211"/>
      <c r="AZ645" s="84"/>
      <c r="BA645" s="211"/>
      <c r="BB645" s="211"/>
      <c r="BC645" s="211"/>
      <c r="BD645" s="211"/>
      <c r="BE645" s="84"/>
      <c r="BF645" s="211"/>
      <c r="BG645" s="451"/>
    </row>
    <row r="646" spans="1:59" ht="12.75">
      <c r="A646" s="211"/>
      <c r="B646" s="449"/>
      <c r="C646" s="450"/>
      <c r="D646" s="211"/>
      <c r="E646" s="211"/>
      <c r="F646" s="211"/>
      <c r="G646" s="84"/>
      <c r="H646" s="211"/>
      <c r="I646" s="211"/>
      <c r="J646" s="211"/>
      <c r="K646" s="211"/>
      <c r="L646" s="84"/>
      <c r="M646" s="211"/>
      <c r="N646" s="211"/>
      <c r="O646" s="211"/>
      <c r="P646" s="211"/>
      <c r="Q646" s="84"/>
      <c r="R646" s="211"/>
      <c r="S646" s="211"/>
      <c r="T646" s="211"/>
      <c r="U646" s="211"/>
      <c r="V646" s="84"/>
      <c r="W646" s="211"/>
      <c r="X646" s="211"/>
      <c r="Y646" s="211"/>
      <c r="Z646" s="211"/>
      <c r="AA646" s="84"/>
      <c r="AB646" s="146"/>
      <c r="AC646" s="211"/>
      <c r="AD646" s="211"/>
      <c r="AE646" s="211"/>
      <c r="AF646" s="84"/>
      <c r="AG646" s="146"/>
      <c r="AH646" s="211"/>
      <c r="AI646" s="211"/>
      <c r="AJ646" s="211"/>
      <c r="AK646" s="84"/>
      <c r="AL646" s="146"/>
      <c r="AM646" s="211"/>
      <c r="AN646" s="211"/>
      <c r="AO646" s="211"/>
      <c r="AP646" s="436"/>
      <c r="AQ646" s="146"/>
      <c r="AR646" s="211"/>
      <c r="AS646" s="211"/>
      <c r="AT646" s="211"/>
      <c r="AU646" s="84"/>
      <c r="AV646" s="211"/>
      <c r="AW646" s="211"/>
      <c r="AX646" s="211"/>
      <c r="AY646" s="211"/>
      <c r="AZ646" s="84"/>
      <c r="BA646" s="211"/>
      <c r="BB646" s="211"/>
      <c r="BC646" s="211"/>
      <c r="BD646" s="211"/>
      <c r="BE646" s="84"/>
      <c r="BF646" s="211"/>
      <c r="BG646" s="451"/>
    </row>
    <row r="647" spans="1:59" ht="12.75">
      <c r="A647" s="211"/>
      <c r="B647" s="449"/>
      <c r="C647" s="450"/>
      <c r="D647" s="211"/>
      <c r="E647" s="211"/>
      <c r="F647" s="211"/>
      <c r="G647" s="84"/>
      <c r="H647" s="211"/>
      <c r="I647" s="211"/>
      <c r="J647" s="211"/>
      <c r="K647" s="211"/>
      <c r="L647" s="84"/>
      <c r="M647" s="211"/>
      <c r="N647" s="211"/>
      <c r="O647" s="211"/>
      <c r="P647" s="211"/>
      <c r="Q647" s="84"/>
      <c r="R647" s="211"/>
      <c r="S647" s="211"/>
      <c r="T647" s="211"/>
      <c r="U647" s="211"/>
      <c r="V647" s="84"/>
      <c r="W647" s="211"/>
      <c r="X647" s="211"/>
      <c r="Y647" s="211"/>
      <c r="Z647" s="211"/>
      <c r="AA647" s="84"/>
      <c r="AB647" s="146"/>
      <c r="AC647" s="211"/>
      <c r="AD647" s="211"/>
      <c r="AE647" s="211"/>
      <c r="AF647" s="84"/>
      <c r="AG647" s="146"/>
      <c r="AH647" s="211"/>
      <c r="AI647" s="211"/>
      <c r="AJ647" s="211"/>
      <c r="AK647" s="84"/>
      <c r="AL647" s="146"/>
      <c r="AM647" s="211"/>
      <c r="AN647" s="211"/>
      <c r="AO647" s="211"/>
      <c r="AP647" s="436"/>
      <c r="AQ647" s="146"/>
      <c r="AR647" s="211"/>
      <c r="AS647" s="211"/>
      <c r="AT647" s="211"/>
      <c r="AU647" s="84"/>
      <c r="AV647" s="211"/>
      <c r="AW647" s="211"/>
      <c r="AX647" s="211"/>
      <c r="AY647" s="211"/>
      <c r="AZ647" s="84"/>
      <c r="BA647" s="211"/>
      <c r="BB647" s="211"/>
      <c r="BC647" s="211"/>
      <c r="BD647" s="211"/>
      <c r="BE647" s="84"/>
      <c r="BF647" s="211"/>
      <c r="BG647" s="451"/>
    </row>
    <row r="648" spans="1:59" ht="12.75">
      <c r="A648" s="211"/>
      <c r="B648" s="449"/>
      <c r="C648" s="450"/>
      <c r="D648" s="211"/>
      <c r="E648" s="211"/>
      <c r="F648" s="211"/>
      <c r="G648" s="84"/>
      <c r="H648" s="211"/>
      <c r="I648" s="211"/>
      <c r="J648" s="211"/>
      <c r="K648" s="211"/>
      <c r="L648" s="84"/>
      <c r="M648" s="211"/>
      <c r="N648" s="211"/>
      <c r="O648" s="211"/>
      <c r="P648" s="211"/>
      <c r="Q648" s="84"/>
      <c r="R648" s="211"/>
      <c r="S648" s="211"/>
      <c r="T648" s="211"/>
      <c r="U648" s="211"/>
      <c r="V648" s="84"/>
      <c r="W648" s="211"/>
      <c r="X648" s="211"/>
      <c r="Y648" s="211"/>
      <c r="Z648" s="211"/>
      <c r="AA648" s="84"/>
      <c r="AB648" s="146"/>
      <c r="AC648" s="211"/>
      <c r="AD648" s="211"/>
      <c r="AE648" s="211"/>
      <c r="AF648" s="84"/>
      <c r="AG648" s="146"/>
      <c r="AH648" s="211"/>
      <c r="AI648" s="211"/>
      <c r="AJ648" s="211"/>
      <c r="AK648" s="84"/>
      <c r="AL648" s="146"/>
      <c r="AM648" s="211"/>
      <c r="AN648" s="211"/>
      <c r="AO648" s="211"/>
      <c r="AP648" s="436"/>
      <c r="AQ648" s="146"/>
      <c r="AR648" s="211"/>
      <c r="AS648" s="211"/>
      <c r="AT648" s="211"/>
      <c r="AU648" s="84"/>
      <c r="AV648" s="211"/>
      <c r="AW648" s="211"/>
      <c r="AX648" s="211"/>
      <c r="AY648" s="211"/>
      <c r="AZ648" s="84"/>
      <c r="BA648" s="211"/>
      <c r="BB648" s="211"/>
      <c r="BC648" s="211"/>
      <c r="BD648" s="211"/>
      <c r="BE648" s="84"/>
      <c r="BF648" s="211"/>
      <c r="BG648" s="451"/>
    </row>
    <row r="649" spans="1:59" ht="12.75">
      <c r="A649" s="211"/>
      <c r="B649" s="449"/>
      <c r="C649" s="450"/>
      <c r="D649" s="211"/>
      <c r="E649" s="211"/>
      <c r="F649" s="211"/>
      <c r="G649" s="84"/>
      <c r="H649" s="211"/>
      <c r="I649" s="211"/>
      <c r="J649" s="211"/>
      <c r="K649" s="211"/>
      <c r="L649" s="84"/>
      <c r="M649" s="211"/>
      <c r="N649" s="211"/>
      <c r="O649" s="211"/>
      <c r="P649" s="211"/>
      <c r="Q649" s="84"/>
      <c r="R649" s="211"/>
      <c r="S649" s="211"/>
      <c r="T649" s="211"/>
      <c r="U649" s="211"/>
      <c r="V649" s="84"/>
      <c r="W649" s="211"/>
      <c r="X649" s="211"/>
      <c r="Y649" s="211"/>
      <c r="Z649" s="211"/>
      <c r="AA649" s="84"/>
      <c r="AB649" s="146"/>
      <c r="AC649" s="211"/>
      <c r="AD649" s="211"/>
      <c r="AE649" s="211"/>
      <c r="AF649" s="84"/>
      <c r="AG649" s="146"/>
      <c r="AH649" s="211"/>
      <c r="AI649" s="211"/>
      <c r="AJ649" s="211"/>
      <c r="AK649" s="84"/>
      <c r="AL649" s="146"/>
      <c r="AM649" s="211"/>
      <c r="AN649" s="211"/>
      <c r="AO649" s="211"/>
      <c r="AP649" s="436"/>
      <c r="AQ649" s="146"/>
      <c r="AR649" s="211"/>
      <c r="AS649" s="211"/>
      <c r="AT649" s="211"/>
      <c r="AU649" s="84"/>
      <c r="AV649" s="211"/>
      <c r="AW649" s="211"/>
      <c r="AX649" s="211"/>
      <c r="AY649" s="211"/>
      <c r="AZ649" s="84"/>
      <c r="BA649" s="211"/>
      <c r="BB649" s="211"/>
      <c r="BC649" s="211"/>
      <c r="BD649" s="211"/>
      <c r="BE649" s="84"/>
      <c r="BF649" s="211"/>
      <c r="BG649" s="451"/>
    </row>
    <row r="650" spans="1:59" ht="12.75">
      <c r="A650" s="211"/>
      <c r="B650" s="449"/>
      <c r="C650" s="450"/>
      <c r="D650" s="211"/>
      <c r="E650" s="211"/>
      <c r="F650" s="211"/>
      <c r="G650" s="84"/>
      <c r="H650" s="211"/>
      <c r="I650" s="211"/>
      <c r="J650" s="211"/>
      <c r="K650" s="211"/>
      <c r="L650" s="84"/>
      <c r="M650" s="211"/>
      <c r="N650" s="211"/>
      <c r="O650" s="211"/>
      <c r="P650" s="211"/>
      <c r="Q650" s="84"/>
      <c r="R650" s="211"/>
      <c r="S650" s="211"/>
      <c r="T650" s="211"/>
      <c r="U650" s="211"/>
      <c r="V650" s="84"/>
      <c r="W650" s="211"/>
      <c r="X650" s="211"/>
      <c r="Y650" s="211"/>
      <c r="Z650" s="211"/>
      <c r="AA650" s="84"/>
      <c r="AB650" s="146"/>
      <c r="AC650" s="211"/>
      <c r="AD650" s="211"/>
      <c r="AE650" s="211"/>
      <c r="AF650" s="84"/>
      <c r="AG650" s="146"/>
      <c r="AH650" s="211"/>
      <c r="AI650" s="211"/>
      <c r="AJ650" s="211"/>
      <c r="AK650" s="84"/>
      <c r="AL650" s="146"/>
      <c r="AM650" s="211"/>
      <c r="AN650" s="211"/>
      <c r="AO650" s="211"/>
      <c r="AP650" s="436"/>
      <c r="AQ650" s="146"/>
      <c r="AR650" s="211"/>
      <c r="AS650" s="211"/>
      <c r="AT650" s="211"/>
      <c r="AU650" s="84"/>
      <c r="AV650" s="211"/>
      <c r="AW650" s="211"/>
      <c r="AX650" s="211"/>
      <c r="AY650" s="211"/>
      <c r="AZ650" s="84"/>
      <c r="BA650" s="211"/>
      <c r="BB650" s="211"/>
      <c r="BC650" s="211"/>
      <c r="BD650" s="211"/>
      <c r="BE650" s="84"/>
      <c r="BF650" s="211"/>
      <c r="BG650" s="451"/>
    </row>
    <row r="651" spans="1:59" ht="12.75">
      <c r="A651" s="211"/>
      <c r="B651" s="449"/>
      <c r="C651" s="450"/>
      <c r="D651" s="211"/>
      <c r="E651" s="211"/>
      <c r="F651" s="211"/>
      <c r="G651" s="84"/>
      <c r="H651" s="211"/>
      <c r="I651" s="211"/>
      <c r="J651" s="211"/>
      <c r="K651" s="211"/>
      <c r="L651" s="84"/>
      <c r="M651" s="211"/>
      <c r="N651" s="211"/>
      <c r="O651" s="211"/>
      <c r="P651" s="211"/>
      <c r="Q651" s="84"/>
      <c r="R651" s="211"/>
      <c r="S651" s="211"/>
      <c r="T651" s="211"/>
      <c r="U651" s="211"/>
      <c r="V651" s="84"/>
      <c r="W651" s="211"/>
      <c r="X651" s="211"/>
      <c r="Y651" s="211"/>
      <c r="Z651" s="211"/>
      <c r="AA651" s="84"/>
      <c r="AB651" s="146"/>
      <c r="AC651" s="211"/>
      <c r="AD651" s="211"/>
      <c r="AE651" s="211"/>
      <c r="AF651" s="84"/>
      <c r="AG651" s="146"/>
      <c r="AH651" s="211"/>
      <c r="AI651" s="211"/>
      <c r="AJ651" s="211"/>
      <c r="AK651" s="84"/>
      <c r="AL651" s="146"/>
      <c r="AM651" s="211"/>
      <c r="AN651" s="211"/>
      <c r="AO651" s="211"/>
      <c r="AP651" s="436"/>
      <c r="AQ651" s="146"/>
      <c r="AR651" s="211"/>
      <c r="AS651" s="211"/>
      <c r="AT651" s="211"/>
      <c r="AU651" s="84"/>
      <c r="AV651" s="211"/>
      <c r="AW651" s="211"/>
      <c r="AX651" s="211"/>
      <c r="AY651" s="211"/>
      <c r="AZ651" s="84"/>
      <c r="BA651" s="211"/>
      <c r="BB651" s="211"/>
      <c r="BC651" s="211"/>
      <c r="BD651" s="211"/>
      <c r="BE651" s="84"/>
      <c r="BF651" s="211"/>
      <c r="BG651" s="451"/>
    </row>
    <row r="652" spans="1:59" ht="12.75">
      <c r="A652" s="211"/>
      <c r="B652" s="449"/>
      <c r="C652" s="450"/>
      <c r="D652" s="211"/>
      <c r="E652" s="211"/>
      <c r="F652" s="211"/>
      <c r="G652" s="84"/>
      <c r="H652" s="211"/>
      <c r="I652" s="211"/>
      <c r="J652" s="211"/>
      <c r="K652" s="211"/>
      <c r="L652" s="84"/>
      <c r="M652" s="211"/>
      <c r="N652" s="211"/>
      <c r="O652" s="211"/>
      <c r="P652" s="211"/>
      <c r="Q652" s="84"/>
      <c r="R652" s="211"/>
      <c r="S652" s="211"/>
      <c r="T652" s="211"/>
      <c r="U652" s="211"/>
      <c r="V652" s="84"/>
      <c r="W652" s="211"/>
      <c r="X652" s="211"/>
      <c r="Y652" s="211"/>
      <c r="Z652" s="211"/>
      <c r="AA652" s="84"/>
      <c r="AB652" s="146"/>
      <c r="AC652" s="211"/>
      <c r="AD652" s="211"/>
      <c r="AE652" s="211"/>
      <c r="AF652" s="84"/>
      <c r="AG652" s="146"/>
      <c r="AH652" s="211"/>
      <c r="AI652" s="211"/>
      <c r="AJ652" s="211"/>
      <c r="AK652" s="84"/>
      <c r="AL652" s="146"/>
      <c r="AM652" s="211"/>
      <c r="AN652" s="211"/>
      <c r="AO652" s="211"/>
      <c r="AP652" s="436"/>
      <c r="AQ652" s="146"/>
      <c r="AR652" s="211"/>
      <c r="AS652" s="211"/>
      <c r="AT652" s="211"/>
      <c r="AU652" s="84"/>
      <c r="AV652" s="211"/>
      <c r="AW652" s="211"/>
      <c r="AX652" s="211"/>
      <c r="AY652" s="211"/>
      <c r="AZ652" s="84"/>
      <c r="BA652" s="211"/>
      <c r="BB652" s="211"/>
      <c r="BC652" s="211"/>
      <c r="BD652" s="211"/>
      <c r="BE652" s="84"/>
      <c r="BF652" s="211"/>
      <c r="BG652" s="451"/>
    </row>
    <row r="653" spans="1:59" ht="12.75">
      <c r="A653" s="211"/>
      <c r="B653" s="449"/>
      <c r="C653" s="450"/>
      <c r="D653" s="211"/>
      <c r="E653" s="211"/>
      <c r="F653" s="211"/>
      <c r="G653" s="84"/>
      <c r="H653" s="211"/>
      <c r="I653" s="211"/>
      <c r="J653" s="211"/>
      <c r="K653" s="211"/>
      <c r="L653" s="84"/>
      <c r="M653" s="211"/>
      <c r="N653" s="211"/>
      <c r="O653" s="211"/>
      <c r="P653" s="211"/>
      <c r="Q653" s="84"/>
      <c r="R653" s="211"/>
      <c r="S653" s="211"/>
      <c r="T653" s="211"/>
      <c r="U653" s="211"/>
      <c r="V653" s="84"/>
      <c r="W653" s="211"/>
      <c r="X653" s="211"/>
      <c r="Y653" s="211"/>
      <c r="Z653" s="211"/>
      <c r="AA653" s="84"/>
      <c r="AB653" s="146"/>
      <c r="AC653" s="211"/>
      <c r="AD653" s="211"/>
      <c r="AE653" s="211"/>
      <c r="AF653" s="84"/>
      <c r="AG653" s="146"/>
      <c r="AH653" s="211"/>
      <c r="AI653" s="211"/>
      <c r="AJ653" s="211"/>
      <c r="AK653" s="84"/>
      <c r="AL653" s="146"/>
      <c r="AM653" s="211"/>
      <c r="AN653" s="211"/>
      <c r="AO653" s="211"/>
      <c r="AP653" s="436"/>
      <c r="AQ653" s="146"/>
      <c r="AR653" s="211"/>
      <c r="AS653" s="211"/>
      <c r="AT653" s="211"/>
      <c r="AU653" s="84"/>
      <c r="AV653" s="211"/>
      <c r="AW653" s="211"/>
      <c r="AX653" s="211"/>
      <c r="AY653" s="211"/>
      <c r="AZ653" s="84"/>
      <c r="BA653" s="211"/>
      <c r="BB653" s="211"/>
      <c r="BC653" s="211"/>
      <c r="BD653" s="211"/>
      <c r="BE653" s="84"/>
      <c r="BF653" s="211"/>
      <c r="BG653" s="451"/>
    </row>
    <row r="654" spans="1:59" ht="12.75">
      <c r="A654" s="211"/>
      <c r="B654" s="449"/>
      <c r="C654" s="450"/>
      <c r="D654" s="211"/>
      <c r="E654" s="211"/>
      <c r="F654" s="211"/>
      <c r="G654" s="84"/>
      <c r="H654" s="211"/>
      <c r="I654" s="211"/>
      <c r="J654" s="211"/>
      <c r="K654" s="211"/>
      <c r="L654" s="84"/>
      <c r="M654" s="211"/>
      <c r="N654" s="211"/>
      <c r="O654" s="211"/>
      <c r="P654" s="211"/>
      <c r="Q654" s="84"/>
      <c r="R654" s="211"/>
      <c r="S654" s="211"/>
      <c r="T654" s="211"/>
      <c r="U654" s="211"/>
      <c r="V654" s="84"/>
      <c r="W654" s="211"/>
      <c r="X654" s="211"/>
      <c r="Y654" s="211"/>
      <c r="Z654" s="211"/>
      <c r="AA654" s="84"/>
      <c r="AB654" s="146"/>
      <c r="AC654" s="211"/>
      <c r="AD654" s="211"/>
      <c r="AE654" s="211"/>
      <c r="AF654" s="84"/>
      <c r="AG654" s="146"/>
      <c r="AH654" s="211"/>
      <c r="AI654" s="211"/>
      <c r="AJ654" s="211"/>
      <c r="AK654" s="84"/>
      <c r="AL654" s="146"/>
      <c r="AM654" s="211"/>
      <c r="AN654" s="211"/>
      <c r="AO654" s="211"/>
      <c r="AP654" s="436"/>
      <c r="AQ654" s="146"/>
      <c r="AR654" s="211"/>
      <c r="AS654" s="211"/>
      <c r="AT654" s="211"/>
      <c r="AU654" s="84"/>
      <c r="AV654" s="211"/>
      <c r="AW654" s="211"/>
      <c r="AX654" s="211"/>
      <c r="AY654" s="211"/>
      <c r="AZ654" s="84"/>
      <c r="BA654" s="211"/>
      <c r="BB654" s="211"/>
      <c r="BC654" s="211"/>
      <c r="BD654" s="211"/>
      <c r="BE654" s="84"/>
      <c r="BF654" s="211"/>
      <c r="BG654" s="451"/>
    </row>
    <row r="655" spans="1:59" ht="12.75">
      <c r="A655" s="211"/>
      <c r="B655" s="449"/>
      <c r="C655" s="450"/>
      <c r="D655" s="211"/>
      <c r="E655" s="211"/>
      <c r="F655" s="211"/>
      <c r="G655" s="84"/>
      <c r="H655" s="211"/>
      <c r="I655" s="211"/>
      <c r="J655" s="211"/>
      <c r="K655" s="211"/>
      <c r="L655" s="84"/>
      <c r="M655" s="211"/>
      <c r="N655" s="211"/>
      <c r="O655" s="211"/>
      <c r="P655" s="211"/>
      <c r="Q655" s="84"/>
      <c r="R655" s="211"/>
      <c r="S655" s="211"/>
      <c r="T655" s="211"/>
      <c r="U655" s="211"/>
      <c r="V655" s="84"/>
      <c r="W655" s="211"/>
      <c r="X655" s="211"/>
      <c r="Y655" s="211"/>
      <c r="Z655" s="211"/>
      <c r="AA655" s="84"/>
      <c r="AB655" s="146"/>
      <c r="AC655" s="211"/>
      <c r="AD655" s="211"/>
      <c r="AE655" s="211"/>
      <c r="AF655" s="84"/>
      <c r="AG655" s="146"/>
      <c r="AH655" s="211"/>
      <c r="AI655" s="211"/>
      <c r="AJ655" s="211"/>
      <c r="AK655" s="84"/>
      <c r="AL655" s="146"/>
      <c r="AM655" s="211"/>
      <c r="AN655" s="211"/>
      <c r="AO655" s="211"/>
      <c r="AP655" s="436"/>
      <c r="AQ655" s="146"/>
      <c r="AR655" s="211"/>
      <c r="AS655" s="211"/>
      <c r="AT655" s="211"/>
      <c r="AU655" s="84"/>
      <c r="AV655" s="211"/>
      <c r="AW655" s="211"/>
      <c r="AX655" s="211"/>
      <c r="AY655" s="211"/>
      <c r="AZ655" s="84"/>
      <c r="BA655" s="211"/>
      <c r="BB655" s="211"/>
      <c r="BC655" s="211"/>
      <c r="BD655" s="211"/>
      <c r="BE655" s="84"/>
      <c r="BF655" s="211"/>
      <c r="BG655" s="451"/>
    </row>
    <row r="656" spans="1:59" ht="12.75">
      <c r="A656" s="211"/>
      <c r="B656" s="449"/>
      <c r="C656" s="450"/>
      <c r="D656" s="211"/>
      <c r="E656" s="211"/>
      <c r="F656" s="211"/>
      <c r="G656" s="84"/>
      <c r="H656" s="211"/>
      <c r="I656" s="211"/>
      <c r="J656" s="211"/>
      <c r="K656" s="211"/>
      <c r="L656" s="84"/>
      <c r="M656" s="211"/>
      <c r="N656" s="211"/>
      <c r="O656" s="211"/>
      <c r="P656" s="211"/>
      <c r="Q656" s="84"/>
      <c r="R656" s="211"/>
      <c r="S656" s="211"/>
      <c r="T656" s="211"/>
      <c r="U656" s="211"/>
      <c r="V656" s="84"/>
      <c r="W656" s="211"/>
      <c r="X656" s="211"/>
      <c r="Y656" s="211"/>
      <c r="Z656" s="211"/>
      <c r="AA656" s="84"/>
      <c r="AB656" s="146"/>
      <c r="AC656" s="211"/>
      <c r="AD656" s="211"/>
      <c r="AE656" s="211"/>
      <c r="AF656" s="84"/>
      <c r="AG656" s="146"/>
      <c r="AH656" s="211"/>
      <c r="AI656" s="211"/>
      <c r="AJ656" s="211"/>
      <c r="AK656" s="84"/>
      <c r="AL656" s="146"/>
      <c r="AM656" s="211"/>
      <c r="AN656" s="211"/>
      <c r="AO656" s="211"/>
      <c r="AP656" s="436"/>
      <c r="AQ656" s="146"/>
      <c r="AR656" s="211"/>
      <c r="AS656" s="211"/>
      <c r="AT656" s="211"/>
      <c r="AU656" s="84"/>
      <c r="AV656" s="211"/>
      <c r="AW656" s="211"/>
      <c r="AX656" s="211"/>
      <c r="AY656" s="211"/>
      <c r="AZ656" s="84"/>
      <c r="BA656" s="211"/>
      <c r="BB656" s="211"/>
      <c r="BC656" s="211"/>
      <c r="BD656" s="211"/>
      <c r="BE656" s="84"/>
      <c r="BF656" s="211"/>
      <c r="BG656" s="451"/>
    </row>
    <row r="657" spans="1:59" ht="12.75">
      <c r="A657" s="211"/>
      <c r="B657" s="449"/>
      <c r="C657" s="450"/>
      <c r="D657" s="211"/>
      <c r="E657" s="211"/>
      <c r="F657" s="211"/>
      <c r="G657" s="84"/>
      <c r="H657" s="211"/>
      <c r="I657" s="211"/>
      <c r="J657" s="211"/>
      <c r="K657" s="211"/>
      <c r="L657" s="84"/>
      <c r="M657" s="211"/>
      <c r="N657" s="211"/>
      <c r="O657" s="211"/>
      <c r="P657" s="211"/>
      <c r="Q657" s="84"/>
      <c r="R657" s="211"/>
      <c r="S657" s="211"/>
      <c r="T657" s="211"/>
      <c r="U657" s="211"/>
      <c r="V657" s="84"/>
      <c r="W657" s="211"/>
      <c r="X657" s="211"/>
      <c r="Y657" s="211"/>
      <c r="Z657" s="211"/>
      <c r="AA657" s="84"/>
      <c r="AB657" s="146"/>
      <c r="AC657" s="211"/>
      <c r="AD657" s="211"/>
      <c r="AE657" s="211"/>
      <c r="AF657" s="84"/>
      <c r="AG657" s="146"/>
      <c r="AH657" s="211"/>
      <c r="AI657" s="211"/>
      <c r="AJ657" s="211"/>
      <c r="AK657" s="84"/>
      <c r="AL657" s="146"/>
      <c r="AM657" s="211"/>
      <c r="AN657" s="211"/>
      <c r="AO657" s="211"/>
      <c r="AP657" s="436"/>
      <c r="AQ657" s="146"/>
      <c r="AR657" s="211"/>
      <c r="AS657" s="211"/>
      <c r="AT657" s="211"/>
      <c r="AU657" s="84"/>
      <c r="AV657" s="211"/>
      <c r="AW657" s="211"/>
      <c r="AX657" s="211"/>
      <c r="AY657" s="211"/>
      <c r="AZ657" s="84"/>
      <c r="BA657" s="211"/>
      <c r="BB657" s="211"/>
      <c r="BC657" s="211"/>
      <c r="BD657" s="211"/>
      <c r="BE657" s="84"/>
      <c r="BF657" s="211"/>
      <c r="BG657" s="451"/>
    </row>
    <row r="658" spans="1:59" ht="12.75">
      <c r="A658" s="211"/>
      <c r="B658" s="449"/>
      <c r="C658" s="450"/>
      <c r="D658" s="211"/>
      <c r="E658" s="211"/>
      <c r="F658" s="211"/>
      <c r="G658" s="84"/>
      <c r="H658" s="211"/>
      <c r="I658" s="211"/>
      <c r="J658" s="211"/>
      <c r="K658" s="211"/>
      <c r="L658" s="84"/>
      <c r="M658" s="211"/>
      <c r="N658" s="211"/>
      <c r="O658" s="211"/>
      <c r="P658" s="211"/>
      <c r="Q658" s="84"/>
      <c r="R658" s="211"/>
      <c r="S658" s="211"/>
      <c r="T658" s="211"/>
      <c r="U658" s="211"/>
      <c r="V658" s="84"/>
      <c r="W658" s="211"/>
      <c r="X658" s="211"/>
      <c r="Y658" s="211"/>
      <c r="Z658" s="211"/>
      <c r="AA658" s="84"/>
      <c r="AB658" s="146"/>
      <c r="AC658" s="211"/>
      <c r="AD658" s="211"/>
      <c r="AE658" s="211"/>
      <c r="AF658" s="84"/>
      <c r="AG658" s="146"/>
      <c r="AH658" s="211"/>
      <c r="AI658" s="211"/>
      <c r="AJ658" s="211"/>
      <c r="AK658" s="84"/>
      <c r="AL658" s="146"/>
      <c r="AM658" s="211"/>
      <c r="AN658" s="211"/>
      <c r="AO658" s="211"/>
      <c r="AP658" s="436"/>
      <c r="AQ658" s="146"/>
      <c r="AR658" s="211"/>
      <c r="AS658" s="211"/>
      <c r="AT658" s="211"/>
      <c r="AU658" s="84"/>
      <c r="AV658" s="211"/>
      <c r="AW658" s="211"/>
      <c r="AX658" s="211"/>
      <c r="AY658" s="211"/>
      <c r="AZ658" s="84"/>
      <c r="BA658" s="211"/>
      <c r="BB658" s="211"/>
      <c r="BC658" s="211"/>
      <c r="BD658" s="211"/>
      <c r="BE658" s="84"/>
      <c r="BF658" s="211"/>
      <c r="BG658" s="451"/>
    </row>
    <row r="659" spans="1:59" ht="12.75">
      <c r="A659" s="211"/>
      <c r="B659" s="449"/>
      <c r="C659" s="450"/>
      <c r="D659" s="211"/>
      <c r="E659" s="211"/>
      <c r="F659" s="211"/>
      <c r="G659" s="84"/>
      <c r="H659" s="211"/>
      <c r="I659" s="211"/>
      <c r="J659" s="211"/>
      <c r="K659" s="211"/>
      <c r="L659" s="84"/>
      <c r="M659" s="211"/>
      <c r="N659" s="211"/>
      <c r="O659" s="211"/>
      <c r="P659" s="211"/>
      <c r="Q659" s="84"/>
      <c r="R659" s="211"/>
      <c r="S659" s="211"/>
      <c r="T659" s="211"/>
      <c r="U659" s="211"/>
      <c r="V659" s="84"/>
      <c r="W659" s="211"/>
      <c r="X659" s="211"/>
      <c r="Y659" s="211"/>
      <c r="Z659" s="211"/>
      <c r="AA659" s="84"/>
      <c r="AB659" s="146"/>
      <c r="AC659" s="211"/>
      <c r="AD659" s="211"/>
      <c r="AE659" s="211"/>
      <c r="AF659" s="84"/>
      <c r="AG659" s="146"/>
      <c r="AH659" s="211"/>
      <c r="AI659" s="211"/>
      <c r="AJ659" s="211"/>
      <c r="AK659" s="84"/>
      <c r="AL659" s="146"/>
      <c r="AM659" s="211"/>
      <c r="AN659" s="211"/>
      <c r="AO659" s="211"/>
      <c r="AP659" s="436"/>
      <c r="AQ659" s="146"/>
      <c r="AR659" s="211"/>
      <c r="AS659" s="211"/>
      <c r="AT659" s="211"/>
      <c r="AU659" s="84"/>
      <c r="AV659" s="211"/>
      <c r="AW659" s="211"/>
      <c r="AX659" s="211"/>
      <c r="AY659" s="211"/>
      <c r="AZ659" s="84"/>
      <c r="BA659" s="211"/>
      <c r="BB659" s="211"/>
      <c r="BC659" s="211"/>
      <c r="BD659" s="211"/>
      <c r="BE659" s="84"/>
      <c r="BF659" s="211"/>
      <c r="BG659" s="451"/>
    </row>
    <row r="660" spans="1:59" ht="12.75">
      <c r="A660" s="211"/>
      <c r="B660" s="449"/>
      <c r="C660" s="450"/>
      <c r="D660" s="211"/>
      <c r="E660" s="211"/>
      <c r="F660" s="211"/>
      <c r="G660" s="84"/>
      <c r="H660" s="211"/>
      <c r="I660" s="211"/>
      <c r="J660" s="211"/>
      <c r="K660" s="211"/>
      <c r="L660" s="84"/>
      <c r="M660" s="211"/>
      <c r="N660" s="211"/>
      <c r="O660" s="211"/>
      <c r="P660" s="211"/>
      <c r="Q660" s="84"/>
      <c r="R660" s="211"/>
      <c r="S660" s="211"/>
      <c r="T660" s="211"/>
      <c r="U660" s="211"/>
      <c r="V660" s="84"/>
      <c r="W660" s="211"/>
      <c r="X660" s="211"/>
      <c r="Y660" s="211"/>
      <c r="Z660" s="211"/>
      <c r="AA660" s="84"/>
      <c r="AB660" s="146"/>
      <c r="AC660" s="211"/>
      <c r="AD660" s="211"/>
      <c r="AE660" s="211"/>
      <c r="AF660" s="84"/>
      <c r="AG660" s="146"/>
      <c r="AH660" s="211"/>
      <c r="AI660" s="211"/>
      <c r="AJ660" s="211"/>
      <c r="AK660" s="84"/>
      <c r="AL660" s="146"/>
      <c r="AM660" s="211"/>
      <c r="AN660" s="211"/>
      <c r="AO660" s="211"/>
      <c r="AP660" s="436"/>
      <c r="AQ660" s="146"/>
      <c r="AR660" s="211"/>
      <c r="AS660" s="211"/>
      <c r="AT660" s="211"/>
      <c r="AU660" s="84"/>
      <c r="AV660" s="211"/>
      <c r="AW660" s="211"/>
      <c r="AX660" s="211"/>
      <c r="AY660" s="211"/>
      <c r="AZ660" s="84"/>
      <c r="BA660" s="211"/>
      <c r="BB660" s="211"/>
      <c r="BC660" s="211"/>
      <c r="BD660" s="211"/>
      <c r="BE660" s="84"/>
      <c r="BF660" s="211"/>
      <c r="BG660" s="451"/>
    </row>
    <row r="661" spans="1:59" ht="12.75">
      <c r="A661" s="211"/>
      <c r="B661" s="449"/>
      <c r="C661" s="450"/>
      <c r="D661" s="211"/>
      <c r="E661" s="211"/>
      <c r="F661" s="211"/>
      <c r="G661" s="84"/>
      <c r="H661" s="211"/>
      <c r="I661" s="211"/>
      <c r="J661" s="211"/>
      <c r="K661" s="211"/>
      <c r="L661" s="84"/>
      <c r="M661" s="211"/>
      <c r="N661" s="211"/>
      <c r="O661" s="211"/>
      <c r="P661" s="211"/>
      <c r="Q661" s="84"/>
      <c r="R661" s="211"/>
      <c r="S661" s="211"/>
      <c r="T661" s="211"/>
      <c r="U661" s="211"/>
      <c r="V661" s="84"/>
      <c r="W661" s="211"/>
      <c r="X661" s="211"/>
      <c r="Y661" s="211"/>
      <c r="Z661" s="211"/>
      <c r="AA661" s="84"/>
      <c r="AB661" s="146"/>
      <c r="AC661" s="211"/>
      <c r="AD661" s="211"/>
      <c r="AE661" s="211"/>
      <c r="AF661" s="84"/>
      <c r="AG661" s="146"/>
      <c r="AH661" s="211"/>
      <c r="AI661" s="211"/>
      <c r="AJ661" s="211"/>
      <c r="AK661" s="84"/>
      <c r="AL661" s="146"/>
      <c r="AM661" s="211"/>
      <c r="AN661" s="211"/>
      <c r="AO661" s="211"/>
      <c r="AP661" s="436"/>
      <c r="AQ661" s="146"/>
      <c r="AR661" s="211"/>
      <c r="AS661" s="211"/>
      <c r="AT661" s="211"/>
      <c r="AU661" s="84"/>
      <c r="AV661" s="211"/>
      <c r="AW661" s="211"/>
      <c r="AX661" s="211"/>
      <c r="AY661" s="211"/>
      <c r="AZ661" s="84"/>
      <c r="BA661" s="211"/>
      <c r="BB661" s="211"/>
      <c r="BC661" s="211"/>
      <c r="BD661" s="211"/>
      <c r="BE661" s="84"/>
      <c r="BF661" s="211"/>
      <c r="BG661" s="451"/>
    </row>
    <row r="662" spans="1:59" ht="12.75">
      <c r="A662" s="211"/>
      <c r="B662" s="449"/>
      <c r="C662" s="450"/>
      <c r="D662" s="211"/>
      <c r="E662" s="211"/>
      <c r="F662" s="211"/>
      <c r="G662" s="84"/>
      <c r="H662" s="211"/>
      <c r="I662" s="211"/>
      <c r="J662" s="211"/>
      <c r="K662" s="211"/>
      <c r="L662" s="84"/>
      <c r="M662" s="211"/>
      <c r="N662" s="211"/>
      <c r="O662" s="211"/>
      <c r="P662" s="211"/>
      <c r="Q662" s="84"/>
      <c r="R662" s="211"/>
      <c r="S662" s="211"/>
      <c r="T662" s="211"/>
      <c r="U662" s="211"/>
      <c r="V662" s="84"/>
      <c r="W662" s="211"/>
      <c r="X662" s="211"/>
      <c r="Y662" s="211"/>
      <c r="Z662" s="211"/>
      <c r="AA662" s="84"/>
      <c r="AB662" s="146"/>
      <c r="AC662" s="211"/>
      <c r="AD662" s="211"/>
      <c r="AE662" s="211"/>
      <c r="AF662" s="84"/>
      <c r="AG662" s="146"/>
      <c r="AH662" s="211"/>
      <c r="AI662" s="211"/>
      <c r="AJ662" s="211"/>
      <c r="AK662" s="84"/>
      <c r="AL662" s="146"/>
      <c r="AM662" s="211"/>
      <c r="AN662" s="211"/>
      <c r="AO662" s="211"/>
      <c r="AP662" s="436"/>
      <c r="AQ662" s="146"/>
      <c r="AR662" s="211"/>
      <c r="AS662" s="211"/>
      <c r="AT662" s="211"/>
      <c r="AU662" s="84"/>
      <c r="AV662" s="211"/>
      <c r="AW662" s="211"/>
      <c r="AX662" s="211"/>
      <c r="AY662" s="211"/>
      <c r="AZ662" s="84"/>
      <c r="BA662" s="211"/>
      <c r="BB662" s="211"/>
      <c r="BC662" s="211"/>
      <c r="BD662" s="211"/>
      <c r="BE662" s="84"/>
      <c r="BF662" s="211"/>
      <c r="BG662" s="451"/>
    </row>
    <row r="663" spans="1:59" ht="12.75">
      <c r="A663" s="211"/>
      <c r="B663" s="449"/>
      <c r="C663" s="450"/>
      <c r="D663" s="211"/>
      <c r="E663" s="211"/>
      <c r="F663" s="211"/>
      <c r="G663" s="84"/>
      <c r="H663" s="211"/>
      <c r="I663" s="211"/>
      <c r="J663" s="211"/>
      <c r="K663" s="211"/>
      <c r="L663" s="84"/>
      <c r="M663" s="211"/>
      <c r="N663" s="211"/>
      <c r="O663" s="211"/>
      <c r="P663" s="211"/>
      <c r="Q663" s="84"/>
      <c r="R663" s="211"/>
      <c r="S663" s="211"/>
      <c r="T663" s="211"/>
      <c r="U663" s="211"/>
      <c r="V663" s="84"/>
      <c r="W663" s="211"/>
      <c r="X663" s="211"/>
      <c r="Y663" s="211"/>
      <c r="Z663" s="211"/>
      <c r="AA663" s="84"/>
      <c r="AB663" s="146"/>
      <c r="AC663" s="211"/>
      <c r="AD663" s="211"/>
      <c r="AE663" s="211"/>
      <c r="AF663" s="84"/>
      <c r="AG663" s="146"/>
      <c r="AH663" s="211"/>
      <c r="AI663" s="211"/>
      <c r="AJ663" s="211"/>
      <c r="AK663" s="84"/>
      <c r="AL663" s="146"/>
      <c r="AM663" s="211"/>
      <c r="AN663" s="211"/>
      <c r="AO663" s="211"/>
      <c r="AP663" s="436"/>
      <c r="AQ663" s="146"/>
      <c r="AR663" s="211"/>
      <c r="AS663" s="211"/>
      <c r="AT663" s="211"/>
      <c r="AU663" s="84"/>
      <c r="AV663" s="211"/>
      <c r="AW663" s="211"/>
      <c r="AX663" s="211"/>
      <c r="AY663" s="211"/>
      <c r="AZ663" s="84"/>
      <c r="BA663" s="211"/>
      <c r="BB663" s="211"/>
      <c r="BC663" s="211"/>
      <c r="BD663" s="211"/>
      <c r="BE663" s="84"/>
      <c r="BF663" s="211"/>
      <c r="BG663" s="451"/>
    </row>
    <row r="664" spans="1:59" ht="12.75">
      <c r="A664" s="211"/>
      <c r="B664" s="449"/>
      <c r="C664" s="450"/>
      <c r="D664" s="211"/>
      <c r="E664" s="211"/>
      <c r="F664" s="211"/>
      <c r="G664" s="84"/>
      <c r="H664" s="211"/>
      <c r="I664" s="211"/>
      <c r="J664" s="211"/>
      <c r="K664" s="211"/>
      <c r="L664" s="84"/>
      <c r="M664" s="211"/>
      <c r="N664" s="211"/>
      <c r="O664" s="211"/>
      <c r="P664" s="211"/>
      <c r="Q664" s="84"/>
      <c r="R664" s="211"/>
      <c r="S664" s="211"/>
      <c r="T664" s="211"/>
      <c r="U664" s="211"/>
      <c r="V664" s="84"/>
      <c r="W664" s="211"/>
      <c r="X664" s="211"/>
      <c r="Y664" s="211"/>
      <c r="Z664" s="211"/>
      <c r="AA664" s="84"/>
      <c r="AB664" s="146"/>
      <c r="AC664" s="211"/>
      <c r="AD664" s="211"/>
      <c r="AE664" s="211"/>
      <c r="AF664" s="84"/>
      <c r="AG664" s="146"/>
      <c r="AH664" s="211"/>
      <c r="AI664" s="211"/>
      <c r="AJ664" s="211"/>
      <c r="AK664" s="84"/>
      <c r="AL664" s="146"/>
      <c r="AM664" s="211"/>
      <c r="AN664" s="211"/>
      <c r="AO664" s="211"/>
      <c r="AP664" s="436"/>
      <c r="AQ664" s="146"/>
      <c r="AR664" s="211"/>
      <c r="AS664" s="211"/>
      <c r="AT664" s="211"/>
      <c r="AU664" s="84"/>
      <c r="AV664" s="211"/>
      <c r="AW664" s="211"/>
      <c r="AX664" s="211"/>
      <c r="AY664" s="211"/>
      <c r="AZ664" s="84"/>
      <c r="BA664" s="211"/>
      <c r="BB664" s="211"/>
      <c r="BC664" s="211"/>
      <c r="BD664" s="211"/>
      <c r="BE664" s="84"/>
      <c r="BF664" s="211"/>
      <c r="BG664" s="451"/>
    </row>
    <row r="665" spans="1:59" ht="12.75">
      <c r="A665" s="211"/>
      <c r="B665" s="449"/>
      <c r="C665" s="450"/>
      <c r="D665" s="211"/>
      <c r="E665" s="211"/>
      <c r="F665" s="211"/>
      <c r="G665" s="84"/>
      <c r="H665" s="211"/>
      <c r="I665" s="211"/>
      <c r="J665" s="211"/>
      <c r="K665" s="211"/>
      <c r="L665" s="84"/>
      <c r="M665" s="211"/>
      <c r="N665" s="211"/>
      <c r="O665" s="211"/>
      <c r="P665" s="211"/>
      <c r="Q665" s="84"/>
      <c r="R665" s="211"/>
      <c r="S665" s="211"/>
      <c r="T665" s="211"/>
      <c r="U665" s="211"/>
      <c r="V665" s="84"/>
      <c r="W665" s="211"/>
      <c r="X665" s="211"/>
      <c r="Y665" s="211"/>
      <c r="Z665" s="211"/>
      <c r="AA665" s="84"/>
      <c r="AB665" s="146"/>
      <c r="AC665" s="211"/>
      <c r="AD665" s="211"/>
      <c r="AE665" s="211"/>
      <c r="AF665" s="84"/>
      <c r="AG665" s="146"/>
      <c r="AH665" s="211"/>
      <c r="AI665" s="211"/>
      <c r="AJ665" s="211"/>
      <c r="AK665" s="84"/>
      <c r="AL665" s="146"/>
      <c r="AM665" s="211"/>
      <c r="AN665" s="211"/>
      <c r="AO665" s="211"/>
      <c r="AP665" s="436"/>
      <c r="AQ665" s="146"/>
      <c r="AR665" s="211"/>
      <c r="AS665" s="211"/>
      <c r="AT665" s="211"/>
      <c r="AU665" s="84"/>
      <c r="AV665" s="211"/>
      <c r="AW665" s="211"/>
      <c r="AX665" s="211"/>
      <c r="AY665" s="211"/>
      <c r="AZ665" s="84"/>
      <c r="BA665" s="211"/>
      <c r="BB665" s="211"/>
      <c r="BC665" s="211"/>
      <c r="BD665" s="211"/>
      <c r="BE665" s="84"/>
      <c r="BF665" s="211"/>
      <c r="BG665" s="451"/>
    </row>
    <row r="666" spans="1:59" ht="12.75">
      <c r="A666" s="211"/>
      <c r="B666" s="449"/>
      <c r="C666" s="450"/>
      <c r="D666" s="211"/>
      <c r="E666" s="211"/>
      <c r="F666" s="211"/>
      <c r="G666" s="84"/>
      <c r="H666" s="211"/>
      <c r="I666" s="211"/>
      <c r="J666" s="211"/>
      <c r="K666" s="211"/>
      <c r="L666" s="84"/>
      <c r="M666" s="211"/>
      <c r="N666" s="211"/>
      <c r="O666" s="211"/>
      <c r="P666" s="211"/>
      <c r="Q666" s="84"/>
      <c r="R666" s="211"/>
      <c r="S666" s="211"/>
      <c r="T666" s="211"/>
      <c r="U666" s="211"/>
      <c r="V666" s="84"/>
      <c r="W666" s="211"/>
      <c r="X666" s="211"/>
      <c r="Y666" s="211"/>
      <c r="Z666" s="211"/>
      <c r="AA666" s="84"/>
      <c r="AB666" s="146"/>
      <c r="AC666" s="211"/>
      <c r="AD666" s="211"/>
      <c r="AE666" s="211"/>
      <c r="AF666" s="84"/>
      <c r="AG666" s="146"/>
      <c r="AH666" s="211"/>
      <c r="AI666" s="211"/>
      <c r="AJ666" s="211"/>
      <c r="AK666" s="84"/>
      <c r="AL666" s="146"/>
      <c r="AM666" s="211"/>
      <c r="AN666" s="211"/>
      <c r="AO666" s="211"/>
      <c r="AP666" s="436"/>
      <c r="AQ666" s="146"/>
      <c r="AR666" s="211"/>
      <c r="AS666" s="211"/>
      <c r="AT666" s="211"/>
      <c r="AU666" s="84"/>
      <c r="AV666" s="211"/>
      <c r="AW666" s="211"/>
      <c r="AX666" s="211"/>
      <c r="AY666" s="211"/>
      <c r="AZ666" s="84"/>
      <c r="BA666" s="211"/>
      <c r="BB666" s="211"/>
      <c r="BC666" s="211"/>
      <c r="BD666" s="211"/>
      <c r="BE666" s="84"/>
      <c r="BF666" s="211"/>
      <c r="BG666" s="451"/>
    </row>
    <row r="667" spans="1:59" ht="12.75">
      <c r="A667" s="211"/>
      <c r="B667" s="449"/>
      <c r="C667" s="450"/>
      <c r="D667" s="211"/>
      <c r="E667" s="211"/>
      <c r="F667" s="211"/>
      <c r="G667" s="84"/>
      <c r="H667" s="211"/>
      <c r="I667" s="211"/>
      <c r="J667" s="211"/>
      <c r="K667" s="211"/>
      <c r="L667" s="84"/>
      <c r="M667" s="211"/>
      <c r="N667" s="211"/>
      <c r="O667" s="211"/>
      <c r="P667" s="211"/>
      <c r="Q667" s="84"/>
      <c r="R667" s="211"/>
      <c r="S667" s="211"/>
      <c r="T667" s="211"/>
      <c r="U667" s="211"/>
      <c r="V667" s="84"/>
      <c r="W667" s="211"/>
      <c r="X667" s="211"/>
      <c r="Y667" s="211"/>
      <c r="Z667" s="211"/>
      <c r="AA667" s="84"/>
      <c r="AB667" s="146"/>
      <c r="AC667" s="211"/>
      <c r="AD667" s="211"/>
      <c r="AE667" s="211"/>
      <c r="AF667" s="84"/>
      <c r="AG667" s="146"/>
      <c r="AH667" s="211"/>
      <c r="AI667" s="211"/>
      <c r="AJ667" s="211"/>
      <c r="AK667" s="84"/>
      <c r="AL667" s="146"/>
      <c r="AM667" s="211"/>
      <c r="AN667" s="211"/>
      <c r="AO667" s="211"/>
      <c r="AP667" s="436"/>
      <c r="AQ667" s="146"/>
      <c r="AR667" s="211"/>
      <c r="AS667" s="211"/>
      <c r="AT667" s="211"/>
      <c r="AU667" s="84"/>
      <c r="AV667" s="211"/>
      <c r="AW667" s="211"/>
      <c r="AX667" s="211"/>
      <c r="AY667" s="211"/>
      <c r="AZ667" s="84"/>
      <c r="BA667" s="211"/>
      <c r="BB667" s="211"/>
      <c r="BC667" s="211"/>
      <c r="BD667" s="211"/>
      <c r="BE667" s="84"/>
      <c r="BF667" s="211"/>
      <c r="BG667" s="451"/>
    </row>
    <row r="668" spans="1:59" ht="12.75">
      <c r="A668" s="211"/>
      <c r="B668" s="449"/>
      <c r="C668" s="450"/>
      <c r="D668" s="211"/>
      <c r="E668" s="211"/>
      <c r="F668" s="211"/>
      <c r="G668" s="84"/>
      <c r="H668" s="211"/>
      <c r="I668" s="211"/>
      <c r="J668" s="211"/>
      <c r="K668" s="211"/>
      <c r="L668" s="84"/>
      <c r="M668" s="211"/>
      <c r="N668" s="211"/>
      <c r="O668" s="211"/>
      <c r="P668" s="211"/>
      <c r="Q668" s="84"/>
      <c r="R668" s="211"/>
      <c r="S668" s="211"/>
      <c r="T668" s="211"/>
      <c r="U668" s="211"/>
      <c r="V668" s="84"/>
      <c r="W668" s="211"/>
      <c r="X668" s="211"/>
      <c r="Y668" s="211"/>
      <c r="Z668" s="211"/>
      <c r="AA668" s="84"/>
      <c r="AB668" s="146"/>
      <c r="AC668" s="211"/>
      <c r="AD668" s="211"/>
      <c r="AE668" s="211"/>
      <c r="AF668" s="84"/>
      <c r="AG668" s="146"/>
      <c r="AH668" s="211"/>
      <c r="AI668" s="211"/>
      <c r="AJ668" s="211"/>
      <c r="AK668" s="84"/>
      <c r="AL668" s="146"/>
      <c r="AM668" s="211"/>
      <c r="AN668" s="211"/>
      <c r="AO668" s="211"/>
      <c r="AP668" s="436"/>
      <c r="AQ668" s="146"/>
      <c r="AR668" s="211"/>
      <c r="AS668" s="211"/>
      <c r="AT668" s="211"/>
      <c r="AU668" s="84"/>
      <c r="AV668" s="211"/>
      <c r="AW668" s="211"/>
      <c r="AX668" s="211"/>
      <c r="AY668" s="211"/>
      <c r="AZ668" s="84"/>
      <c r="BA668" s="211"/>
      <c r="BB668" s="211"/>
      <c r="BC668" s="211"/>
      <c r="BD668" s="211"/>
      <c r="BE668" s="84"/>
      <c r="BF668" s="211"/>
      <c r="BG668" s="451"/>
    </row>
    <row r="669" spans="1:59" ht="12.75">
      <c r="A669" s="211"/>
      <c r="B669" s="449"/>
      <c r="C669" s="450"/>
      <c r="D669" s="211"/>
      <c r="E669" s="211"/>
      <c r="F669" s="211"/>
      <c r="G669" s="84"/>
      <c r="H669" s="211"/>
      <c r="I669" s="211"/>
      <c r="J669" s="211"/>
      <c r="K669" s="211"/>
      <c r="L669" s="84"/>
      <c r="M669" s="211"/>
      <c r="N669" s="211"/>
      <c r="O669" s="211"/>
      <c r="P669" s="211"/>
      <c r="Q669" s="84"/>
      <c r="R669" s="211"/>
      <c r="S669" s="211"/>
      <c r="T669" s="211"/>
      <c r="U669" s="211"/>
      <c r="V669" s="84"/>
      <c r="W669" s="211"/>
      <c r="X669" s="211"/>
      <c r="Y669" s="211"/>
      <c r="Z669" s="211"/>
      <c r="AA669" s="84"/>
      <c r="AB669" s="146"/>
      <c r="AC669" s="211"/>
      <c r="AD669" s="211"/>
      <c r="AE669" s="211"/>
      <c r="AF669" s="84"/>
      <c r="AG669" s="146"/>
      <c r="AH669" s="211"/>
      <c r="AI669" s="211"/>
      <c r="AJ669" s="211"/>
      <c r="AK669" s="84"/>
      <c r="AL669" s="146"/>
      <c r="AM669" s="211"/>
      <c r="AN669" s="211"/>
      <c r="AO669" s="211"/>
      <c r="AP669" s="436"/>
      <c r="AQ669" s="146"/>
      <c r="AR669" s="211"/>
      <c r="AS669" s="211"/>
      <c r="AT669" s="211"/>
      <c r="AU669" s="84"/>
      <c r="AV669" s="211"/>
      <c r="AW669" s="211"/>
      <c r="AX669" s="211"/>
      <c r="AY669" s="211"/>
      <c r="AZ669" s="84"/>
      <c r="BA669" s="211"/>
      <c r="BB669" s="211"/>
      <c r="BC669" s="211"/>
      <c r="BD669" s="211"/>
      <c r="BE669" s="84"/>
      <c r="BF669" s="211"/>
      <c r="BG669" s="451"/>
    </row>
    <row r="670" spans="1:59" ht="12.75">
      <c r="A670" s="211"/>
      <c r="B670" s="449"/>
      <c r="C670" s="450"/>
      <c r="D670" s="211"/>
      <c r="E670" s="211"/>
      <c r="F670" s="211"/>
      <c r="G670" s="84"/>
      <c r="H670" s="211"/>
      <c r="I670" s="211"/>
      <c r="J670" s="211"/>
      <c r="K670" s="211"/>
      <c r="L670" s="84"/>
      <c r="M670" s="211"/>
      <c r="N670" s="211"/>
      <c r="O670" s="211"/>
      <c r="P670" s="211"/>
      <c r="Q670" s="84"/>
      <c r="R670" s="211"/>
      <c r="S670" s="211"/>
      <c r="T670" s="211"/>
      <c r="U670" s="211"/>
      <c r="V670" s="84"/>
      <c r="W670" s="211"/>
      <c r="X670" s="211"/>
      <c r="Y670" s="211"/>
      <c r="Z670" s="211"/>
      <c r="AA670" s="84"/>
      <c r="AB670" s="146"/>
      <c r="AC670" s="211"/>
      <c r="AD670" s="211"/>
      <c r="AE670" s="211"/>
      <c r="AF670" s="84"/>
      <c r="AG670" s="146"/>
      <c r="AH670" s="211"/>
      <c r="AI670" s="211"/>
      <c r="AJ670" s="211"/>
      <c r="AK670" s="84"/>
      <c r="AL670" s="146"/>
      <c r="AM670" s="211"/>
      <c r="AN670" s="211"/>
      <c r="AO670" s="211"/>
      <c r="AP670" s="436"/>
      <c r="AQ670" s="146"/>
      <c r="AR670" s="211"/>
      <c r="AS670" s="211"/>
      <c r="AT670" s="211"/>
      <c r="AU670" s="84"/>
      <c r="AV670" s="211"/>
      <c r="AW670" s="211"/>
      <c r="AX670" s="211"/>
      <c r="AY670" s="211"/>
      <c r="AZ670" s="84"/>
      <c r="BA670" s="211"/>
      <c r="BB670" s="211"/>
      <c r="BC670" s="211"/>
      <c r="BD670" s="211"/>
      <c r="BE670" s="84"/>
      <c r="BF670" s="211"/>
      <c r="BG670" s="451"/>
    </row>
    <row r="671" spans="1:59" ht="12.75">
      <c r="A671" s="211"/>
      <c r="B671" s="449"/>
      <c r="C671" s="450"/>
      <c r="D671" s="211"/>
      <c r="E671" s="211"/>
      <c r="F671" s="211"/>
      <c r="G671" s="84"/>
      <c r="H671" s="211"/>
      <c r="I671" s="211"/>
      <c r="J671" s="211"/>
      <c r="K671" s="211"/>
      <c r="L671" s="84"/>
      <c r="M671" s="211"/>
      <c r="N671" s="211"/>
      <c r="O671" s="211"/>
      <c r="P671" s="211"/>
      <c r="Q671" s="84"/>
      <c r="R671" s="211"/>
      <c r="S671" s="211"/>
      <c r="T671" s="211"/>
      <c r="U671" s="211"/>
      <c r="V671" s="84"/>
      <c r="W671" s="211"/>
      <c r="X671" s="211"/>
      <c r="Y671" s="211"/>
      <c r="Z671" s="211"/>
      <c r="AA671" s="84"/>
      <c r="AB671" s="146"/>
      <c r="AC671" s="211"/>
      <c r="AD671" s="211"/>
      <c r="AE671" s="211"/>
      <c r="AF671" s="84"/>
      <c r="AG671" s="146"/>
      <c r="AH671" s="211"/>
      <c r="AI671" s="211"/>
      <c r="AJ671" s="211"/>
      <c r="AK671" s="84"/>
      <c r="AL671" s="146"/>
      <c r="AM671" s="211"/>
      <c r="AN671" s="211"/>
      <c r="AO671" s="211"/>
      <c r="AP671" s="436"/>
      <c r="AQ671" s="146"/>
      <c r="AR671" s="211"/>
      <c r="AS671" s="211"/>
      <c r="AT671" s="211"/>
      <c r="AU671" s="84"/>
      <c r="AV671" s="211"/>
      <c r="AW671" s="211"/>
      <c r="AX671" s="211"/>
      <c r="AY671" s="211"/>
      <c r="AZ671" s="84"/>
      <c r="BA671" s="211"/>
      <c r="BB671" s="211"/>
      <c r="BC671" s="211"/>
      <c r="BD671" s="211"/>
      <c r="BE671" s="84"/>
      <c r="BF671" s="211"/>
      <c r="BG671" s="451"/>
    </row>
    <row r="672" spans="1:59" ht="12.75">
      <c r="A672" s="211"/>
      <c r="B672" s="449"/>
      <c r="C672" s="450"/>
      <c r="D672" s="211"/>
      <c r="E672" s="211"/>
      <c r="F672" s="211"/>
      <c r="G672" s="84"/>
      <c r="H672" s="211"/>
      <c r="I672" s="211"/>
      <c r="J672" s="211"/>
      <c r="K672" s="211"/>
      <c r="L672" s="84"/>
      <c r="M672" s="211"/>
      <c r="N672" s="211"/>
      <c r="O672" s="211"/>
      <c r="P672" s="211"/>
      <c r="Q672" s="84"/>
      <c r="R672" s="211"/>
      <c r="S672" s="211"/>
      <c r="T672" s="211"/>
      <c r="U672" s="211"/>
      <c r="V672" s="84"/>
      <c r="W672" s="211"/>
      <c r="X672" s="211"/>
      <c r="Y672" s="211"/>
      <c r="Z672" s="211"/>
      <c r="AA672" s="84"/>
      <c r="AB672" s="146"/>
      <c r="AC672" s="211"/>
      <c r="AD672" s="211"/>
      <c r="AE672" s="211"/>
      <c r="AF672" s="84"/>
      <c r="AG672" s="146"/>
      <c r="AH672" s="211"/>
      <c r="AI672" s="211"/>
      <c r="AJ672" s="211"/>
      <c r="AK672" s="84"/>
      <c r="AL672" s="146"/>
      <c r="AM672" s="211"/>
      <c r="AN672" s="211"/>
      <c r="AO672" s="211"/>
      <c r="AP672" s="436"/>
      <c r="AQ672" s="146"/>
      <c r="AR672" s="211"/>
      <c r="AS672" s="211"/>
      <c r="AT672" s="211"/>
      <c r="AU672" s="84"/>
      <c r="AV672" s="211"/>
      <c r="AW672" s="211"/>
      <c r="AX672" s="211"/>
      <c r="AY672" s="211"/>
      <c r="AZ672" s="84"/>
      <c r="BA672" s="211"/>
      <c r="BB672" s="211"/>
      <c r="BC672" s="211"/>
      <c r="BD672" s="211"/>
      <c r="BE672" s="84"/>
      <c r="BF672" s="211"/>
      <c r="BG672" s="451"/>
    </row>
    <row r="673" spans="1:59" ht="12.75">
      <c r="A673" s="211"/>
      <c r="B673" s="449"/>
      <c r="C673" s="450"/>
      <c r="D673" s="211"/>
      <c r="E673" s="211"/>
      <c r="F673" s="211"/>
      <c r="G673" s="84"/>
      <c r="H673" s="211"/>
      <c r="I673" s="211"/>
      <c r="J673" s="211"/>
      <c r="K673" s="211"/>
      <c r="L673" s="84"/>
      <c r="M673" s="211"/>
      <c r="N673" s="211"/>
      <c r="O673" s="211"/>
      <c r="P673" s="211"/>
      <c r="Q673" s="84"/>
      <c r="R673" s="211"/>
      <c r="S673" s="211"/>
      <c r="T673" s="211"/>
      <c r="U673" s="211"/>
      <c r="V673" s="84"/>
      <c r="W673" s="211"/>
      <c r="X673" s="211"/>
      <c r="Y673" s="211"/>
      <c r="Z673" s="211"/>
      <c r="AA673" s="84"/>
      <c r="AB673" s="146"/>
      <c r="AC673" s="211"/>
      <c r="AD673" s="211"/>
      <c r="AE673" s="211"/>
      <c r="AF673" s="84"/>
      <c r="AG673" s="146"/>
      <c r="AH673" s="211"/>
      <c r="AI673" s="211"/>
      <c r="AJ673" s="211"/>
      <c r="AK673" s="84"/>
      <c r="AL673" s="146"/>
      <c r="AM673" s="211"/>
      <c r="AN673" s="211"/>
      <c r="AO673" s="211"/>
      <c r="AP673" s="436"/>
      <c r="AQ673" s="146"/>
      <c r="AR673" s="211"/>
      <c r="AS673" s="211"/>
      <c r="AT673" s="211"/>
      <c r="AU673" s="84"/>
      <c r="AV673" s="211"/>
      <c r="AW673" s="211"/>
      <c r="AX673" s="211"/>
      <c r="AY673" s="211"/>
      <c r="AZ673" s="84"/>
      <c r="BA673" s="211"/>
      <c r="BB673" s="211"/>
      <c r="BC673" s="211"/>
      <c r="BD673" s="211"/>
      <c r="BE673" s="84"/>
      <c r="BF673" s="211"/>
      <c r="BG673" s="451"/>
    </row>
    <row r="674" spans="1:59" ht="12.75">
      <c r="A674" s="211"/>
      <c r="B674" s="449"/>
      <c r="C674" s="450"/>
      <c r="D674" s="211"/>
      <c r="E674" s="211"/>
      <c r="F674" s="211"/>
      <c r="G674" s="84"/>
      <c r="H674" s="211"/>
      <c r="I674" s="211"/>
      <c r="J674" s="211"/>
      <c r="K674" s="211"/>
      <c r="L674" s="84"/>
      <c r="M674" s="211"/>
      <c r="N674" s="211"/>
      <c r="O674" s="211"/>
      <c r="P674" s="211"/>
      <c r="Q674" s="84"/>
      <c r="R674" s="211"/>
      <c r="S674" s="211"/>
      <c r="T674" s="211"/>
      <c r="U674" s="211"/>
      <c r="V674" s="84"/>
      <c r="W674" s="211"/>
      <c r="X674" s="211"/>
      <c r="Y674" s="211"/>
      <c r="Z674" s="211"/>
      <c r="AA674" s="84"/>
      <c r="AB674" s="146"/>
      <c r="AC674" s="211"/>
      <c r="AD674" s="211"/>
      <c r="AE674" s="211"/>
      <c r="AF674" s="84"/>
      <c r="AG674" s="146"/>
      <c r="AH674" s="211"/>
      <c r="AI674" s="211"/>
      <c r="AJ674" s="211"/>
      <c r="AK674" s="84"/>
      <c r="AL674" s="146"/>
      <c r="AM674" s="211"/>
      <c r="AN674" s="211"/>
      <c r="AO674" s="211"/>
      <c r="AP674" s="436"/>
      <c r="AQ674" s="146"/>
      <c r="AR674" s="211"/>
      <c r="AS674" s="211"/>
      <c r="AT674" s="211"/>
      <c r="AU674" s="84"/>
      <c r="AV674" s="211"/>
      <c r="AW674" s="211"/>
      <c r="AX674" s="211"/>
      <c r="AY674" s="211"/>
      <c r="AZ674" s="84"/>
      <c r="BA674" s="211"/>
      <c r="BB674" s="211"/>
      <c r="BC674" s="211"/>
      <c r="BD674" s="211"/>
      <c r="BE674" s="84"/>
      <c r="BF674" s="211"/>
      <c r="BG674" s="451"/>
    </row>
    <row r="675" spans="1:59" ht="12.75">
      <c r="A675" s="211"/>
      <c r="B675" s="449"/>
      <c r="C675" s="450"/>
      <c r="D675" s="211"/>
      <c r="E675" s="211"/>
      <c r="F675" s="211"/>
      <c r="G675" s="84"/>
      <c r="H675" s="211"/>
      <c r="I675" s="211"/>
      <c r="J675" s="211"/>
      <c r="K675" s="211"/>
      <c r="L675" s="84"/>
      <c r="M675" s="211"/>
      <c r="N675" s="211"/>
      <c r="O675" s="211"/>
      <c r="P675" s="211"/>
      <c r="Q675" s="84"/>
      <c r="R675" s="211"/>
      <c r="S675" s="211"/>
      <c r="T675" s="211"/>
      <c r="U675" s="211"/>
      <c r="V675" s="84"/>
      <c r="W675" s="211"/>
      <c r="X675" s="211"/>
      <c r="Y675" s="211"/>
      <c r="Z675" s="211"/>
      <c r="AA675" s="84"/>
      <c r="AB675" s="146"/>
      <c r="AC675" s="211"/>
      <c r="AD675" s="211"/>
      <c r="AE675" s="211"/>
      <c r="AF675" s="84"/>
      <c r="AG675" s="146"/>
      <c r="AH675" s="211"/>
      <c r="AI675" s="211"/>
      <c r="AJ675" s="211"/>
      <c r="AK675" s="84"/>
      <c r="AL675" s="146"/>
      <c r="AM675" s="211"/>
      <c r="AN675" s="211"/>
      <c r="AO675" s="211"/>
      <c r="AP675" s="436"/>
      <c r="AQ675" s="146"/>
      <c r="AR675" s="211"/>
      <c r="AS675" s="211"/>
      <c r="AT675" s="211"/>
      <c r="AU675" s="84"/>
      <c r="AV675" s="211"/>
      <c r="AW675" s="211"/>
      <c r="AX675" s="211"/>
      <c r="AY675" s="211"/>
      <c r="AZ675" s="84"/>
      <c r="BA675" s="211"/>
      <c r="BB675" s="211"/>
      <c r="BC675" s="211"/>
      <c r="BD675" s="211"/>
      <c r="BE675" s="84"/>
      <c r="BF675" s="211"/>
      <c r="BG675" s="451"/>
    </row>
    <row r="676" spans="1:59" ht="12.75">
      <c r="A676" s="211"/>
      <c r="B676" s="449"/>
      <c r="C676" s="450"/>
      <c r="D676" s="211"/>
      <c r="E676" s="211"/>
      <c r="F676" s="211"/>
      <c r="G676" s="84"/>
      <c r="H676" s="211"/>
      <c r="I676" s="211"/>
      <c r="J676" s="211"/>
      <c r="K676" s="211"/>
      <c r="L676" s="84"/>
      <c r="M676" s="211"/>
      <c r="N676" s="211"/>
      <c r="O676" s="211"/>
      <c r="P676" s="211"/>
      <c r="Q676" s="84"/>
      <c r="R676" s="211"/>
      <c r="S676" s="211"/>
      <c r="T676" s="211"/>
      <c r="U676" s="211"/>
      <c r="V676" s="84"/>
      <c r="W676" s="211"/>
      <c r="X676" s="211"/>
      <c r="Y676" s="211"/>
      <c r="Z676" s="211"/>
      <c r="AA676" s="84"/>
      <c r="AB676" s="146"/>
      <c r="AC676" s="211"/>
      <c r="AD676" s="211"/>
      <c r="AE676" s="211"/>
      <c r="AF676" s="84"/>
      <c r="AG676" s="146"/>
      <c r="AH676" s="211"/>
      <c r="AI676" s="211"/>
      <c r="AJ676" s="211"/>
      <c r="AK676" s="84"/>
      <c r="AL676" s="146"/>
      <c r="AM676" s="211"/>
      <c r="AN676" s="211"/>
      <c r="AO676" s="211"/>
      <c r="AP676" s="436"/>
      <c r="AQ676" s="146"/>
      <c r="AR676" s="211"/>
      <c r="AS676" s="211"/>
      <c r="AT676" s="211"/>
      <c r="AU676" s="84"/>
      <c r="AV676" s="211"/>
      <c r="AW676" s="211"/>
      <c r="AX676" s="211"/>
      <c r="AY676" s="211"/>
      <c r="AZ676" s="84"/>
      <c r="BA676" s="211"/>
      <c r="BB676" s="211"/>
      <c r="BC676" s="211"/>
      <c r="BD676" s="211"/>
      <c r="BE676" s="84"/>
      <c r="BF676" s="211"/>
      <c r="BG676" s="451"/>
    </row>
    <row r="677" spans="1:59" ht="12.75">
      <c r="A677" s="211"/>
      <c r="B677" s="449"/>
      <c r="C677" s="450"/>
      <c r="D677" s="211"/>
      <c r="E677" s="211"/>
      <c r="F677" s="211"/>
      <c r="G677" s="84"/>
      <c r="H677" s="211"/>
      <c r="I677" s="211"/>
      <c r="J677" s="211"/>
      <c r="K677" s="211"/>
      <c r="L677" s="84"/>
      <c r="M677" s="211"/>
      <c r="N677" s="211"/>
      <c r="O677" s="211"/>
      <c r="P677" s="211"/>
      <c r="Q677" s="84"/>
      <c r="R677" s="211"/>
      <c r="S677" s="211"/>
      <c r="T677" s="211"/>
      <c r="U677" s="211"/>
      <c r="V677" s="84"/>
      <c r="W677" s="211"/>
      <c r="X677" s="211"/>
      <c r="Y677" s="211"/>
      <c r="Z677" s="211"/>
      <c r="AA677" s="84"/>
      <c r="AB677" s="146"/>
      <c r="AC677" s="211"/>
      <c r="AD677" s="211"/>
      <c r="AE677" s="211"/>
      <c r="AF677" s="84"/>
      <c r="AG677" s="146"/>
      <c r="AH677" s="211"/>
      <c r="AI677" s="211"/>
      <c r="AJ677" s="211"/>
      <c r="AK677" s="84"/>
      <c r="AL677" s="146"/>
      <c r="AM677" s="211"/>
      <c r="AN677" s="211"/>
      <c r="AO677" s="211"/>
      <c r="AP677" s="436"/>
      <c r="AQ677" s="146"/>
      <c r="AR677" s="211"/>
      <c r="AS677" s="211"/>
      <c r="AT677" s="211"/>
      <c r="AU677" s="84"/>
      <c r="AV677" s="211"/>
      <c r="AW677" s="211"/>
      <c r="AX677" s="211"/>
      <c r="AY677" s="211"/>
      <c r="AZ677" s="84"/>
      <c r="BA677" s="211"/>
      <c r="BB677" s="211"/>
      <c r="BC677" s="211"/>
      <c r="BD677" s="211"/>
      <c r="BE677" s="84"/>
      <c r="BF677" s="211"/>
      <c r="BG677" s="451"/>
    </row>
    <row r="678" spans="1:59" ht="12.75">
      <c r="A678" s="211"/>
      <c r="B678" s="449"/>
      <c r="C678" s="450"/>
      <c r="D678" s="211"/>
      <c r="E678" s="211"/>
      <c r="F678" s="211"/>
      <c r="G678" s="84"/>
      <c r="H678" s="211"/>
      <c r="I678" s="211"/>
      <c r="J678" s="211"/>
      <c r="K678" s="211"/>
      <c r="L678" s="84"/>
      <c r="M678" s="211"/>
      <c r="N678" s="211"/>
      <c r="O678" s="211"/>
      <c r="P678" s="211"/>
      <c r="Q678" s="84"/>
      <c r="R678" s="211"/>
      <c r="S678" s="211"/>
      <c r="T678" s="211"/>
      <c r="U678" s="211"/>
      <c r="V678" s="84"/>
      <c r="W678" s="211"/>
      <c r="X678" s="211"/>
      <c r="Y678" s="211"/>
      <c r="Z678" s="211"/>
      <c r="AA678" s="84"/>
      <c r="AB678" s="146"/>
      <c r="AC678" s="211"/>
      <c r="AD678" s="211"/>
      <c r="AE678" s="211"/>
      <c r="AF678" s="84"/>
      <c r="AG678" s="146"/>
      <c r="AH678" s="211"/>
      <c r="AI678" s="211"/>
      <c r="AJ678" s="211"/>
      <c r="AK678" s="84"/>
      <c r="AL678" s="146"/>
      <c r="AM678" s="211"/>
      <c r="AN678" s="211"/>
      <c r="AO678" s="211"/>
      <c r="AP678" s="436"/>
      <c r="AQ678" s="146"/>
      <c r="AR678" s="211"/>
      <c r="AS678" s="211"/>
      <c r="AT678" s="211"/>
      <c r="AU678" s="84"/>
      <c r="AV678" s="211"/>
      <c r="AW678" s="211"/>
      <c r="AX678" s="211"/>
      <c r="AY678" s="211"/>
      <c r="AZ678" s="84"/>
      <c r="BA678" s="211"/>
      <c r="BB678" s="211"/>
      <c r="BC678" s="211"/>
      <c r="BD678" s="211"/>
      <c r="BE678" s="84"/>
      <c r="BF678" s="211"/>
      <c r="BG678" s="451"/>
    </row>
    <row r="679" spans="1:59" ht="12.75">
      <c r="A679" s="211"/>
      <c r="B679" s="449"/>
      <c r="C679" s="450"/>
      <c r="D679" s="211"/>
      <c r="E679" s="211"/>
      <c r="F679" s="211"/>
      <c r="G679" s="84"/>
      <c r="H679" s="211"/>
      <c r="I679" s="211"/>
      <c r="J679" s="211"/>
      <c r="K679" s="211"/>
      <c r="L679" s="84"/>
      <c r="M679" s="211"/>
      <c r="N679" s="211"/>
      <c r="O679" s="211"/>
      <c r="P679" s="211"/>
      <c r="Q679" s="84"/>
      <c r="R679" s="211"/>
      <c r="S679" s="211"/>
      <c r="T679" s="211"/>
      <c r="U679" s="211"/>
      <c r="V679" s="84"/>
      <c r="W679" s="211"/>
      <c r="X679" s="211"/>
      <c r="Y679" s="211"/>
      <c r="Z679" s="211"/>
      <c r="AA679" s="84"/>
      <c r="AB679" s="146"/>
      <c r="AC679" s="211"/>
      <c r="AD679" s="211"/>
      <c r="AE679" s="211"/>
      <c r="AF679" s="84"/>
      <c r="AG679" s="146"/>
      <c r="AH679" s="211"/>
      <c r="AI679" s="211"/>
      <c r="AJ679" s="211"/>
      <c r="AK679" s="84"/>
      <c r="AL679" s="146"/>
      <c r="AM679" s="211"/>
      <c r="AN679" s="211"/>
      <c r="AO679" s="211"/>
      <c r="AP679" s="436"/>
      <c r="AQ679" s="146"/>
      <c r="AR679" s="211"/>
      <c r="AS679" s="211"/>
      <c r="AT679" s="211"/>
      <c r="AU679" s="84"/>
      <c r="AV679" s="211"/>
      <c r="AW679" s="211"/>
      <c r="AX679" s="211"/>
      <c r="AY679" s="211"/>
      <c r="AZ679" s="84"/>
      <c r="BA679" s="211"/>
      <c r="BB679" s="211"/>
      <c r="BC679" s="211"/>
      <c r="BD679" s="211"/>
      <c r="BE679" s="84"/>
      <c r="BF679" s="211"/>
      <c r="BG679" s="451"/>
    </row>
    <row r="680" spans="1:59" ht="12.75">
      <c r="A680" s="211"/>
      <c r="B680" s="449"/>
      <c r="C680" s="450"/>
      <c r="D680" s="211"/>
      <c r="E680" s="211"/>
      <c r="F680" s="211"/>
      <c r="G680" s="84"/>
      <c r="H680" s="211"/>
      <c r="I680" s="211"/>
      <c r="J680" s="211"/>
      <c r="K680" s="211"/>
      <c r="L680" s="84"/>
      <c r="M680" s="211"/>
      <c r="N680" s="211"/>
      <c r="O680" s="211"/>
      <c r="P680" s="211"/>
      <c r="Q680" s="84"/>
      <c r="R680" s="211"/>
      <c r="S680" s="211"/>
      <c r="T680" s="211"/>
      <c r="U680" s="211"/>
      <c r="V680" s="84"/>
      <c r="W680" s="211"/>
      <c r="X680" s="211"/>
      <c r="Y680" s="211"/>
      <c r="Z680" s="211"/>
      <c r="AA680" s="84"/>
      <c r="AB680" s="146"/>
      <c r="AC680" s="211"/>
      <c r="AD680" s="211"/>
      <c r="AE680" s="211"/>
      <c r="AF680" s="84"/>
      <c r="AG680" s="146"/>
      <c r="AH680" s="211"/>
      <c r="AI680" s="211"/>
      <c r="AJ680" s="211"/>
      <c r="AK680" s="84"/>
      <c r="AL680" s="146"/>
      <c r="AM680" s="211"/>
      <c r="AN680" s="211"/>
      <c r="AO680" s="211"/>
      <c r="AP680" s="436"/>
      <c r="AQ680" s="146"/>
      <c r="AR680" s="211"/>
      <c r="AS680" s="211"/>
      <c r="AT680" s="211"/>
      <c r="AU680" s="84"/>
      <c r="AV680" s="211"/>
      <c r="AW680" s="211"/>
      <c r="AX680" s="211"/>
      <c r="AY680" s="211"/>
      <c r="AZ680" s="84"/>
      <c r="BA680" s="211"/>
      <c r="BB680" s="211"/>
      <c r="BC680" s="211"/>
      <c r="BD680" s="211"/>
      <c r="BE680" s="84"/>
      <c r="BF680" s="211"/>
      <c r="BG680" s="451"/>
    </row>
    <row r="681" spans="1:59" ht="12.75">
      <c r="A681" s="211"/>
      <c r="B681" s="449"/>
      <c r="C681" s="450"/>
      <c r="D681" s="211"/>
      <c r="E681" s="211"/>
      <c r="F681" s="211"/>
      <c r="G681" s="84"/>
      <c r="H681" s="211"/>
      <c r="I681" s="211"/>
      <c r="J681" s="211"/>
      <c r="K681" s="211"/>
      <c r="L681" s="84"/>
      <c r="M681" s="211"/>
      <c r="N681" s="211"/>
      <c r="O681" s="211"/>
      <c r="P681" s="211"/>
      <c r="Q681" s="84"/>
      <c r="R681" s="211"/>
      <c r="S681" s="211"/>
      <c r="T681" s="211"/>
      <c r="U681" s="211"/>
      <c r="V681" s="84"/>
      <c r="W681" s="211"/>
      <c r="X681" s="211"/>
      <c r="Y681" s="211"/>
      <c r="Z681" s="211"/>
      <c r="AA681" s="84"/>
      <c r="AB681" s="146"/>
      <c r="AC681" s="211"/>
      <c r="AD681" s="211"/>
      <c r="AE681" s="211"/>
      <c r="AF681" s="84"/>
      <c r="AG681" s="146"/>
      <c r="AH681" s="211"/>
      <c r="AI681" s="211"/>
      <c r="AJ681" s="211"/>
      <c r="AK681" s="84"/>
      <c r="AL681" s="146"/>
      <c r="AM681" s="211"/>
      <c r="AN681" s="211"/>
      <c r="AO681" s="211"/>
      <c r="AP681" s="436"/>
      <c r="AQ681" s="146"/>
      <c r="AR681" s="211"/>
      <c r="AS681" s="211"/>
      <c r="AT681" s="211"/>
      <c r="AU681" s="84"/>
      <c r="AV681" s="211"/>
      <c r="AW681" s="211"/>
      <c r="AX681" s="211"/>
      <c r="AY681" s="211"/>
      <c r="AZ681" s="84"/>
      <c r="BA681" s="211"/>
      <c r="BB681" s="211"/>
      <c r="BC681" s="211"/>
      <c r="BD681" s="211"/>
      <c r="BE681" s="84"/>
      <c r="BF681" s="211"/>
      <c r="BG681" s="451"/>
    </row>
    <row r="682" spans="1:59" ht="12.75">
      <c r="A682" s="211"/>
      <c r="B682" s="449"/>
      <c r="C682" s="450"/>
      <c r="D682" s="211"/>
      <c r="E682" s="211"/>
      <c r="F682" s="211"/>
      <c r="G682" s="84"/>
      <c r="H682" s="211"/>
      <c r="I682" s="211"/>
      <c r="J682" s="211"/>
      <c r="K682" s="211"/>
      <c r="L682" s="84"/>
      <c r="M682" s="211"/>
      <c r="N682" s="211"/>
      <c r="O682" s="211"/>
      <c r="P682" s="211"/>
      <c r="Q682" s="84"/>
      <c r="R682" s="211"/>
      <c r="S682" s="211"/>
      <c r="T682" s="211"/>
      <c r="U682" s="211"/>
      <c r="V682" s="84"/>
      <c r="W682" s="211"/>
      <c r="X682" s="211"/>
      <c r="Y682" s="211"/>
      <c r="Z682" s="211"/>
      <c r="AA682" s="84"/>
      <c r="AB682" s="146"/>
      <c r="AC682" s="211"/>
      <c r="AD682" s="211"/>
      <c r="AE682" s="211"/>
      <c r="AF682" s="84"/>
      <c r="AG682" s="146"/>
      <c r="AH682" s="211"/>
      <c r="AI682" s="211"/>
      <c r="AJ682" s="211"/>
      <c r="AK682" s="84"/>
      <c r="AL682" s="146"/>
      <c r="AM682" s="211"/>
      <c r="AN682" s="211"/>
      <c r="AO682" s="211"/>
      <c r="AP682" s="436"/>
      <c r="AQ682" s="146"/>
      <c r="AR682" s="211"/>
      <c r="AS682" s="211"/>
      <c r="AT682" s="211"/>
      <c r="AU682" s="84"/>
      <c r="AV682" s="211"/>
      <c r="AW682" s="211"/>
      <c r="AX682" s="211"/>
      <c r="AY682" s="211"/>
      <c r="AZ682" s="84"/>
      <c r="BA682" s="211"/>
      <c r="BB682" s="211"/>
      <c r="BC682" s="211"/>
      <c r="BD682" s="211"/>
      <c r="BE682" s="84"/>
      <c r="BF682" s="211"/>
      <c r="BG682" s="451"/>
    </row>
    <row r="683" spans="1:59" ht="12.75">
      <c r="A683" s="211"/>
      <c r="B683" s="449"/>
      <c r="C683" s="450"/>
      <c r="D683" s="211"/>
      <c r="E683" s="211"/>
      <c r="F683" s="211"/>
      <c r="G683" s="84"/>
      <c r="H683" s="211"/>
      <c r="I683" s="211"/>
      <c r="J683" s="211"/>
      <c r="K683" s="211"/>
      <c r="L683" s="84"/>
      <c r="M683" s="211"/>
      <c r="N683" s="211"/>
      <c r="O683" s="211"/>
      <c r="P683" s="211"/>
      <c r="Q683" s="84"/>
      <c r="R683" s="211"/>
      <c r="S683" s="211"/>
      <c r="T683" s="211"/>
      <c r="U683" s="211"/>
      <c r="V683" s="84"/>
      <c r="W683" s="211"/>
      <c r="X683" s="211"/>
      <c r="Y683" s="211"/>
      <c r="Z683" s="211"/>
      <c r="AA683" s="84"/>
      <c r="AB683" s="146"/>
      <c r="AC683" s="211"/>
      <c r="AD683" s="211"/>
      <c r="AE683" s="211"/>
      <c r="AF683" s="84"/>
      <c r="AG683" s="146"/>
      <c r="AH683" s="211"/>
      <c r="AI683" s="211"/>
      <c r="AJ683" s="211"/>
      <c r="AK683" s="84"/>
      <c r="AL683" s="146"/>
      <c r="AM683" s="211"/>
      <c r="AN683" s="211"/>
      <c r="AO683" s="211"/>
      <c r="AP683" s="436"/>
      <c r="AQ683" s="146"/>
      <c r="AR683" s="211"/>
      <c r="AS683" s="211"/>
      <c r="AT683" s="211"/>
      <c r="AU683" s="84"/>
      <c r="AV683" s="211"/>
      <c r="AW683" s="211"/>
      <c r="AX683" s="211"/>
      <c r="AY683" s="211"/>
      <c r="AZ683" s="84"/>
      <c r="BA683" s="211"/>
      <c r="BB683" s="211"/>
      <c r="BC683" s="211"/>
      <c r="BD683" s="211"/>
      <c r="BE683" s="84"/>
      <c r="BF683" s="211"/>
      <c r="BG683" s="451"/>
    </row>
    <row r="684" spans="1:59" ht="12.75">
      <c r="A684" s="211"/>
      <c r="B684" s="449"/>
      <c r="C684" s="450"/>
      <c r="D684" s="211"/>
      <c r="E684" s="211"/>
      <c r="F684" s="211"/>
      <c r="G684" s="84"/>
      <c r="H684" s="211"/>
      <c r="I684" s="211"/>
      <c r="J684" s="211"/>
      <c r="K684" s="211"/>
      <c r="L684" s="84"/>
      <c r="M684" s="211"/>
      <c r="N684" s="211"/>
      <c r="O684" s="211"/>
      <c r="P684" s="211"/>
      <c r="Q684" s="84"/>
      <c r="R684" s="211"/>
      <c r="S684" s="211"/>
      <c r="T684" s="211"/>
      <c r="U684" s="211"/>
      <c r="V684" s="84"/>
      <c r="W684" s="211"/>
      <c r="X684" s="211"/>
      <c r="Y684" s="211"/>
      <c r="Z684" s="211"/>
      <c r="AA684" s="84"/>
      <c r="AB684" s="146"/>
      <c r="AC684" s="211"/>
      <c r="AD684" s="211"/>
      <c r="AE684" s="211"/>
      <c r="AF684" s="84"/>
      <c r="AG684" s="146"/>
      <c r="AH684" s="211"/>
      <c r="AI684" s="211"/>
      <c r="AJ684" s="211"/>
      <c r="AK684" s="84"/>
      <c r="AL684" s="146"/>
      <c r="AM684" s="211"/>
      <c r="AN684" s="211"/>
      <c r="AO684" s="211"/>
      <c r="AP684" s="436"/>
      <c r="AQ684" s="146"/>
      <c r="AR684" s="211"/>
      <c r="AS684" s="211"/>
      <c r="AT684" s="211"/>
      <c r="AU684" s="84"/>
      <c r="AV684" s="211"/>
      <c r="AW684" s="211"/>
      <c r="AX684" s="211"/>
      <c r="AY684" s="211"/>
      <c r="AZ684" s="84"/>
      <c r="BA684" s="211"/>
      <c r="BB684" s="211"/>
      <c r="BC684" s="211"/>
      <c r="BD684" s="211"/>
      <c r="BE684" s="84"/>
      <c r="BF684" s="211"/>
      <c r="BG684" s="451"/>
    </row>
    <row r="685" spans="1:59" ht="12.75">
      <c r="A685" s="211"/>
      <c r="B685" s="449"/>
      <c r="C685" s="450"/>
      <c r="D685" s="211"/>
      <c r="E685" s="211"/>
      <c r="F685" s="211"/>
      <c r="G685" s="84"/>
      <c r="H685" s="211"/>
      <c r="I685" s="211"/>
      <c r="J685" s="211"/>
      <c r="K685" s="211"/>
      <c r="L685" s="84"/>
      <c r="M685" s="211"/>
      <c r="N685" s="211"/>
      <c r="O685" s="211"/>
      <c r="P685" s="211"/>
      <c r="Q685" s="84"/>
      <c r="R685" s="211"/>
      <c r="S685" s="211"/>
      <c r="T685" s="211"/>
      <c r="U685" s="211"/>
      <c r="V685" s="84"/>
      <c r="W685" s="211"/>
      <c r="X685" s="211"/>
      <c r="Y685" s="211"/>
      <c r="Z685" s="211"/>
      <c r="AA685" s="84"/>
      <c r="AB685" s="146"/>
      <c r="AC685" s="211"/>
      <c r="AD685" s="211"/>
      <c r="AE685" s="211"/>
      <c r="AF685" s="84"/>
      <c r="AG685" s="146"/>
      <c r="AH685" s="211"/>
      <c r="AI685" s="211"/>
      <c r="AJ685" s="211"/>
      <c r="AK685" s="84"/>
      <c r="AL685" s="146"/>
      <c r="AM685" s="211"/>
      <c r="AN685" s="211"/>
      <c r="AO685" s="211"/>
      <c r="AP685" s="436"/>
      <c r="AQ685" s="146"/>
      <c r="AR685" s="211"/>
      <c r="AS685" s="211"/>
      <c r="AT685" s="211"/>
      <c r="AU685" s="84"/>
      <c r="AV685" s="211"/>
      <c r="AW685" s="211"/>
      <c r="AX685" s="211"/>
      <c r="AY685" s="211"/>
      <c r="AZ685" s="84"/>
      <c r="BA685" s="211"/>
      <c r="BB685" s="211"/>
      <c r="BC685" s="211"/>
      <c r="BD685" s="211"/>
      <c r="BE685" s="84"/>
      <c r="BF685" s="211"/>
      <c r="BG685" s="451"/>
    </row>
    <row r="686" spans="1:59" ht="12.75">
      <c r="A686" s="211"/>
      <c r="B686" s="449"/>
      <c r="C686" s="450"/>
      <c r="D686" s="211"/>
      <c r="E686" s="211"/>
      <c r="F686" s="211"/>
      <c r="G686" s="84"/>
      <c r="H686" s="211"/>
      <c r="I686" s="211"/>
      <c r="J686" s="211"/>
      <c r="K686" s="211"/>
      <c r="L686" s="84"/>
      <c r="M686" s="211"/>
      <c r="N686" s="211"/>
      <c r="O686" s="211"/>
      <c r="P686" s="211"/>
      <c r="Q686" s="84"/>
      <c r="R686" s="211"/>
      <c r="S686" s="211"/>
      <c r="T686" s="211"/>
      <c r="U686" s="211"/>
      <c r="V686" s="84"/>
      <c r="W686" s="211"/>
      <c r="X686" s="211"/>
      <c r="Y686" s="211"/>
      <c r="Z686" s="211"/>
      <c r="AA686" s="84"/>
      <c r="AB686" s="146"/>
      <c r="AC686" s="211"/>
      <c r="AD686" s="211"/>
      <c r="AE686" s="211"/>
      <c r="AF686" s="84"/>
      <c r="AG686" s="146"/>
      <c r="AH686" s="211"/>
      <c r="AI686" s="211"/>
      <c r="AJ686" s="211"/>
      <c r="AK686" s="84"/>
      <c r="AL686" s="146"/>
      <c r="AM686" s="211"/>
      <c r="AN686" s="211"/>
      <c r="AO686" s="211"/>
      <c r="AP686" s="436"/>
      <c r="AQ686" s="146"/>
      <c r="AR686" s="211"/>
      <c r="AS686" s="211"/>
      <c r="AT686" s="211"/>
      <c r="AU686" s="84"/>
      <c r="AV686" s="211"/>
      <c r="AW686" s="211"/>
      <c r="AX686" s="211"/>
      <c r="AY686" s="211"/>
      <c r="AZ686" s="84"/>
      <c r="BA686" s="211"/>
      <c r="BB686" s="211"/>
      <c r="BC686" s="211"/>
      <c r="BD686" s="211"/>
      <c r="BE686" s="84"/>
      <c r="BF686" s="211"/>
      <c r="BG686" s="451"/>
    </row>
    <row r="687" spans="1:59" ht="12.75">
      <c r="A687" s="211"/>
      <c r="B687" s="449"/>
      <c r="C687" s="450"/>
      <c r="D687" s="211"/>
      <c r="E687" s="211"/>
      <c r="F687" s="211"/>
      <c r="G687" s="84"/>
      <c r="H687" s="211"/>
      <c r="I687" s="211"/>
      <c r="J687" s="211"/>
      <c r="K687" s="211"/>
      <c r="L687" s="84"/>
      <c r="M687" s="211"/>
      <c r="N687" s="211"/>
      <c r="O687" s="211"/>
      <c r="P687" s="211"/>
      <c r="Q687" s="84"/>
      <c r="R687" s="211"/>
      <c r="S687" s="211"/>
      <c r="T687" s="211"/>
      <c r="U687" s="211"/>
      <c r="V687" s="84"/>
      <c r="W687" s="211"/>
      <c r="X687" s="211"/>
      <c r="Y687" s="211"/>
      <c r="Z687" s="211"/>
      <c r="AA687" s="84"/>
      <c r="AB687" s="146"/>
      <c r="AC687" s="211"/>
      <c r="AD687" s="211"/>
      <c r="AE687" s="211"/>
      <c r="AF687" s="84"/>
      <c r="AG687" s="146"/>
      <c r="AH687" s="211"/>
      <c r="AI687" s="211"/>
      <c r="AJ687" s="211"/>
      <c r="AK687" s="84"/>
      <c r="AL687" s="146"/>
      <c r="AM687" s="211"/>
      <c r="AN687" s="211"/>
      <c r="AO687" s="211"/>
      <c r="AP687" s="436"/>
      <c r="AQ687" s="146"/>
      <c r="AR687" s="211"/>
      <c r="AS687" s="211"/>
      <c r="AT687" s="211"/>
      <c r="AU687" s="84"/>
      <c r="AV687" s="211"/>
      <c r="AW687" s="211"/>
      <c r="AX687" s="211"/>
      <c r="AY687" s="211"/>
      <c r="AZ687" s="84"/>
      <c r="BA687" s="211"/>
      <c r="BB687" s="211"/>
      <c r="BC687" s="211"/>
      <c r="BD687" s="211"/>
      <c r="BE687" s="84"/>
      <c r="BF687" s="211"/>
      <c r="BG687" s="451"/>
    </row>
    <row r="688" spans="1:59" ht="12.75">
      <c r="A688" s="211"/>
      <c r="B688" s="449"/>
      <c r="C688" s="450"/>
      <c r="D688" s="211"/>
      <c r="E688" s="211"/>
      <c r="F688" s="211"/>
      <c r="G688" s="84"/>
      <c r="H688" s="211"/>
      <c r="I688" s="211"/>
      <c r="J688" s="211"/>
      <c r="K688" s="211"/>
      <c r="L688" s="84"/>
      <c r="M688" s="211"/>
      <c r="N688" s="211"/>
      <c r="O688" s="211"/>
      <c r="P688" s="211"/>
      <c r="Q688" s="84"/>
      <c r="R688" s="211"/>
      <c r="S688" s="211"/>
      <c r="T688" s="211"/>
      <c r="U688" s="211"/>
      <c r="V688" s="84"/>
      <c r="W688" s="211"/>
      <c r="X688" s="211"/>
      <c r="Y688" s="211"/>
      <c r="Z688" s="211"/>
      <c r="AA688" s="84"/>
      <c r="AB688" s="146"/>
      <c r="AC688" s="211"/>
      <c r="AD688" s="211"/>
      <c r="AE688" s="211"/>
      <c r="AF688" s="84"/>
      <c r="AG688" s="146"/>
      <c r="AH688" s="211"/>
      <c r="AI688" s="211"/>
      <c r="AJ688" s="211"/>
      <c r="AK688" s="84"/>
      <c r="AL688" s="146"/>
      <c r="AM688" s="211"/>
      <c r="AN688" s="211"/>
      <c r="AO688" s="211"/>
      <c r="AP688" s="436"/>
      <c r="AQ688" s="146"/>
      <c r="AR688" s="211"/>
      <c r="AS688" s="211"/>
      <c r="AT688" s="211"/>
      <c r="AU688" s="84"/>
      <c r="AV688" s="211"/>
      <c r="AW688" s="211"/>
      <c r="AX688" s="211"/>
      <c r="AY688" s="211"/>
      <c r="AZ688" s="84"/>
      <c r="BA688" s="211"/>
      <c r="BB688" s="211"/>
      <c r="BC688" s="211"/>
      <c r="BD688" s="211"/>
      <c r="BE688" s="84"/>
      <c r="BF688" s="211"/>
      <c r="BG688" s="451"/>
    </row>
    <row r="689" spans="1:59" ht="12.75">
      <c r="A689" s="211"/>
      <c r="B689" s="449"/>
      <c r="C689" s="450"/>
      <c r="D689" s="211"/>
      <c r="E689" s="211"/>
      <c r="F689" s="211"/>
      <c r="G689" s="84"/>
      <c r="H689" s="211"/>
      <c r="I689" s="211"/>
      <c r="J689" s="211"/>
      <c r="K689" s="211"/>
      <c r="L689" s="84"/>
      <c r="M689" s="211"/>
      <c r="N689" s="211"/>
      <c r="O689" s="211"/>
      <c r="P689" s="211"/>
      <c r="Q689" s="84"/>
      <c r="R689" s="211"/>
      <c r="S689" s="211"/>
      <c r="T689" s="211"/>
      <c r="U689" s="211"/>
      <c r="V689" s="84"/>
      <c r="W689" s="211"/>
      <c r="X689" s="211"/>
      <c r="Y689" s="211"/>
      <c r="Z689" s="211"/>
      <c r="AA689" s="84"/>
      <c r="AB689" s="146"/>
      <c r="AC689" s="211"/>
      <c r="AD689" s="211"/>
      <c r="AE689" s="211"/>
      <c r="AF689" s="84"/>
      <c r="AG689" s="146"/>
      <c r="AH689" s="211"/>
      <c r="AI689" s="211"/>
      <c r="AJ689" s="211"/>
      <c r="AK689" s="84"/>
      <c r="AL689" s="146"/>
      <c r="AM689" s="211"/>
      <c r="AN689" s="211"/>
      <c r="AO689" s="211"/>
      <c r="AP689" s="436"/>
      <c r="AQ689" s="146"/>
      <c r="AR689" s="211"/>
      <c r="AS689" s="211"/>
      <c r="AT689" s="211"/>
      <c r="AU689" s="84"/>
      <c r="AV689" s="211"/>
      <c r="AW689" s="211"/>
      <c r="AX689" s="211"/>
      <c r="AY689" s="211"/>
      <c r="AZ689" s="84"/>
      <c r="BA689" s="211"/>
      <c r="BB689" s="211"/>
      <c r="BC689" s="211"/>
      <c r="BD689" s="211"/>
      <c r="BE689" s="84"/>
      <c r="BF689" s="211"/>
      <c r="BG689" s="451"/>
    </row>
    <row r="690" spans="1:59" ht="12.75">
      <c r="A690" s="211"/>
      <c r="B690" s="449"/>
      <c r="C690" s="450"/>
      <c r="D690" s="211"/>
      <c r="E690" s="211"/>
      <c r="F690" s="211"/>
      <c r="G690" s="84"/>
      <c r="H690" s="211"/>
      <c r="I690" s="211"/>
      <c r="J690" s="211"/>
      <c r="K690" s="211"/>
      <c r="L690" s="84"/>
      <c r="M690" s="211"/>
      <c r="N690" s="211"/>
      <c r="O690" s="211"/>
      <c r="P690" s="211"/>
      <c r="Q690" s="84"/>
      <c r="R690" s="211"/>
      <c r="S690" s="211"/>
      <c r="T690" s="211"/>
      <c r="U690" s="211"/>
      <c r="V690" s="84"/>
      <c r="W690" s="211"/>
      <c r="X690" s="211"/>
      <c r="Y690" s="211"/>
      <c r="Z690" s="211"/>
      <c r="AA690" s="84"/>
      <c r="AB690" s="146"/>
      <c r="AC690" s="211"/>
      <c r="AD690" s="211"/>
      <c r="AE690" s="211"/>
      <c r="AF690" s="84"/>
      <c r="AG690" s="146"/>
      <c r="AH690" s="211"/>
      <c r="AI690" s="211"/>
      <c r="AJ690" s="211"/>
      <c r="AK690" s="84"/>
      <c r="AL690" s="146"/>
      <c r="AM690" s="211"/>
      <c r="AN690" s="211"/>
      <c r="AO690" s="211"/>
      <c r="AP690" s="436"/>
      <c r="AQ690" s="146"/>
      <c r="AR690" s="211"/>
      <c r="AS690" s="211"/>
      <c r="AT690" s="211"/>
      <c r="AU690" s="84"/>
      <c r="AV690" s="211"/>
      <c r="AW690" s="211"/>
      <c r="AX690" s="211"/>
      <c r="AY690" s="211"/>
      <c r="AZ690" s="84"/>
      <c r="BA690" s="211"/>
      <c r="BB690" s="211"/>
      <c r="BC690" s="211"/>
      <c r="BD690" s="211"/>
      <c r="BE690" s="84"/>
      <c r="BF690" s="211"/>
      <c r="BG690" s="451"/>
    </row>
    <row r="691" spans="1:59" ht="12.75">
      <c r="A691" s="211"/>
      <c r="B691" s="449"/>
      <c r="C691" s="450"/>
      <c r="D691" s="211"/>
      <c r="E691" s="211"/>
      <c r="F691" s="211"/>
      <c r="G691" s="84"/>
      <c r="H691" s="211"/>
      <c r="I691" s="211"/>
      <c r="J691" s="211"/>
      <c r="K691" s="211"/>
      <c r="L691" s="84"/>
      <c r="M691" s="211"/>
      <c r="N691" s="211"/>
      <c r="O691" s="211"/>
      <c r="P691" s="211"/>
      <c r="Q691" s="84"/>
      <c r="R691" s="211"/>
      <c r="S691" s="211"/>
      <c r="T691" s="211"/>
      <c r="U691" s="211"/>
      <c r="V691" s="84"/>
      <c r="W691" s="211"/>
      <c r="X691" s="211"/>
      <c r="Y691" s="211"/>
      <c r="Z691" s="211"/>
      <c r="AA691" s="84"/>
      <c r="AB691" s="146"/>
      <c r="AC691" s="211"/>
      <c r="AD691" s="211"/>
      <c r="AE691" s="211"/>
      <c r="AF691" s="84"/>
      <c r="AG691" s="146"/>
      <c r="AH691" s="211"/>
      <c r="AI691" s="211"/>
      <c r="AJ691" s="211"/>
      <c r="AK691" s="84"/>
      <c r="AL691" s="146"/>
      <c r="AM691" s="211"/>
      <c r="AN691" s="211"/>
      <c r="AO691" s="211"/>
      <c r="AP691" s="436"/>
      <c r="AQ691" s="146"/>
      <c r="AR691" s="211"/>
      <c r="AS691" s="211"/>
      <c r="AT691" s="211"/>
      <c r="AU691" s="84"/>
      <c r="AV691" s="211"/>
      <c r="AW691" s="211"/>
      <c r="AX691" s="211"/>
      <c r="AY691" s="211"/>
      <c r="AZ691" s="84"/>
      <c r="BA691" s="211"/>
      <c r="BB691" s="211"/>
      <c r="BC691" s="211"/>
      <c r="BD691" s="211"/>
      <c r="BE691" s="84"/>
      <c r="BF691" s="211"/>
      <c r="BG691" s="451"/>
    </row>
    <row r="692" spans="1:59" ht="12.75">
      <c r="A692" s="211"/>
      <c r="B692" s="449"/>
      <c r="C692" s="450"/>
      <c r="D692" s="211"/>
      <c r="E692" s="211"/>
      <c r="F692" s="211"/>
      <c r="G692" s="84"/>
      <c r="H692" s="211"/>
      <c r="I692" s="211"/>
      <c r="J692" s="211"/>
      <c r="K692" s="211"/>
      <c r="L692" s="84"/>
      <c r="M692" s="211"/>
      <c r="N692" s="211"/>
      <c r="O692" s="211"/>
      <c r="P692" s="211"/>
      <c r="Q692" s="84"/>
      <c r="R692" s="211"/>
      <c r="S692" s="211"/>
      <c r="T692" s="211"/>
      <c r="U692" s="211"/>
      <c r="V692" s="84"/>
      <c r="W692" s="211"/>
      <c r="X692" s="211"/>
      <c r="Y692" s="211"/>
      <c r="Z692" s="211"/>
      <c r="AA692" s="84"/>
      <c r="AB692" s="146"/>
      <c r="AC692" s="211"/>
      <c r="AD692" s="211"/>
      <c r="AE692" s="211"/>
      <c r="AF692" s="84"/>
      <c r="AG692" s="146"/>
      <c r="AH692" s="211"/>
      <c r="AI692" s="211"/>
      <c r="AJ692" s="211"/>
      <c r="AK692" s="84"/>
      <c r="AL692" s="146"/>
      <c r="AM692" s="211"/>
      <c r="AN692" s="211"/>
      <c r="AO692" s="211"/>
      <c r="AP692" s="436"/>
      <c r="AQ692" s="146"/>
      <c r="AR692" s="211"/>
      <c r="AS692" s="211"/>
      <c r="AT692" s="211"/>
      <c r="AU692" s="84"/>
      <c r="AV692" s="211"/>
      <c r="AW692" s="211"/>
      <c r="AX692" s="211"/>
      <c r="AY692" s="211"/>
      <c r="AZ692" s="84"/>
      <c r="BA692" s="211"/>
      <c r="BB692" s="211"/>
      <c r="BC692" s="211"/>
      <c r="BD692" s="211"/>
      <c r="BE692" s="84"/>
      <c r="BF692" s="211"/>
      <c r="BG692" s="451"/>
    </row>
    <row r="693" spans="1:59" ht="12.75">
      <c r="A693" s="211"/>
      <c r="B693" s="449"/>
      <c r="C693" s="450"/>
      <c r="D693" s="211"/>
      <c r="E693" s="211"/>
      <c r="F693" s="211"/>
      <c r="G693" s="84"/>
      <c r="H693" s="211"/>
      <c r="I693" s="211"/>
      <c r="J693" s="211"/>
      <c r="K693" s="211"/>
      <c r="L693" s="84"/>
      <c r="M693" s="211"/>
      <c r="N693" s="211"/>
      <c r="O693" s="211"/>
      <c r="P693" s="211"/>
      <c r="Q693" s="84"/>
      <c r="R693" s="211"/>
      <c r="S693" s="211"/>
      <c r="T693" s="211"/>
      <c r="U693" s="211"/>
      <c r="V693" s="84"/>
      <c r="W693" s="211"/>
      <c r="X693" s="211"/>
      <c r="Y693" s="211"/>
      <c r="Z693" s="211"/>
      <c r="AA693" s="84"/>
      <c r="AB693" s="146"/>
      <c r="AC693" s="211"/>
      <c r="AD693" s="211"/>
      <c r="AE693" s="211"/>
      <c r="AF693" s="84"/>
      <c r="AG693" s="146"/>
      <c r="AH693" s="211"/>
      <c r="AI693" s="211"/>
      <c r="AJ693" s="211"/>
      <c r="AK693" s="84"/>
      <c r="AL693" s="146"/>
      <c r="AM693" s="211"/>
      <c r="AN693" s="211"/>
      <c r="AO693" s="211"/>
      <c r="AP693" s="436"/>
      <c r="AQ693" s="146"/>
      <c r="AR693" s="211"/>
      <c r="AS693" s="211"/>
      <c r="AT693" s="211"/>
      <c r="AU693" s="84"/>
      <c r="AV693" s="211"/>
      <c r="AW693" s="211"/>
      <c r="AX693" s="211"/>
      <c r="AY693" s="211"/>
      <c r="AZ693" s="84"/>
      <c r="BA693" s="211"/>
      <c r="BB693" s="211"/>
      <c r="BC693" s="211"/>
      <c r="BD693" s="211"/>
      <c r="BE693" s="84"/>
      <c r="BF693" s="211"/>
      <c r="BG693" s="451"/>
    </row>
    <row r="694" spans="1:59" ht="12.75">
      <c r="A694" s="211"/>
      <c r="B694" s="449"/>
      <c r="C694" s="450"/>
      <c r="D694" s="211"/>
      <c r="E694" s="211"/>
      <c r="F694" s="211"/>
      <c r="G694" s="84"/>
      <c r="H694" s="211"/>
      <c r="I694" s="211"/>
      <c r="J694" s="211"/>
      <c r="K694" s="211"/>
      <c r="L694" s="84"/>
      <c r="M694" s="211"/>
      <c r="N694" s="211"/>
      <c r="O694" s="211"/>
      <c r="P694" s="211"/>
      <c r="Q694" s="84"/>
      <c r="R694" s="211"/>
      <c r="S694" s="211"/>
      <c r="T694" s="211"/>
      <c r="U694" s="211"/>
      <c r="V694" s="84"/>
      <c r="W694" s="211"/>
      <c r="X694" s="211"/>
      <c r="Y694" s="211"/>
      <c r="Z694" s="211"/>
      <c r="AA694" s="84"/>
      <c r="AB694" s="146"/>
      <c r="AC694" s="211"/>
      <c r="AD694" s="211"/>
      <c r="AE694" s="211"/>
      <c r="AF694" s="84"/>
      <c r="AG694" s="146"/>
      <c r="AH694" s="211"/>
      <c r="AI694" s="211"/>
      <c r="AJ694" s="211"/>
      <c r="AK694" s="84"/>
      <c r="AL694" s="146"/>
      <c r="AM694" s="211"/>
      <c r="AN694" s="211"/>
      <c r="AO694" s="211"/>
      <c r="AP694" s="436"/>
      <c r="AQ694" s="146"/>
      <c r="AR694" s="211"/>
      <c r="AS694" s="211"/>
      <c r="AT694" s="211"/>
      <c r="AU694" s="84"/>
      <c r="AV694" s="211"/>
      <c r="AW694" s="211"/>
      <c r="AX694" s="211"/>
      <c r="AY694" s="211"/>
      <c r="AZ694" s="84"/>
      <c r="BA694" s="211"/>
      <c r="BB694" s="211"/>
      <c r="BC694" s="211"/>
      <c r="BD694" s="211"/>
      <c r="BE694" s="84"/>
      <c r="BF694" s="211"/>
      <c r="BG694" s="451"/>
    </row>
    <row r="695" spans="1:59" ht="12.75">
      <c r="A695" s="211"/>
      <c r="B695" s="449"/>
      <c r="C695" s="450"/>
      <c r="D695" s="211"/>
      <c r="E695" s="211"/>
      <c r="F695" s="211"/>
      <c r="G695" s="84"/>
      <c r="H695" s="211"/>
      <c r="I695" s="211"/>
      <c r="J695" s="211"/>
      <c r="K695" s="211"/>
      <c r="L695" s="84"/>
      <c r="M695" s="211"/>
      <c r="N695" s="211"/>
      <c r="O695" s="211"/>
      <c r="P695" s="211"/>
      <c r="Q695" s="84"/>
      <c r="R695" s="211"/>
      <c r="S695" s="211"/>
      <c r="T695" s="211"/>
      <c r="U695" s="211"/>
      <c r="V695" s="84"/>
      <c r="W695" s="211"/>
      <c r="X695" s="211"/>
      <c r="Y695" s="211"/>
      <c r="Z695" s="211"/>
      <c r="AA695" s="84"/>
      <c r="AB695" s="146"/>
      <c r="AC695" s="211"/>
      <c r="AD695" s="211"/>
      <c r="AE695" s="211"/>
      <c r="AF695" s="84"/>
      <c r="AG695" s="146"/>
      <c r="AH695" s="211"/>
      <c r="AI695" s="211"/>
      <c r="AJ695" s="211"/>
      <c r="AK695" s="84"/>
      <c r="AL695" s="146"/>
      <c r="AM695" s="211"/>
      <c r="AN695" s="211"/>
      <c r="AO695" s="211"/>
      <c r="AP695" s="436"/>
      <c r="AQ695" s="146"/>
      <c r="AR695" s="211"/>
      <c r="AS695" s="211"/>
      <c r="AT695" s="211"/>
      <c r="AU695" s="84"/>
      <c r="AV695" s="211"/>
      <c r="AW695" s="211"/>
      <c r="AX695" s="211"/>
      <c r="AY695" s="211"/>
      <c r="AZ695" s="84"/>
      <c r="BA695" s="211"/>
      <c r="BB695" s="211"/>
      <c r="BC695" s="211"/>
      <c r="BD695" s="211"/>
      <c r="BE695" s="84"/>
      <c r="BF695" s="211"/>
      <c r="BG695" s="451"/>
    </row>
    <row r="696" spans="1:59" ht="12.75">
      <c r="A696" s="211"/>
      <c r="B696" s="449"/>
      <c r="C696" s="450"/>
      <c r="D696" s="211"/>
      <c r="E696" s="211"/>
      <c r="F696" s="211"/>
      <c r="G696" s="84"/>
      <c r="H696" s="211"/>
      <c r="I696" s="211"/>
      <c r="J696" s="211"/>
      <c r="K696" s="211"/>
      <c r="L696" s="84"/>
      <c r="M696" s="211"/>
      <c r="N696" s="211"/>
      <c r="O696" s="211"/>
      <c r="P696" s="211"/>
      <c r="Q696" s="84"/>
      <c r="R696" s="211"/>
      <c r="S696" s="211"/>
      <c r="T696" s="211"/>
      <c r="U696" s="211"/>
      <c r="V696" s="84"/>
      <c r="W696" s="211"/>
      <c r="X696" s="211"/>
      <c r="Y696" s="211"/>
      <c r="Z696" s="211"/>
      <c r="AA696" s="84"/>
      <c r="AB696" s="146"/>
      <c r="AC696" s="211"/>
      <c r="AD696" s="211"/>
      <c r="AE696" s="211"/>
      <c r="AF696" s="84"/>
      <c r="AG696" s="146"/>
      <c r="AH696" s="211"/>
      <c r="AI696" s="211"/>
      <c r="AJ696" s="211"/>
      <c r="AK696" s="84"/>
      <c r="AL696" s="146"/>
      <c r="AM696" s="211"/>
      <c r="AN696" s="211"/>
      <c r="AO696" s="211"/>
      <c r="AP696" s="436"/>
      <c r="AQ696" s="146"/>
      <c r="AR696" s="211"/>
      <c r="AS696" s="211"/>
      <c r="AT696" s="211"/>
      <c r="AU696" s="84"/>
      <c r="AV696" s="211"/>
      <c r="AW696" s="211"/>
      <c r="AX696" s="211"/>
      <c r="AY696" s="211"/>
      <c r="AZ696" s="84"/>
      <c r="BA696" s="211"/>
      <c r="BB696" s="211"/>
      <c r="BC696" s="211"/>
      <c r="BD696" s="211"/>
      <c r="BE696" s="84"/>
      <c r="BF696" s="211"/>
      <c r="BG696" s="451"/>
    </row>
    <row r="697" spans="1:59" ht="12.75">
      <c r="A697" s="211"/>
      <c r="B697" s="449"/>
      <c r="C697" s="450"/>
      <c r="D697" s="211"/>
      <c r="E697" s="211"/>
      <c r="F697" s="211"/>
      <c r="G697" s="84"/>
      <c r="H697" s="211"/>
      <c r="I697" s="211"/>
      <c r="J697" s="211"/>
      <c r="K697" s="211"/>
      <c r="L697" s="84"/>
      <c r="M697" s="211"/>
      <c r="N697" s="211"/>
      <c r="O697" s="211"/>
      <c r="P697" s="211"/>
      <c r="Q697" s="84"/>
      <c r="R697" s="211"/>
      <c r="S697" s="211"/>
      <c r="T697" s="211"/>
      <c r="U697" s="211"/>
      <c r="V697" s="84"/>
      <c r="W697" s="211"/>
      <c r="X697" s="211"/>
      <c r="Y697" s="211"/>
      <c r="Z697" s="211"/>
      <c r="AA697" s="84"/>
      <c r="AB697" s="146"/>
      <c r="AC697" s="211"/>
      <c r="AD697" s="211"/>
      <c r="AE697" s="211"/>
      <c r="AF697" s="84"/>
      <c r="AG697" s="146"/>
      <c r="AH697" s="211"/>
      <c r="AI697" s="211"/>
      <c r="AJ697" s="211"/>
      <c r="AK697" s="84"/>
      <c r="AL697" s="146"/>
      <c r="AM697" s="211"/>
      <c r="AN697" s="211"/>
      <c r="AO697" s="211"/>
      <c r="AP697" s="436"/>
      <c r="AQ697" s="146"/>
      <c r="AR697" s="211"/>
      <c r="AS697" s="211"/>
      <c r="AT697" s="211"/>
      <c r="AU697" s="84"/>
      <c r="AV697" s="211"/>
      <c r="AW697" s="211"/>
      <c r="AX697" s="211"/>
      <c r="AY697" s="211"/>
      <c r="AZ697" s="84"/>
      <c r="BA697" s="211"/>
      <c r="BB697" s="211"/>
      <c r="BC697" s="211"/>
      <c r="BD697" s="211"/>
      <c r="BE697" s="84"/>
      <c r="BF697" s="211"/>
      <c r="BG697" s="451"/>
    </row>
    <row r="698" spans="1:59" ht="12.75">
      <c r="A698" s="211"/>
      <c r="B698" s="449"/>
      <c r="C698" s="450"/>
      <c r="D698" s="211"/>
      <c r="E698" s="211"/>
      <c r="F698" s="211"/>
      <c r="G698" s="84"/>
      <c r="H698" s="211"/>
      <c r="I698" s="211"/>
      <c r="J698" s="211"/>
      <c r="K698" s="211"/>
      <c r="L698" s="84"/>
      <c r="M698" s="211"/>
      <c r="N698" s="211"/>
      <c r="O698" s="211"/>
      <c r="P698" s="211"/>
      <c r="Q698" s="84"/>
      <c r="R698" s="211"/>
      <c r="S698" s="211"/>
      <c r="T698" s="211"/>
      <c r="U698" s="211"/>
      <c r="V698" s="84"/>
      <c r="W698" s="211"/>
      <c r="X698" s="211"/>
      <c r="Y698" s="211"/>
      <c r="Z698" s="211"/>
      <c r="AA698" s="84"/>
      <c r="AB698" s="146"/>
      <c r="AC698" s="211"/>
      <c r="AD698" s="211"/>
      <c r="AE698" s="211"/>
      <c r="AF698" s="84"/>
      <c r="AG698" s="146"/>
      <c r="AH698" s="211"/>
      <c r="AI698" s="211"/>
      <c r="AJ698" s="211"/>
      <c r="AK698" s="84"/>
      <c r="AL698" s="146"/>
      <c r="AM698" s="211"/>
      <c r="AN698" s="211"/>
      <c r="AO698" s="211"/>
      <c r="AP698" s="436"/>
      <c r="AQ698" s="146"/>
      <c r="AR698" s="211"/>
      <c r="AS698" s="211"/>
      <c r="AT698" s="211"/>
      <c r="AU698" s="84"/>
      <c r="AV698" s="211"/>
      <c r="AW698" s="211"/>
      <c r="AX698" s="211"/>
      <c r="AY698" s="211"/>
      <c r="AZ698" s="84"/>
      <c r="BA698" s="211"/>
      <c r="BB698" s="211"/>
      <c r="BC698" s="211"/>
      <c r="BD698" s="211"/>
      <c r="BE698" s="84"/>
      <c r="BF698" s="211"/>
      <c r="BG698" s="451"/>
    </row>
    <row r="699" spans="1:59" ht="12.75">
      <c r="A699" s="211"/>
      <c r="B699" s="449"/>
      <c r="C699" s="450"/>
      <c r="D699" s="211"/>
      <c r="E699" s="211"/>
      <c r="F699" s="211"/>
      <c r="G699" s="84"/>
      <c r="H699" s="211"/>
      <c r="I699" s="211"/>
      <c r="J699" s="211"/>
      <c r="K699" s="211"/>
      <c r="L699" s="84"/>
      <c r="M699" s="211"/>
      <c r="N699" s="211"/>
      <c r="O699" s="211"/>
      <c r="P699" s="211"/>
      <c r="Q699" s="84"/>
      <c r="R699" s="211"/>
      <c r="S699" s="211"/>
      <c r="T699" s="211"/>
      <c r="U699" s="211"/>
      <c r="V699" s="84"/>
      <c r="W699" s="211"/>
      <c r="X699" s="211"/>
      <c r="Y699" s="211"/>
      <c r="Z699" s="211"/>
      <c r="AA699" s="84"/>
      <c r="AB699" s="146"/>
      <c r="AC699" s="211"/>
      <c r="AD699" s="211"/>
      <c r="AE699" s="211"/>
      <c r="AF699" s="84"/>
      <c r="AG699" s="146"/>
      <c r="AH699" s="211"/>
      <c r="AI699" s="211"/>
      <c r="AJ699" s="211"/>
      <c r="AK699" s="84"/>
      <c r="AL699" s="146"/>
      <c r="AM699" s="211"/>
      <c r="AN699" s="211"/>
      <c r="AO699" s="211"/>
      <c r="AP699" s="436"/>
      <c r="AQ699" s="146"/>
      <c r="AR699" s="211"/>
      <c r="AS699" s="211"/>
      <c r="AT699" s="211"/>
      <c r="AU699" s="84"/>
      <c r="AV699" s="211"/>
      <c r="AW699" s="211"/>
      <c r="AX699" s="211"/>
      <c r="AY699" s="211"/>
      <c r="AZ699" s="84"/>
      <c r="BA699" s="211"/>
      <c r="BB699" s="211"/>
      <c r="BC699" s="211"/>
      <c r="BD699" s="211"/>
      <c r="BE699" s="84"/>
      <c r="BF699" s="211"/>
      <c r="BG699" s="451"/>
    </row>
    <row r="700" spans="1:59" ht="12.75">
      <c r="A700" s="211"/>
      <c r="B700" s="449"/>
      <c r="C700" s="450"/>
      <c r="D700" s="211"/>
      <c r="E700" s="211"/>
      <c r="F700" s="211"/>
      <c r="G700" s="84"/>
      <c r="H700" s="211"/>
      <c r="I700" s="211"/>
      <c r="J700" s="211"/>
      <c r="K700" s="211"/>
      <c r="L700" s="84"/>
      <c r="M700" s="211"/>
      <c r="N700" s="211"/>
      <c r="O700" s="211"/>
      <c r="P700" s="211"/>
      <c r="Q700" s="84"/>
      <c r="R700" s="211"/>
      <c r="S700" s="211"/>
      <c r="T700" s="211"/>
      <c r="U700" s="211"/>
      <c r="V700" s="84"/>
      <c r="W700" s="211"/>
      <c r="X700" s="211"/>
      <c r="Y700" s="211"/>
      <c r="Z700" s="211"/>
      <c r="AA700" s="84"/>
      <c r="AB700" s="146"/>
      <c r="AC700" s="211"/>
      <c r="AD700" s="211"/>
      <c r="AE700" s="211"/>
      <c r="AF700" s="84"/>
      <c r="AG700" s="146"/>
      <c r="AH700" s="211"/>
      <c r="AI700" s="211"/>
      <c r="AJ700" s="211"/>
      <c r="AK700" s="84"/>
      <c r="AL700" s="146"/>
      <c r="AM700" s="211"/>
      <c r="AN700" s="211"/>
      <c r="AO700" s="211"/>
      <c r="AP700" s="436"/>
      <c r="AQ700" s="146"/>
      <c r="AR700" s="211"/>
      <c r="AS700" s="211"/>
      <c r="AT700" s="211"/>
      <c r="AU700" s="84"/>
      <c r="AV700" s="211"/>
      <c r="AW700" s="211"/>
      <c r="AX700" s="211"/>
      <c r="AY700" s="211"/>
      <c r="AZ700" s="84"/>
      <c r="BA700" s="211"/>
      <c r="BB700" s="211"/>
      <c r="BC700" s="211"/>
      <c r="BD700" s="211"/>
      <c r="BE700" s="84"/>
      <c r="BF700" s="211"/>
      <c r="BG700" s="451"/>
    </row>
    <row r="701" spans="1:59" ht="12.75">
      <c r="A701" s="211"/>
      <c r="B701" s="449"/>
      <c r="C701" s="450"/>
      <c r="D701" s="211"/>
      <c r="E701" s="211"/>
      <c r="F701" s="211"/>
      <c r="G701" s="84"/>
      <c r="H701" s="211"/>
      <c r="I701" s="211"/>
      <c r="J701" s="211"/>
      <c r="K701" s="211"/>
      <c r="L701" s="84"/>
      <c r="M701" s="211"/>
      <c r="N701" s="211"/>
      <c r="O701" s="211"/>
      <c r="P701" s="211"/>
      <c r="Q701" s="84"/>
      <c r="R701" s="211"/>
      <c r="S701" s="211"/>
      <c r="T701" s="211"/>
      <c r="U701" s="211"/>
      <c r="V701" s="84"/>
      <c r="W701" s="211"/>
      <c r="X701" s="211"/>
      <c r="Y701" s="211"/>
      <c r="Z701" s="211"/>
      <c r="AA701" s="84"/>
      <c r="AB701" s="146"/>
      <c r="AC701" s="211"/>
      <c r="AD701" s="211"/>
      <c r="AE701" s="211"/>
      <c r="AF701" s="84"/>
      <c r="AG701" s="146"/>
      <c r="AH701" s="211"/>
      <c r="AI701" s="211"/>
      <c r="AJ701" s="211"/>
      <c r="AK701" s="84"/>
      <c r="AL701" s="146"/>
      <c r="AM701" s="211"/>
      <c r="AN701" s="211"/>
      <c r="AO701" s="211"/>
      <c r="AP701" s="436"/>
      <c r="AQ701" s="146"/>
      <c r="AR701" s="211"/>
      <c r="AS701" s="211"/>
      <c r="AT701" s="211"/>
      <c r="AU701" s="84"/>
      <c r="AV701" s="211"/>
      <c r="AW701" s="211"/>
      <c r="AX701" s="211"/>
      <c r="AY701" s="211"/>
      <c r="AZ701" s="84"/>
      <c r="BA701" s="211"/>
      <c r="BB701" s="211"/>
      <c r="BC701" s="211"/>
      <c r="BD701" s="211"/>
      <c r="BE701" s="84"/>
      <c r="BF701" s="211"/>
      <c r="BG701" s="451"/>
    </row>
    <row r="702" spans="1:59" ht="12.75">
      <c r="A702" s="211"/>
      <c r="B702" s="449"/>
      <c r="C702" s="450"/>
      <c r="D702" s="211"/>
      <c r="E702" s="211"/>
      <c r="F702" s="211"/>
      <c r="G702" s="84"/>
      <c r="H702" s="211"/>
      <c r="I702" s="211"/>
      <c r="J702" s="211"/>
      <c r="K702" s="211"/>
      <c r="L702" s="84"/>
      <c r="M702" s="211"/>
      <c r="N702" s="211"/>
      <c r="O702" s="211"/>
      <c r="P702" s="211"/>
      <c r="Q702" s="84"/>
      <c r="R702" s="211"/>
      <c r="S702" s="211"/>
      <c r="T702" s="211"/>
      <c r="U702" s="211"/>
      <c r="V702" s="84"/>
      <c r="W702" s="211"/>
      <c r="X702" s="211"/>
      <c r="Y702" s="211"/>
      <c r="Z702" s="211"/>
      <c r="AA702" s="84"/>
      <c r="AB702" s="146"/>
      <c r="AC702" s="211"/>
      <c r="AD702" s="211"/>
      <c r="AE702" s="211"/>
      <c r="AF702" s="84"/>
      <c r="AG702" s="146"/>
      <c r="AH702" s="211"/>
      <c r="AI702" s="211"/>
      <c r="AJ702" s="211"/>
      <c r="AK702" s="84"/>
      <c r="AL702" s="146"/>
      <c r="AM702" s="211"/>
      <c r="AN702" s="211"/>
      <c r="AO702" s="211"/>
      <c r="AP702" s="436"/>
      <c r="AQ702" s="146"/>
      <c r="AR702" s="211"/>
      <c r="AS702" s="211"/>
      <c r="AT702" s="211"/>
      <c r="AU702" s="84"/>
      <c r="AV702" s="211"/>
      <c r="AW702" s="211"/>
      <c r="AX702" s="211"/>
      <c r="AY702" s="211"/>
      <c r="AZ702" s="84"/>
      <c r="BA702" s="211"/>
      <c r="BB702" s="211"/>
      <c r="BC702" s="211"/>
      <c r="BD702" s="211"/>
      <c r="BE702" s="84"/>
      <c r="BF702" s="211"/>
      <c r="BG702" s="451"/>
    </row>
    <row r="703" spans="1:59" ht="12.75">
      <c r="A703" s="211"/>
      <c r="B703" s="449"/>
      <c r="C703" s="450"/>
      <c r="D703" s="211"/>
      <c r="E703" s="211"/>
      <c r="F703" s="211"/>
      <c r="G703" s="84"/>
      <c r="H703" s="211"/>
      <c r="I703" s="211"/>
      <c r="J703" s="211"/>
      <c r="K703" s="211"/>
      <c r="L703" s="84"/>
      <c r="M703" s="211"/>
      <c r="N703" s="211"/>
      <c r="O703" s="211"/>
      <c r="P703" s="211"/>
      <c r="Q703" s="84"/>
      <c r="R703" s="211"/>
      <c r="S703" s="211"/>
      <c r="T703" s="211"/>
      <c r="U703" s="211"/>
      <c r="V703" s="84"/>
      <c r="W703" s="211"/>
      <c r="X703" s="211"/>
      <c r="Y703" s="211"/>
      <c r="Z703" s="211"/>
      <c r="AA703" s="84"/>
      <c r="AB703" s="146"/>
      <c r="AC703" s="211"/>
      <c r="AD703" s="211"/>
      <c r="AE703" s="211"/>
      <c r="AF703" s="84"/>
      <c r="AG703" s="146"/>
      <c r="AH703" s="211"/>
      <c r="AI703" s="211"/>
      <c r="AJ703" s="211"/>
      <c r="AK703" s="84"/>
      <c r="AL703" s="146"/>
      <c r="AM703" s="211"/>
      <c r="AN703" s="211"/>
      <c r="AO703" s="211"/>
      <c r="AP703" s="436"/>
      <c r="AQ703" s="146"/>
      <c r="AR703" s="211"/>
      <c r="AS703" s="211"/>
      <c r="AT703" s="211"/>
      <c r="AU703" s="84"/>
      <c r="AV703" s="211"/>
      <c r="AW703" s="211"/>
      <c r="AX703" s="211"/>
      <c r="AY703" s="211"/>
      <c r="AZ703" s="84"/>
      <c r="BA703" s="211"/>
      <c r="BB703" s="211"/>
      <c r="BC703" s="211"/>
      <c r="BD703" s="211"/>
      <c r="BE703" s="84"/>
      <c r="BF703" s="211"/>
      <c r="BG703" s="451"/>
    </row>
    <row r="704" spans="1:59" ht="12.75">
      <c r="A704" s="211"/>
      <c r="B704" s="449"/>
      <c r="C704" s="450"/>
      <c r="D704" s="211"/>
      <c r="E704" s="211"/>
      <c r="F704" s="211"/>
      <c r="G704" s="84"/>
      <c r="H704" s="211"/>
      <c r="I704" s="211"/>
      <c r="J704" s="211"/>
      <c r="K704" s="211"/>
      <c r="L704" s="84"/>
      <c r="M704" s="211"/>
      <c r="N704" s="211"/>
      <c r="O704" s="211"/>
      <c r="P704" s="211"/>
      <c r="Q704" s="84"/>
      <c r="R704" s="211"/>
      <c r="S704" s="211"/>
      <c r="T704" s="211"/>
      <c r="U704" s="211"/>
      <c r="V704" s="84"/>
      <c r="W704" s="211"/>
      <c r="X704" s="211"/>
      <c r="Y704" s="211"/>
      <c r="Z704" s="211"/>
      <c r="AA704" s="84"/>
      <c r="AB704" s="146"/>
      <c r="AC704" s="211"/>
      <c r="AD704" s="211"/>
      <c r="AE704" s="211"/>
      <c r="AF704" s="84"/>
      <c r="AG704" s="146"/>
      <c r="AH704" s="211"/>
      <c r="AI704" s="211"/>
      <c r="AJ704" s="211"/>
      <c r="AK704" s="84"/>
      <c r="AL704" s="146"/>
      <c r="AM704" s="211"/>
      <c r="AN704" s="211"/>
      <c r="AO704" s="211"/>
      <c r="AP704" s="436"/>
      <c r="AQ704" s="146"/>
      <c r="AR704" s="211"/>
      <c r="AS704" s="211"/>
      <c r="AT704" s="211"/>
      <c r="AU704" s="84"/>
      <c r="AV704" s="211"/>
      <c r="AW704" s="211"/>
      <c r="AX704" s="211"/>
      <c r="AY704" s="211"/>
      <c r="AZ704" s="84"/>
      <c r="BA704" s="211"/>
      <c r="BB704" s="211"/>
      <c r="BC704" s="211"/>
      <c r="BD704" s="211"/>
      <c r="BE704" s="84"/>
      <c r="BF704" s="211"/>
      <c r="BG704" s="451"/>
    </row>
    <row r="705" spans="1:59" ht="12.75">
      <c r="A705" s="211"/>
      <c r="B705" s="449"/>
      <c r="C705" s="450"/>
      <c r="D705" s="211"/>
      <c r="E705" s="211"/>
      <c r="F705" s="211"/>
      <c r="G705" s="84"/>
      <c r="H705" s="211"/>
      <c r="I705" s="211"/>
      <c r="J705" s="211"/>
      <c r="K705" s="211"/>
      <c r="L705" s="84"/>
      <c r="M705" s="211"/>
      <c r="N705" s="211"/>
      <c r="O705" s="211"/>
      <c r="P705" s="211"/>
      <c r="Q705" s="84"/>
      <c r="R705" s="211"/>
      <c r="S705" s="211"/>
      <c r="T705" s="211"/>
      <c r="U705" s="211"/>
      <c r="V705" s="84"/>
      <c r="W705" s="211"/>
      <c r="X705" s="211"/>
      <c r="Y705" s="211"/>
      <c r="Z705" s="211"/>
      <c r="AA705" s="84"/>
      <c r="AB705" s="146"/>
      <c r="AC705" s="211"/>
      <c r="AD705" s="211"/>
      <c r="AE705" s="211"/>
      <c r="AF705" s="84"/>
      <c r="AG705" s="146"/>
      <c r="AH705" s="211"/>
      <c r="AI705" s="211"/>
      <c r="AJ705" s="211"/>
      <c r="AK705" s="84"/>
      <c r="AL705" s="146"/>
      <c r="AM705" s="211"/>
      <c r="AN705" s="211"/>
      <c r="AO705" s="211"/>
      <c r="AP705" s="436"/>
      <c r="AQ705" s="146"/>
      <c r="AR705" s="211"/>
      <c r="AS705" s="211"/>
      <c r="AT705" s="211"/>
      <c r="AU705" s="84"/>
      <c r="AV705" s="211"/>
      <c r="AW705" s="211"/>
      <c r="AX705" s="211"/>
      <c r="AY705" s="211"/>
      <c r="AZ705" s="84"/>
      <c r="BA705" s="211"/>
      <c r="BB705" s="211"/>
      <c r="BC705" s="211"/>
      <c r="BD705" s="211"/>
      <c r="BE705" s="84"/>
      <c r="BF705" s="211"/>
      <c r="BG705" s="451"/>
    </row>
    <row r="706" spans="1:59" ht="12.75">
      <c r="A706" s="211"/>
      <c r="B706" s="449"/>
      <c r="C706" s="450"/>
      <c r="D706" s="211"/>
      <c r="E706" s="211"/>
      <c r="F706" s="211"/>
      <c r="G706" s="84"/>
      <c r="H706" s="211"/>
      <c r="I706" s="211"/>
      <c r="J706" s="211"/>
      <c r="K706" s="211"/>
      <c r="L706" s="84"/>
      <c r="M706" s="211"/>
      <c r="N706" s="211"/>
      <c r="O706" s="211"/>
      <c r="P706" s="211"/>
      <c r="Q706" s="84"/>
      <c r="R706" s="211"/>
      <c r="S706" s="211"/>
      <c r="T706" s="211"/>
      <c r="U706" s="211"/>
      <c r="V706" s="84"/>
      <c r="W706" s="211"/>
      <c r="X706" s="211"/>
      <c r="Y706" s="211"/>
      <c r="Z706" s="211"/>
      <c r="AA706" s="84"/>
      <c r="AB706" s="146"/>
      <c r="AC706" s="211"/>
      <c r="AD706" s="211"/>
      <c r="AE706" s="211"/>
      <c r="AF706" s="84"/>
      <c r="AG706" s="146"/>
      <c r="AH706" s="211"/>
      <c r="AI706" s="211"/>
      <c r="AJ706" s="211"/>
      <c r="AK706" s="84"/>
      <c r="AL706" s="146"/>
      <c r="AM706" s="211"/>
      <c r="AN706" s="211"/>
      <c r="AO706" s="211"/>
      <c r="AP706" s="436"/>
      <c r="AQ706" s="146"/>
      <c r="AR706" s="211"/>
      <c r="AS706" s="211"/>
      <c r="AT706" s="211"/>
      <c r="AU706" s="84"/>
      <c r="AV706" s="211"/>
      <c r="AW706" s="211"/>
      <c r="AX706" s="211"/>
      <c r="AY706" s="211"/>
      <c r="AZ706" s="84"/>
      <c r="BA706" s="211"/>
      <c r="BB706" s="211"/>
      <c r="BC706" s="211"/>
      <c r="BD706" s="211"/>
      <c r="BE706" s="84"/>
      <c r="BF706" s="211"/>
      <c r="BG706" s="451"/>
    </row>
    <row r="707" spans="1:59" ht="12.75">
      <c r="A707" s="211"/>
      <c r="B707" s="449"/>
      <c r="C707" s="450"/>
      <c r="D707" s="211"/>
      <c r="E707" s="211"/>
      <c r="F707" s="211"/>
      <c r="G707" s="84"/>
      <c r="H707" s="211"/>
      <c r="I707" s="211"/>
      <c r="J707" s="211"/>
      <c r="K707" s="211"/>
      <c r="L707" s="84"/>
      <c r="M707" s="211"/>
      <c r="N707" s="211"/>
      <c r="O707" s="211"/>
      <c r="P707" s="211"/>
      <c r="Q707" s="84"/>
      <c r="R707" s="211"/>
      <c r="S707" s="211"/>
      <c r="T707" s="211"/>
      <c r="U707" s="211"/>
      <c r="V707" s="84"/>
      <c r="W707" s="211"/>
      <c r="X707" s="211"/>
      <c r="Y707" s="211"/>
      <c r="Z707" s="211"/>
      <c r="AA707" s="84"/>
      <c r="AB707" s="146"/>
      <c r="AC707" s="211"/>
      <c r="AD707" s="211"/>
      <c r="AE707" s="211"/>
      <c r="AF707" s="84"/>
      <c r="AG707" s="146"/>
      <c r="AH707" s="211"/>
      <c r="AI707" s="211"/>
      <c r="AJ707" s="211"/>
      <c r="AK707" s="84"/>
      <c r="AL707" s="146"/>
      <c r="AM707" s="211"/>
      <c r="AN707" s="211"/>
      <c r="AO707" s="211"/>
      <c r="AP707" s="436"/>
      <c r="AQ707" s="146"/>
      <c r="AR707" s="211"/>
      <c r="AS707" s="211"/>
      <c r="AT707" s="211"/>
      <c r="AU707" s="84"/>
      <c r="AV707" s="211"/>
      <c r="AW707" s="211"/>
      <c r="AX707" s="211"/>
      <c r="AY707" s="211"/>
      <c r="AZ707" s="84"/>
      <c r="BA707" s="211"/>
      <c r="BB707" s="211"/>
      <c r="BC707" s="211"/>
      <c r="BD707" s="211"/>
      <c r="BE707" s="84"/>
      <c r="BF707" s="211"/>
      <c r="BG707" s="451"/>
    </row>
    <row r="708" spans="1:59" ht="12.75">
      <c r="A708" s="211"/>
      <c r="B708" s="449"/>
      <c r="C708" s="450"/>
      <c r="D708" s="211"/>
      <c r="E708" s="211"/>
      <c r="F708" s="211"/>
      <c r="G708" s="84"/>
      <c r="H708" s="211"/>
      <c r="I708" s="211"/>
      <c r="J708" s="211"/>
      <c r="K708" s="211"/>
      <c r="L708" s="84"/>
      <c r="M708" s="211"/>
      <c r="N708" s="211"/>
      <c r="O708" s="211"/>
      <c r="P708" s="211"/>
      <c r="Q708" s="84"/>
      <c r="R708" s="211"/>
      <c r="S708" s="211"/>
      <c r="T708" s="211"/>
      <c r="U708" s="211"/>
      <c r="V708" s="84"/>
      <c r="W708" s="211"/>
      <c r="X708" s="211"/>
      <c r="Y708" s="211"/>
      <c r="Z708" s="211"/>
      <c r="AA708" s="84"/>
      <c r="AB708" s="146"/>
      <c r="AC708" s="211"/>
      <c r="AD708" s="211"/>
      <c r="AE708" s="211"/>
      <c r="AF708" s="84"/>
      <c r="AG708" s="146"/>
      <c r="AH708" s="211"/>
      <c r="AI708" s="211"/>
      <c r="AJ708" s="211"/>
      <c r="AK708" s="84"/>
      <c r="AL708" s="146"/>
      <c r="AM708" s="211"/>
      <c r="AN708" s="211"/>
      <c r="AO708" s="211"/>
      <c r="AP708" s="436"/>
      <c r="AQ708" s="146"/>
      <c r="AR708" s="211"/>
      <c r="AS708" s="211"/>
      <c r="AT708" s="211"/>
      <c r="AU708" s="84"/>
      <c r="AV708" s="211"/>
      <c r="AW708" s="211"/>
      <c r="AX708" s="211"/>
      <c r="AY708" s="211"/>
      <c r="AZ708" s="84"/>
      <c r="BA708" s="211"/>
      <c r="BB708" s="211"/>
      <c r="BC708" s="211"/>
      <c r="BD708" s="211"/>
      <c r="BE708" s="84"/>
      <c r="BF708" s="211"/>
      <c r="BG708" s="451"/>
    </row>
    <row r="709" spans="1:59" ht="12.75">
      <c r="A709" s="211"/>
      <c r="B709" s="449"/>
      <c r="C709" s="450"/>
      <c r="D709" s="211"/>
      <c r="E709" s="211"/>
      <c r="F709" s="211"/>
      <c r="G709" s="84"/>
      <c r="H709" s="211"/>
      <c r="I709" s="211"/>
      <c r="J709" s="211"/>
      <c r="K709" s="211"/>
      <c r="L709" s="84"/>
      <c r="M709" s="211"/>
      <c r="N709" s="211"/>
      <c r="O709" s="211"/>
      <c r="P709" s="211"/>
      <c r="Q709" s="84"/>
      <c r="R709" s="211"/>
      <c r="S709" s="211"/>
      <c r="T709" s="211"/>
      <c r="U709" s="211"/>
      <c r="V709" s="84"/>
      <c r="W709" s="211"/>
      <c r="X709" s="211"/>
      <c r="Y709" s="211"/>
      <c r="Z709" s="211"/>
      <c r="AA709" s="84"/>
      <c r="AB709" s="146"/>
      <c r="AC709" s="211"/>
      <c r="AD709" s="211"/>
      <c r="AE709" s="211"/>
      <c r="AF709" s="84"/>
      <c r="AG709" s="146"/>
      <c r="AH709" s="211"/>
      <c r="AI709" s="211"/>
      <c r="AJ709" s="211"/>
      <c r="AK709" s="84"/>
      <c r="AL709" s="146"/>
      <c r="AM709" s="211"/>
      <c r="AN709" s="211"/>
      <c r="AO709" s="211"/>
      <c r="AP709" s="436"/>
      <c r="AQ709" s="146"/>
      <c r="AR709" s="211"/>
      <c r="AS709" s="211"/>
      <c r="AT709" s="211"/>
      <c r="AU709" s="84"/>
      <c r="AV709" s="211"/>
      <c r="AW709" s="211"/>
      <c r="AX709" s="211"/>
      <c r="AY709" s="211"/>
      <c r="AZ709" s="84"/>
      <c r="BA709" s="211"/>
      <c r="BB709" s="211"/>
      <c r="BC709" s="211"/>
      <c r="BD709" s="211"/>
      <c r="BE709" s="84"/>
      <c r="BF709" s="211"/>
      <c r="BG709" s="451"/>
    </row>
    <row r="710" spans="1:59" ht="12.75">
      <c r="A710" s="211"/>
      <c r="B710" s="449"/>
      <c r="C710" s="450"/>
      <c r="D710" s="211"/>
      <c r="E710" s="211"/>
      <c r="F710" s="211"/>
      <c r="G710" s="84"/>
      <c r="H710" s="211"/>
      <c r="I710" s="211"/>
      <c r="J710" s="211"/>
      <c r="K710" s="211"/>
      <c r="L710" s="84"/>
      <c r="M710" s="211"/>
      <c r="N710" s="211"/>
      <c r="O710" s="211"/>
      <c r="P710" s="211"/>
      <c r="Q710" s="84"/>
      <c r="R710" s="211"/>
      <c r="S710" s="211"/>
      <c r="T710" s="211"/>
      <c r="U710" s="211"/>
      <c r="V710" s="84"/>
      <c r="W710" s="211"/>
      <c r="X710" s="211"/>
      <c r="Y710" s="211"/>
      <c r="Z710" s="211"/>
      <c r="AA710" s="84"/>
      <c r="AB710" s="146"/>
      <c r="AC710" s="211"/>
      <c r="AD710" s="211"/>
      <c r="AE710" s="211"/>
      <c r="AF710" s="84"/>
      <c r="AG710" s="146"/>
      <c r="AH710" s="211"/>
      <c r="AI710" s="211"/>
      <c r="AJ710" s="211"/>
      <c r="AK710" s="84"/>
      <c r="AL710" s="146"/>
      <c r="AM710" s="211"/>
      <c r="AN710" s="211"/>
      <c r="AO710" s="211"/>
      <c r="AP710" s="436"/>
      <c r="AQ710" s="146"/>
      <c r="AR710" s="211"/>
      <c r="AS710" s="211"/>
      <c r="AT710" s="211"/>
      <c r="AU710" s="84"/>
      <c r="AV710" s="211"/>
      <c r="AW710" s="211"/>
      <c r="AX710" s="211"/>
      <c r="AY710" s="211"/>
      <c r="AZ710" s="84"/>
      <c r="BA710" s="211"/>
      <c r="BB710" s="211"/>
      <c r="BC710" s="211"/>
      <c r="BD710" s="211"/>
      <c r="BE710" s="84"/>
      <c r="BF710" s="211"/>
      <c r="BG710" s="451"/>
    </row>
    <row r="711" spans="1:59" ht="12.75">
      <c r="A711" s="211"/>
      <c r="B711" s="449"/>
      <c r="C711" s="450"/>
      <c r="D711" s="211"/>
      <c r="E711" s="211"/>
      <c r="F711" s="211"/>
      <c r="G711" s="84"/>
      <c r="H711" s="211"/>
      <c r="I711" s="211"/>
      <c r="J711" s="211"/>
      <c r="K711" s="211"/>
      <c r="L711" s="84"/>
      <c r="M711" s="211"/>
      <c r="N711" s="211"/>
      <c r="O711" s="211"/>
      <c r="P711" s="211"/>
      <c r="Q711" s="84"/>
      <c r="R711" s="211"/>
      <c r="S711" s="211"/>
      <c r="T711" s="211"/>
      <c r="U711" s="211"/>
      <c r="V711" s="84"/>
      <c r="W711" s="211"/>
      <c r="X711" s="211"/>
      <c r="Y711" s="211"/>
      <c r="Z711" s="211"/>
      <c r="AA711" s="84"/>
      <c r="AB711" s="146"/>
      <c r="AC711" s="211"/>
      <c r="AD711" s="211"/>
      <c r="AE711" s="211"/>
      <c r="AF711" s="84"/>
      <c r="AG711" s="146"/>
      <c r="AH711" s="211"/>
      <c r="AI711" s="211"/>
      <c r="AJ711" s="211"/>
      <c r="AK711" s="84"/>
      <c r="AL711" s="146"/>
      <c r="AM711" s="211"/>
      <c r="AN711" s="211"/>
      <c r="AO711" s="211"/>
      <c r="AP711" s="436"/>
      <c r="AQ711" s="146"/>
      <c r="AR711" s="211"/>
      <c r="AS711" s="211"/>
      <c r="AT711" s="211"/>
      <c r="AU711" s="84"/>
      <c r="AV711" s="211"/>
      <c r="AW711" s="211"/>
      <c r="AX711" s="211"/>
      <c r="AY711" s="211"/>
      <c r="AZ711" s="84"/>
      <c r="BA711" s="211"/>
      <c r="BB711" s="211"/>
      <c r="BC711" s="211"/>
      <c r="BD711" s="211"/>
      <c r="BE711" s="84"/>
      <c r="BF711" s="211"/>
      <c r="BG711" s="451"/>
    </row>
    <row r="712" spans="1:59" ht="12.75">
      <c r="A712" s="211"/>
      <c r="B712" s="449"/>
      <c r="C712" s="450"/>
      <c r="D712" s="211"/>
      <c r="E712" s="211"/>
      <c r="F712" s="211"/>
      <c r="G712" s="84"/>
      <c r="H712" s="211"/>
      <c r="I712" s="211"/>
      <c r="J712" s="211"/>
      <c r="K712" s="211"/>
      <c r="L712" s="84"/>
      <c r="M712" s="211"/>
      <c r="N712" s="211"/>
      <c r="O712" s="211"/>
      <c r="P712" s="211"/>
      <c r="Q712" s="84"/>
      <c r="R712" s="211"/>
      <c r="S712" s="211"/>
      <c r="T712" s="211"/>
      <c r="U712" s="211"/>
      <c r="V712" s="84"/>
      <c r="W712" s="211"/>
      <c r="X712" s="211"/>
      <c r="Y712" s="211"/>
      <c r="Z712" s="211"/>
      <c r="AA712" s="84"/>
      <c r="AB712" s="146"/>
      <c r="AC712" s="211"/>
      <c r="AD712" s="211"/>
      <c r="AE712" s="211"/>
      <c r="AF712" s="84"/>
      <c r="AG712" s="146"/>
      <c r="AH712" s="211"/>
      <c r="AI712" s="211"/>
      <c r="AJ712" s="211"/>
      <c r="AK712" s="84"/>
      <c r="AL712" s="146"/>
      <c r="AM712" s="211"/>
      <c r="AN712" s="211"/>
      <c r="AO712" s="211"/>
      <c r="AP712" s="436"/>
      <c r="AQ712" s="146"/>
      <c r="AR712" s="211"/>
      <c r="AS712" s="211"/>
      <c r="AT712" s="211"/>
      <c r="AU712" s="84"/>
      <c r="AV712" s="211"/>
      <c r="AW712" s="211"/>
      <c r="AX712" s="211"/>
      <c r="AY712" s="211"/>
      <c r="AZ712" s="84"/>
      <c r="BA712" s="211"/>
      <c r="BB712" s="211"/>
      <c r="BC712" s="211"/>
      <c r="BD712" s="211"/>
      <c r="BE712" s="84"/>
      <c r="BF712" s="211"/>
      <c r="BG712" s="451"/>
    </row>
    <row r="713" spans="1:59" ht="12.75">
      <c r="A713" s="211"/>
      <c r="B713" s="449"/>
      <c r="C713" s="450"/>
      <c r="D713" s="211"/>
      <c r="E713" s="211"/>
      <c r="F713" s="211"/>
      <c r="G713" s="84"/>
      <c r="H713" s="211"/>
      <c r="I713" s="211"/>
      <c r="J713" s="211"/>
      <c r="K713" s="211"/>
      <c r="L713" s="84"/>
      <c r="M713" s="211"/>
      <c r="N713" s="211"/>
      <c r="O713" s="211"/>
      <c r="P713" s="211"/>
      <c r="Q713" s="84"/>
      <c r="R713" s="211"/>
      <c r="S713" s="211"/>
      <c r="T713" s="211"/>
      <c r="U713" s="211"/>
      <c r="V713" s="84"/>
      <c r="W713" s="211"/>
      <c r="X713" s="211"/>
      <c r="Y713" s="211"/>
      <c r="Z713" s="211"/>
      <c r="AA713" s="84"/>
      <c r="AB713" s="146"/>
      <c r="AC713" s="211"/>
      <c r="AD713" s="211"/>
      <c r="AE713" s="211"/>
      <c r="AF713" s="84"/>
      <c r="AG713" s="146"/>
      <c r="AH713" s="211"/>
      <c r="AI713" s="211"/>
      <c r="AJ713" s="211"/>
      <c r="AK713" s="84"/>
      <c r="AL713" s="146"/>
      <c r="AM713" s="211"/>
      <c r="AN713" s="211"/>
      <c r="AO713" s="211"/>
      <c r="AP713" s="436"/>
      <c r="AQ713" s="146"/>
      <c r="AR713" s="211"/>
      <c r="AS713" s="211"/>
      <c r="AT713" s="211"/>
      <c r="AU713" s="84"/>
      <c r="AV713" s="211"/>
      <c r="AW713" s="211"/>
      <c r="AX713" s="211"/>
      <c r="AY713" s="211"/>
      <c r="AZ713" s="84"/>
      <c r="BA713" s="211"/>
      <c r="BB713" s="211"/>
      <c r="BC713" s="211"/>
      <c r="BD713" s="211"/>
      <c r="BE713" s="84"/>
      <c r="BF713" s="211"/>
      <c r="BG713" s="451"/>
    </row>
    <row r="714" spans="1:59" ht="12.75">
      <c r="A714" s="211"/>
      <c r="B714" s="449"/>
      <c r="C714" s="450"/>
      <c r="D714" s="211"/>
      <c r="E714" s="211"/>
      <c r="F714" s="211"/>
      <c r="G714" s="84"/>
      <c r="H714" s="211"/>
      <c r="I714" s="211"/>
      <c r="J714" s="211"/>
      <c r="K714" s="211"/>
      <c r="L714" s="84"/>
      <c r="M714" s="211"/>
      <c r="N714" s="211"/>
      <c r="O714" s="211"/>
      <c r="P714" s="211"/>
      <c r="Q714" s="84"/>
      <c r="R714" s="211"/>
      <c r="S714" s="211"/>
      <c r="T714" s="211"/>
      <c r="U714" s="211"/>
      <c r="V714" s="84"/>
      <c r="W714" s="211"/>
      <c r="X714" s="211"/>
      <c r="Y714" s="211"/>
      <c r="Z714" s="211"/>
      <c r="AA714" s="84"/>
      <c r="AB714" s="146"/>
      <c r="AC714" s="211"/>
      <c r="AD714" s="211"/>
      <c r="AE714" s="211"/>
      <c r="AF714" s="84"/>
      <c r="AG714" s="146"/>
      <c r="AH714" s="211"/>
      <c r="AI714" s="211"/>
      <c r="AJ714" s="211"/>
      <c r="AK714" s="84"/>
      <c r="AL714" s="146"/>
      <c r="AM714" s="211"/>
      <c r="AN714" s="211"/>
      <c r="AO714" s="211"/>
      <c r="AP714" s="436"/>
      <c r="AQ714" s="146"/>
      <c r="AR714" s="211"/>
      <c r="AS714" s="211"/>
      <c r="AT714" s="211"/>
      <c r="AU714" s="84"/>
      <c r="AV714" s="211"/>
      <c r="AW714" s="211"/>
      <c r="AX714" s="211"/>
      <c r="AY714" s="211"/>
      <c r="AZ714" s="84"/>
      <c r="BA714" s="211"/>
      <c r="BB714" s="211"/>
      <c r="BC714" s="211"/>
      <c r="BD714" s="211"/>
      <c r="BE714" s="84"/>
      <c r="BF714" s="211"/>
      <c r="BG714" s="451"/>
    </row>
    <row r="715" spans="1:59" ht="12.75">
      <c r="A715" s="211"/>
      <c r="B715" s="449"/>
      <c r="C715" s="450"/>
      <c r="D715" s="211"/>
      <c r="E715" s="211"/>
      <c r="F715" s="211"/>
      <c r="G715" s="84"/>
      <c r="H715" s="211"/>
      <c r="I715" s="211"/>
      <c r="J715" s="211"/>
      <c r="K715" s="211"/>
      <c r="L715" s="84"/>
      <c r="M715" s="211"/>
      <c r="N715" s="211"/>
      <c r="O715" s="211"/>
      <c r="P715" s="211"/>
      <c r="Q715" s="84"/>
      <c r="R715" s="211"/>
      <c r="S715" s="211"/>
      <c r="T715" s="211"/>
      <c r="U715" s="211"/>
      <c r="V715" s="84"/>
      <c r="W715" s="211"/>
      <c r="X715" s="211"/>
      <c r="Y715" s="211"/>
      <c r="Z715" s="211"/>
      <c r="AA715" s="84"/>
      <c r="AB715" s="146"/>
      <c r="AC715" s="211"/>
      <c r="AD715" s="211"/>
      <c r="AE715" s="211"/>
      <c r="AF715" s="84"/>
      <c r="AG715" s="146"/>
      <c r="AH715" s="211"/>
      <c r="AI715" s="211"/>
      <c r="AJ715" s="211"/>
      <c r="AK715" s="84"/>
      <c r="AL715" s="146"/>
      <c r="AM715" s="211"/>
      <c r="AN715" s="211"/>
      <c r="AO715" s="211"/>
      <c r="AP715" s="436"/>
      <c r="AQ715" s="146"/>
      <c r="AR715" s="211"/>
      <c r="AS715" s="211"/>
      <c r="AT715" s="211"/>
      <c r="AU715" s="84"/>
      <c r="AV715" s="211"/>
      <c r="AW715" s="211"/>
      <c r="AX715" s="211"/>
      <c r="AY715" s="211"/>
      <c r="AZ715" s="84"/>
      <c r="BA715" s="211"/>
      <c r="BB715" s="211"/>
      <c r="BC715" s="211"/>
      <c r="BD715" s="211"/>
      <c r="BE715" s="84"/>
      <c r="BF715" s="211"/>
      <c r="BG715" s="451"/>
    </row>
    <row r="716" spans="1:59" ht="12.75">
      <c r="A716" s="211"/>
      <c r="B716" s="449"/>
      <c r="C716" s="450"/>
      <c r="D716" s="211"/>
      <c r="E716" s="211"/>
      <c r="F716" s="211"/>
      <c r="G716" s="84"/>
      <c r="H716" s="211"/>
      <c r="I716" s="211"/>
      <c r="J716" s="211"/>
      <c r="K716" s="211"/>
      <c r="L716" s="84"/>
      <c r="M716" s="211"/>
      <c r="N716" s="211"/>
      <c r="O716" s="211"/>
      <c r="P716" s="211"/>
      <c r="Q716" s="84"/>
      <c r="R716" s="211"/>
      <c r="S716" s="211"/>
      <c r="T716" s="211"/>
      <c r="U716" s="211"/>
      <c r="V716" s="84"/>
      <c r="W716" s="211"/>
      <c r="X716" s="211"/>
      <c r="Y716" s="211"/>
      <c r="Z716" s="211"/>
      <c r="AA716" s="84"/>
      <c r="AB716" s="146"/>
      <c r="AC716" s="211"/>
      <c r="AD716" s="211"/>
      <c r="AE716" s="211"/>
      <c r="AF716" s="84"/>
      <c r="AG716" s="146"/>
      <c r="AH716" s="211"/>
      <c r="AI716" s="211"/>
      <c r="AJ716" s="211"/>
      <c r="AK716" s="84"/>
      <c r="AL716" s="146"/>
      <c r="AM716" s="211"/>
      <c r="AN716" s="211"/>
      <c r="AO716" s="211"/>
      <c r="AP716" s="436"/>
      <c r="AQ716" s="146"/>
      <c r="AR716" s="211"/>
      <c r="AS716" s="211"/>
      <c r="AT716" s="211"/>
      <c r="AU716" s="84"/>
      <c r="AV716" s="211"/>
      <c r="AW716" s="211"/>
      <c r="AX716" s="211"/>
      <c r="AY716" s="211"/>
      <c r="AZ716" s="84"/>
      <c r="BA716" s="211"/>
      <c r="BB716" s="211"/>
      <c r="BC716" s="211"/>
      <c r="BD716" s="211"/>
      <c r="BE716" s="84"/>
      <c r="BF716" s="211"/>
      <c r="BG716" s="451"/>
    </row>
    <row r="717" spans="1:59" ht="12.75">
      <c r="A717" s="211"/>
      <c r="B717" s="449"/>
      <c r="C717" s="450"/>
      <c r="D717" s="211"/>
      <c r="E717" s="211"/>
      <c r="F717" s="211"/>
      <c r="G717" s="84"/>
      <c r="H717" s="211"/>
      <c r="I717" s="211"/>
      <c r="J717" s="211"/>
      <c r="K717" s="211"/>
      <c r="L717" s="84"/>
      <c r="M717" s="211"/>
      <c r="N717" s="211"/>
      <c r="O717" s="211"/>
      <c r="P717" s="211"/>
      <c r="Q717" s="84"/>
      <c r="R717" s="211"/>
      <c r="S717" s="211"/>
      <c r="T717" s="211"/>
      <c r="U717" s="211"/>
      <c r="V717" s="84"/>
      <c r="W717" s="211"/>
      <c r="X717" s="211"/>
      <c r="Y717" s="211"/>
      <c r="Z717" s="211"/>
      <c r="AA717" s="84"/>
      <c r="AB717" s="146"/>
      <c r="AC717" s="211"/>
      <c r="AD717" s="211"/>
      <c r="AE717" s="211"/>
      <c r="AF717" s="84"/>
      <c r="AG717" s="146"/>
      <c r="AH717" s="211"/>
      <c r="AI717" s="211"/>
      <c r="AJ717" s="211"/>
      <c r="AK717" s="84"/>
      <c r="AL717" s="146"/>
      <c r="AM717" s="211"/>
      <c r="AN717" s="211"/>
      <c r="AO717" s="211"/>
      <c r="AP717" s="436"/>
      <c r="AQ717" s="146"/>
      <c r="AR717" s="211"/>
      <c r="AS717" s="211"/>
      <c r="AT717" s="211"/>
      <c r="AU717" s="84"/>
      <c r="AV717" s="211"/>
      <c r="AW717" s="211"/>
      <c r="AX717" s="211"/>
      <c r="AY717" s="211"/>
      <c r="AZ717" s="84"/>
      <c r="BA717" s="211"/>
      <c r="BB717" s="211"/>
      <c r="BC717" s="211"/>
      <c r="BD717" s="211"/>
      <c r="BE717" s="84"/>
      <c r="BF717" s="211"/>
      <c r="BG717" s="451"/>
    </row>
    <row r="718" spans="1:59" ht="12.75">
      <c r="A718" s="211"/>
      <c r="B718" s="449"/>
      <c r="C718" s="450"/>
      <c r="D718" s="211"/>
      <c r="E718" s="211"/>
      <c r="F718" s="211"/>
      <c r="G718" s="84"/>
      <c r="H718" s="211"/>
      <c r="I718" s="211"/>
      <c r="J718" s="211"/>
      <c r="K718" s="211"/>
      <c r="L718" s="84"/>
      <c r="M718" s="211"/>
      <c r="N718" s="211"/>
      <c r="O718" s="211"/>
      <c r="P718" s="211"/>
      <c r="Q718" s="84"/>
      <c r="R718" s="211"/>
      <c r="S718" s="211"/>
      <c r="T718" s="211"/>
      <c r="U718" s="211"/>
      <c r="V718" s="84"/>
      <c r="W718" s="211"/>
      <c r="X718" s="211"/>
      <c r="Y718" s="211"/>
      <c r="Z718" s="211"/>
      <c r="AA718" s="84"/>
      <c r="AB718" s="146"/>
      <c r="AC718" s="211"/>
      <c r="AD718" s="211"/>
      <c r="AE718" s="211"/>
      <c r="AF718" s="84"/>
      <c r="AG718" s="146"/>
      <c r="AH718" s="211"/>
      <c r="AI718" s="211"/>
      <c r="AJ718" s="211"/>
      <c r="AK718" s="84"/>
      <c r="AL718" s="146"/>
      <c r="AM718" s="211"/>
      <c r="AN718" s="211"/>
      <c r="AO718" s="211"/>
      <c r="AP718" s="436"/>
      <c r="AQ718" s="146"/>
      <c r="AR718" s="211"/>
      <c r="AS718" s="211"/>
      <c r="AT718" s="211"/>
      <c r="AU718" s="84"/>
      <c r="AV718" s="211"/>
      <c r="AW718" s="211"/>
      <c r="AX718" s="211"/>
      <c r="AY718" s="211"/>
      <c r="AZ718" s="84"/>
      <c r="BA718" s="211"/>
      <c r="BB718" s="211"/>
      <c r="BC718" s="211"/>
      <c r="BD718" s="211"/>
      <c r="BE718" s="84"/>
      <c r="BF718" s="211"/>
      <c r="BG718" s="451"/>
    </row>
    <row r="719" spans="1:59" ht="12.75">
      <c r="A719" s="211"/>
      <c r="B719" s="449"/>
      <c r="C719" s="450"/>
      <c r="D719" s="211"/>
      <c r="E719" s="211"/>
      <c r="F719" s="211"/>
      <c r="G719" s="84"/>
      <c r="H719" s="211"/>
      <c r="I719" s="211"/>
      <c r="J719" s="211"/>
      <c r="K719" s="211"/>
      <c r="L719" s="84"/>
      <c r="M719" s="211"/>
      <c r="N719" s="211"/>
      <c r="O719" s="211"/>
      <c r="P719" s="211"/>
      <c r="Q719" s="84"/>
      <c r="R719" s="211"/>
      <c r="S719" s="211"/>
      <c r="T719" s="211"/>
      <c r="U719" s="211"/>
      <c r="V719" s="84"/>
      <c r="W719" s="211"/>
      <c r="X719" s="211"/>
      <c r="Y719" s="211"/>
      <c r="Z719" s="211"/>
      <c r="AA719" s="84"/>
      <c r="AB719" s="146"/>
      <c r="AC719" s="211"/>
      <c r="AD719" s="211"/>
      <c r="AE719" s="211"/>
      <c r="AF719" s="84"/>
      <c r="AG719" s="146"/>
      <c r="AH719" s="211"/>
      <c r="AI719" s="211"/>
      <c r="AJ719" s="211"/>
      <c r="AK719" s="84"/>
      <c r="AL719" s="146"/>
      <c r="AM719" s="211"/>
      <c r="AN719" s="211"/>
      <c r="AO719" s="211"/>
      <c r="AP719" s="436"/>
      <c r="AQ719" s="146"/>
      <c r="AR719" s="211"/>
      <c r="AS719" s="211"/>
      <c r="AT719" s="211"/>
      <c r="AU719" s="84"/>
      <c r="AV719" s="211"/>
      <c r="AW719" s="211"/>
      <c r="AX719" s="211"/>
      <c r="AY719" s="211"/>
      <c r="AZ719" s="84"/>
      <c r="BA719" s="211"/>
      <c r="BB719" s="211"/>
      <c r="BC719" s="211"/>
      <c r="BD719" s="211"/>
      <c r="BE719" s="84"/>
      <c r="BF719" s="211"/>
      <c r="BG719" s="451"/>
    </row>
    <row r="720" spans="1:59" ht="12.75">
      <c r="A720" s="211"/>
      <c r="B720" s="449"/>
      <c r="C720" s="450"/>
      <c r="D720" s="211"/>
      <c r="E720" s="211"/>
      <c r="F720" s="211"/>
      <c r="G720" s="84"/>
      <c r="H720" s="211"/>
      <c r="I720" s="211"/>
      <c r="J720" s="211"/>
      <c r="K720" s="211"/>
      <c r="L720" s="84"/>
      <c r="M720" s="211"/>
      <c r="N720" s="211"/>
      <c r="O720" s="211"/>
      <c r="P720" s="211"/>
      <c r="Q720" s="84"/>
      <c r="R720" s="211"/>
      <c r="S720" s="211"/>
      <c r="T720" s="211"/>
      <c r="U720" s="211"/>
      <c r="V720" s="84"/>
      <c r="W720" s="211"/>
      <c r="X720" s="211"/>
      <c r="Y720" s="211"/>
      <c r="Z720" s="211"/>
      <c r="AA720" s="84"/>
      <c r="AB720" s="146"/>
      <c r="AC720" s="211"/>
      <c r="AD720" s="211"/>
      <c r="AE720" s="211"/>
      <c r="AF720" s="84"/>
      <c r="AG720" s="146"/>
      <c r="AH720" s="211"/>
      <c r="AI720" s="211"/>
      <c r="AJ720" s="211"/>
      <c r="AK720" s="84"/>
      <c r="AL720" s="146"/>
      <c r="AM720" s="211"/>
      <c r="AN720" s="211"/>
      <c r="AO720" s="211"/>
      <c r="AP720" s="436"/>
      <c r="AQ720" s="146"/>
      <c r="AR720" s="211"/>
      <c r="AS720" s="211"/>
      <c r="AT720" s="211"/>
      <c r="AU720" s="84"/>
      <c r="AV720" s="211"/>
      <c r="AW720" s="211"/>
      <c r="AX720" s="211"/>
      <c r="AY720" s="211"/>
      <c r="AZ720" s="84"/>
      <c r="BA720" s="211"/>
      <c r="BB720" s="211"/>
      <c r="BC720" s="211"/>
      <c r="BD720" s="211"/>
      <c r="BE720" s="84"/>
      <c r="BF720" s="211"/>
      <c r="BG720" s="451"/>
    </row>
    <row r="721" spans="1:59" ht="12.75">
      <c r="A721" s="211"/>
      <c r="B721" s="449"/>
      <c r="C721" s="450"/>
      <c r="D721" s="211"/>
      <c r="E721" s="211"/>
      <c r="F721" s="211"/>
      <c r="G721" s="84"/>
      <c r="H721" s="211"/>
      <c r="I721" s="211"/>
      <c r="J721" s="211"/>
      <c r="K721" s="211"/>
      <c r="L721" s="84"/>
      <c r="M721" s="211"/>
      <c r="N721" s="211"/>
      <c r="O721" s="211"/>
      <c r="P721" s="211"/>
      <c r="Q721" s="84"/>
      <c r="R721" s="211"/>
      <c r="S721" s="211"/>
      <c r="T721" s="211"/>
      <c r="U721" s="211"/>
      <c r="V721" s="84"/>
      <c r="W721" s="211"/>
      <c r="X721" s="211"/>
      <c r="Y721" s="211"/>
      <c r="Z721" s="211"/>
      <c r="AA721" s="84"/>
      <c r="AB721" s="146"/>
      <c r="AC721" s="211"/>
      <c r="AD721" s="211"/>
      <c r="AE721" s="211"/>
      <c r="AF721" s="84"/>
      <c r="AG721" s="146"/>
      <c r="AH721" s="211"/>
      <c r="AI721" s="211"/>
      <c r="AJ721" s="211"/>
      <c r="AK721" s="84"/>
      <c r="AL721" s="146"/>
      <c r="AM721" s="211"/>
      <c r="AN721" s="211"/>
      <c r="AO721" s="211"/>
      <c r="AP721" s="436"/>
      <c r="AQ721" s="146"/>
      <c r="AR721" s="211"/>
      <c r="AS721" s="211"/>
      <c r="AT721" s="211"/>
      <c r="AU721" s="84"/>
      <c r="AV721" s="211"/>
      <c r="AW721" s="211"/>
      <c r="AX721" s="211"/>
      <c r="AY721" s="211"/>
      <c r="AZ721" s="84"/>
      <c r="BA721" s="211"/>
      <c r="BB721" s="211"/>
      <c r="BC721" s="211"/>
      <c r="BD721" s="211"/>
      <c r="BE721" s="84"/>
      <c r="BF721" s="211"/>
      <c r="BG721" s="451"/>
    </row>
    <row r="722" spans="1:59" ht="12.75">
      <c r="A722" s="211"/>
      <c r="B722" s="449"/>
      <c r="C722" s="450"/>
      <c r="D722" s="211"/>
      <c r="E722" s="211"/>
      <c r="F722" s="211"/>
      <c r="G722" s="84"/>
      <c r="H722" s="211"/>
      <c r="I722" s="211"/>
      <c r="J722" s="211"/>
      <c r="K722" s="211"/>
      <c r="L722" s="84"/>
      <c r="M722" s="211"/>
      <c r="N722" s="211"/>
      <c r="O722" s="211"/>
      <c r="P722" s="211"/>
      <c r="Q722" s="84"/>
      <c r="R722" s="211"/>
      <c r="S722" s="211"/>
      <c r="T722" s="211"/>
      <c r="U722" s="211"/>
      <c r="V722" s="84"/>
      <c r="W722" s="211"/>
      <c r="X722" s="211"/>
      <c r="Y722" s="211"/>
      <c r="Z722" s="211"/>
      <c r="AA722" s="84"/>
      <c r="AB722" s="146"/>
      <c r="AC722" s="211"/>
      <c r="AD722" s="211"/>
      <c r="AE722" s="211"/>
      <c r="AF722" s="84"/>
      <c r="AG722" s="146"/>
      <c r="AH722" s="211"/>
      <c r="AI722" s="211"/>
      <c r="AJ722" s="211"/>
      <c r="AK722" s="84"/>
      <c r="AL722" s="146"/>
      <c r="AM722" s="211"/>
      <c r="AN722" s="211"/>
      <c r="AO722" s="211"/>
      <c r="AP722" s="436"/>
      <c r="AQ722" s="146"/>
      <c r="AR722" s="211"/>
      <c r="AS722" s="211"/>
      <c r="AT722" s="211"/>
      <c r="AU722" s="84"/>
      <c r="AV722" s="211"/>
      <c r="AW722" s="211"/>
      <c r="AX722" s="211"/>
      <c r="AY722" s="211"/>
      <c r="AZ722" s="84"/>
      <c r="BA722" s="211"/>
      <c r="BB722" s="211"/>
      <c r="BC722" s="211"/>
      <c r="BD722" s="211"/>
      <c r="BE722" s="84"/>
      <c r="BF722" s="211"/>
      <c r="BG722" s="451"/>
    </row>
    <row r="723" spans="1:59" ht="12.75">
      <c r="A723" s="211"/>
      <c r="B723" s="449"/>
      <c r="C723" s="450"/>
      <c r="D723" s="211"/>
      <c r="E723" s="211"/>
      <c r="F723" s="211"/>
      <c r="G723" s="84"/>
      <c r="H723" s="211"/>
      <c r="I723" s="211"/>
      <c r="J723" s="211"/>
      <c r="K723" s="211"/>
      <c r="L723" s="84"/>
      <c r="M723" s="211"/>
      <c r="N723" s="211"/>
      <c r="O723" s="211"/>
      <c r="P723" s="211"/>
      <c r="Q723" s="84"/>
      <c r="R723" s="211"/>
      <c r="S723" s="211"/>
      <c r="T723" s="211"/>
      <c r="U723" s="211"/>
      <c r="V723" s="84"/>
      <c r="W723" s="211"/>
      <c r="X723" s="211"/>
      <c r="Y723" s="211"/>
      <c r="Z723" s="211"/>
      <c r="AA723" s="84"/>
      <c r="AB723" s="146"/>
      <c r="AC723" s="211"/>
      <c r="AD723" s="211"/>
      <c r="AE723" s="211"/>
      <c r="AF723" s="84"/>
      <c r="AG723" s="146"/>
      <c r="AH723" s="211"/>
      <c r="AI723" s="211"/>
      <c r="AJ723" s="211"/>
      <c r="AK723" s="84"/>
      <c r="AL723" s="146"/>
      <c r="AM723" s="211"/>
      <c r="AN723" s="211"/>
      <c r="AO723" s="211"/>
      <c r="AP723" s="436"/>
      <c r="AQ723" s="146"/>
      <c r="AR723" s="211"/>
      <c r="AS723" s="211"/>
      <c r="AT723" s="211"/>
      <c r="AU723" s="84"/>
      <c r="AV723" s="211"/>
      <c r="AW723" s="211"/>
      <c r="AX723" s="211"/>
      <c r="AY723" s="211"/>
      <c r="AZ723" s="84"/>
      <c r="BA723" s="211"/>
      <c r="BB723" s="211"/>
      <c r="BC723" s="211"/>
      <c r="BD723" s="211"/>
      <c r="BE723" s="84"/>
      <c r="BF723" s="211"/>
      <c r="BG723" s="451"/>
    </row>
    <row r="724" spans="1:59" ht="12.75">
      <c r="A724" s="211"/>
      <c r="B724" s="449"/>
      <c r="C724" s="450"/>
      <c r="D724" s="211"/>
      <c r="E724" s="211"/>
      <c r="F724" s="211"/>
      <c r="G724" s="84"/>
      <c r="H724" s="211"/>
      <c r="I724" s="211"/>
      <c r="J724" s="211"/>
      <c r="K724" s="211"/>
      <c r="L724" s="84"/>
      <c r="M724" s="211"/>
      <c r="N724" s="211"/>
      <c r="O724" s="211"/>
      <c r="P724" s="211"/>
      <c r="Q724" s="84"/>
      <c r="R724" s="211"/>
      <c r="S724" s="211"/>
      <c r="T724" s="211"/>
      <c r="U724" s="211"/>
      <c r="V724" s="84"/>
      <c r="W724" s="211"/>
      <c r="X724" s="211"/>
      <c r="Y724" s="211"/>
      <c r="Z724" s="211"/>
      <c r="AA724" s="84"/>
      <c r="AB724" s="146"/>
      <c r="AC724" s="211"/>
      <c r="AD724" s="211"/>
      <c r="AE724" s="211"/>
      <c r="AF724" s="84"/>
      <c r="AG724" s="146"/>
      <c r="AH724" s="211"/>
      <c r="AI724" s="211"/>
      <c r="AJ724" s="211"/>
      <c r="AK724" s="84"/>
      <c r="AL724" s="146"/>
      <c r="AM724" s="211"/>
      <c r="AN724" s="211"/>
      <c r="AO724" s="211"/>
      <c r="AP724" s="436"/>
      <c r="AQ724" s="146"/>
      <c r="AR724" s="211"/>
      <c r="AS724" s="211"/>
      <c r="AT724" s="211"/>
      <c r="AU724" s="84"/>
      <c r="AV724" s="211"/>
      <c r="AW724" s="211"/>
      <c r="AX724" s="211"/>
      <c r="AY724" s="211"/>
      <c r="AZ724" s="84"/>
      <c r="BA724" s="211"/>
      <c r="BB724" s="211"/>
      <c r="BC724" s="211"/>
      <c r="BD724" s="211"/>
      <c r="BE724" s="84"/>
      <c r="BF724" s="211"/>
      <c r="BG724" s="451"/>
    </row>
    <row r="725" spans="1:59" ht="12.75">
      <c r="A725" s="211"/>
      <c r="B725" s="449"/>
      <c r="C725" s="450"/>
      <c r="D725" s="211"/>
      <c r="E725" s="211"/>
      <c r="F725" s="211"/>
      <c r="G725" s="84"/>
      <c r="H725" s="211"/>
      <c r="I725" s="211"/>
      <c r="J725" s="211"/>
      <c r="K725" s="211"/>
      <c r="L725" s="84"/>
      <c r="M725" s="211"/>
      <c r="N725" s="211"/>
      <c r="O725" s="211"/>
      <c r="P725" s="211"/>
      <c r="Q725" s="84"/>
      <c r="R725" s="211"/>
      <c r="S725" s="211"/>
      <c r="T725" s="211"/>
      <c r="U725" s="211"/>
      <c r="V725" s="84"/>
      <c r="W725" s="211"/>
      <c r="X725" s="211"/>
      <c r="Y725" s="211"/>
      <c r="Z725" s="211"/>
      <c r="AA725" s="84"/>
      <c r="AB725" s="146"/>
      <c r="AC725" s="211"/>
      <c r="AD725" s="211"/>
      <c r="AE725" s="211"/>
      <c r="AF725" s="84"/>
      <c r="AG725" s="146"/>
      <c r="AH725" s="211"/>
      <c r="AI725" s="211"/>
      <c r="AJ725" s="211"/>
      <c r="AK725" s="84"/>
      <c r="AL725" s="146"/>
      <c r="AM725" s="211"/>
      <c r="AN725" s="211"/>
      <c r="AO725" s="211"/>
      <c r="AP725" s="436"/>
      <c r="AQ725" s="146"/>
      <c r="AR725" s="211"/>
      <c r="AS725" s="211"/>
      <c r="AT725" s="211"/>
      <c r="AU725" s="84"/>
      <c r="AV725" s="211"/>
      <c r="AW725" s="211"/>
      <c r="AX725" s="211"/>
      <c r="AY725" s="211"/>
      <c r="AZ725" s="84"/>
      <c r="BA725" s="211"/>
      <c r="BB725" s="211"/>
      <c r="BC725" s="211"/>
      <c r="BD725" s="211"/>
      <c r="BE725" s="84"/>
      <c r="BF725" s="211"/>
      <c r="BG725" s="451"/>
    </row>
    <row r="726" spans="1:59" ht="12.75">
      <c r="A726" s="211"/>
      <c r="B726" s="449"/>
      <c r="C726" s="450"/>
      <c r="D726" s="211"/>
      <c r="E726" s="211"/>
      <c r="F726" s="211"/>
      <c r="G726" s="84"/>
      <c r="H726" s="211"/>
      <c r="I726" s="211"/>
      <c r="J726" s="211"/>
      <c r="K726" s="211"/>
      <c r="L726" s="84"/>
      <c r="M726" s="211"/>
      <c r="N726" s="211"/>
      <c r="O726" s="211"/>
      <c r="P726" s="211"/>
      <c r="Q726" s="84"/>
      <c r="R726" s="211"/>
      <c r="S726" s="211"/>
      <c r="T726" s="211"/>
      <c r="U726" s="211"/>
      <c r="V726" s="84"/>
      <c r="W726" s="211"/>
      <c r="X726" s="211"/>
      <c r="Y726" s="211"/>
      <c r="Z726" s="211"/>
      <c r="AA726" s="84"/>
      <c r="AB726" s="146"/>
      <c r="AC726" s="211"/>
      <c r="AD726" s="211"/>
      <c r="AE726" s="211"/>
      <c r="AF726" s="84"/>
      <c r="AG726" s="146"/>
      <c r="AH726" s="211"/>
      <c r="AI726" s="211"/>
      <c r="AJ726" s="211"/>
      <c r="AK726" s="84"/>
      <c r="AL726" s="146"/>
      <c r="AM726" s="211"/>
      <c r="AN726" s="211"/>
      <c r="AO726" s="211"/>
      <c r="AP726" s="436"/>
      <c r="AQ726" s="146"/>
      <c r="AR726" s="211"/>
      <c r="AS726" s="211"/>
      <c r="AT726" s="211"/>
      <c r="AU726" s="84"/>
      <c r="AV726" s="211"/>
      <c r="AW726" s="211"/>
      <c r="AX726" s="211"/>
      <c r="AY726" s="211"/>
      <c r="AZ726" s="84"/>
      <c r="BA726" s="211"/>
      <c r="BB726" s="211"/>
      <c r="BC726" s="211"/>
      <c r="BD726" s="211"/>
      <c r="BE726" s="84"/>
      <c r="BF726" s="211"/>
      <c r="BG726" s="451"/>
    </row>
    <row r="727" spans="1:59" ht="12.75">
      <c r="A727" s="211"/>
      <c r="B727" s="449"/>
      <c r="C727" s="450"/>
      <c r="D727" s="211"/>
      <c r="E727" s="211"/>
      <c r="F727" s="211"/>
      <c r="G727" s="84"/>
      <c r="H727" s="211"/>
      <c r="I727" s="211"/>
      <c r="J727" s="211"/>
      <c r="K727" s="211"/>
      <c r="L727" s="84"/>
      <c r="M727" s="211"/>
      <c r="N727" s="211"/>
      <c r="O727" s="211"/>
      <c r="P727" s="211"/>
      <c r="Q727" s="84"/>
      <c r="R727" s="211"/>
      <c r="S727" s="211"/>
      <c r="T727" s="211"/>
      <c r="U727" s="211"/>
      <c r="V727" s="84"/>
      <c r="W727" s="211"/>
      <c r="X727" s="211"/>
      <c r="Y727" s="211"/>
      <c r="Z727" s="211"/>
      <c r="AA727" s="84"/>
      <c r="AB727" s="146"/>
      <c r="AC727" s="211"/>
      <c r="AD727" s="211"/>
      <c r="AE727" s="211"/>
      <c r="AF727" s="84"/>
      <c r="AG727" s="146"/>
      <c r="AH727" s="211"/>
      <c r="AI727" s="211"/>
      <c r="AJ727" s="211"/>
      <c r="AK727" s="84"/>
      <c r="AL727" s="146"/>
      <c r="AM727" s="211"/>
      <c r="AN727" s="211"/>
      <c r="AO727" s="211"/>
      <c r="AP727" s="436"/>
      <c r="AQ727" s="146"/>
      <c r="AR727" s="211"/>
      <c r="AS727" s="211"/>
      <c r="AT727" s="211"/>
      <c r="AU727" s="84"/>
      <c r="AV727" s="211"/>
      <c r="AW727" s="211"/>
      <c r="AX727" s="211"/>
      <c r="AY727" s="211"/>
      <c r="AZ727" s="84"/>
      <c r="BA727" s="211"/>
      <c r="BB727" s="211"/>
      <c r="BC727" s="211"/>
      <c r="BD727" s="211"/>
      <c r="BE727" s="84"/>
      <c r="BF727" s="211"/>
      <c r="BG727" s="451"/>
    </row>
    <row r="728" spans="1:59" ht="12.75">
      <c r="A728" s="211"/>
      <c r="B728" s="449"/>
      <c r="C728" s="450"/>
      <c r="D728" s="211"/>
      <c r="E728" s="211"/>
      <c r="F728" s="211"/>
      <c r="G728" s="84"/>
      <c r="H728" s="211"/>
      <c r="I728" s="211"/>
      <c r="J728" s="211"/>
      <c r="K728" s="211"/>
      <c r="L728" s="84"/>
      <c r="M728" s="211"/>
      <c r="N728" s="211"/>
      <c r="O728" s="211"/>
      <c r="P728" s="211"/>
      <c r="Q728" s="84"/>
      <c r="R728" s="211"/>
      <c r="S728" s="211"/>
      <c r="T728" s="211"/>
      <c r="U728" s="211"/>
      <c r="V728" s="84"/>
      <c r="W728" s="211"/>
      <c r="X728" s="211"/>
      <c r="Y728" s="211"/>
      <c r="Z728" s="211"/>
      <c r="AA728" s="84"/>
      <c r="AB728" s="146"/>
      <c r="AC728" s="211"/>
      <c r="AD728" s="211"/>
      <c r="AE728" s="211"/>
      <c r="AF728" s="84"/>
      <c r="AG728" s="146"/>
      <c r="AH728" s="211"/>
      <c r="AI728" s="211"/>
      <c r="AJ728" s="211"/>
      <c r="AK728" s="84"/>
      <c r="AL728" s="146"/>
      <c r="AM728" s="211"/>
      <c r="AN728" s="211"/>
      <c r="AO728" s="211"/>
      <c r="AP728" s="436"/>
      <c r="AQ728" s="146"/>
      <c r="AR728" s="211"/>
      <c r="AS728" s="211"/>
      <c r="AT728" s="211"/>
      <c r="AU728" s="84"/>
      <c r="AV728" s="211"/>
      <c r="AW728" s="211"/>
      <c r="AX728" s="211"/>
      <c r="AY728" s="211"/>
      <c r="AZ728" s="84"/>
      <c r="BA728" s="211"/>
      <c r="BB728" s="211"/>
      <c r="BC728" s="211"/>
      <c r="BD728" s="211"/>
      <c r="BE728" s="84"/>
      <c r="BF728" s="211"/>
      <c r="BG728" s="451"/>
    </row>
    <row r="729" spans="1:59" ht="12.75">
      <c r="A729" s="211"/>
      <c r="B729" s="449"/>
      <c r="C729" s="450"/>
      <c r="D729" s="211"/>
      <c r="E729" s="211"/>
      <c r="F729" s="211"/>
      <c r="G729" s="84"/>
      <c r="H729" s="211"/>
      <c r="I729" s="211"/>
      <c r="J729" s="211"/>
      <c r="K729" s="211"/>
      <c r="L729" s="84"/>
      <c r="M729" s="211"/>
      <c r="N729" s="211"/>
      <c r="O729" s="211"/>
      <c r="P729" s="211"/>
      <c r="Q729" s="84"/>
      <c r="R729" s="211"/>
      <c r="S729" s="211"/>
      <c r="T729" s="211"/>
      <c r="U729" s="211"/>
      <c r="V729" s="84"/>
      <c r="W729" s="211"/>
      <c r="X729" s="211"/>
      <c r="Y729" s="211"/>
      <c r="Z729" s="211"/>
      <c r="AA729" s="84"/>
      <c r="AB729" s="146"/>
      <c r="AC729" s="211"/>
      <c r="AD729" s="211"/>
      <c r="AE729" s="211"/>
      <c r="AF729" s="84"/>
      <c r="AG729" s="146"/>
      <c r="AH729" s="211"/>
      <c r="AI729" s="211"/>
      <c r="AJ729" s="211"/>
      <c r="AK729" s="84"/>
      <c r="AL729" s="146"/>
      <c r="AM729" s="211"/>
      <c r="AN729" s="211"/>
      <c r="AO729" s="211"/>
      <c r="AP729" s="436"/>
      <c r="AQ729" s="146"/>
      <c r="AR729" s="211"/>
      <c r="AS729" s="211"/>
      <c r="AT729" s="211"/>
      <c r="AU729" s="84"/>
      <c r="AV729" s="211"/>
      <c r="AW729" s="211"/>
      <c r="AX729" s="211"/>
      <c r="AY729" s="211"/>
      <c r="AZ729" s="84"/>
      <c r="BA729" s="211"/>
      <c r="BB729" s="211"/>
      <c r="BC729" s="211"/>
      <c r="BD729" s="211"/>
      <c r="BE729" s="84"/>
      <c r="BF729" s="211"/>
      <c r="BG729" s="451"/>
    </row>
    <row r="730" spans="1:59" ht="12.75">
      <c r="A730" s="211"/>
      <c r="B730" s="449"/>
      <c r="C730" s="450"/>
      <c r="D730" s="211"/>
      <c r="E730" s="211"/>
      <c r="F730" s="211"/>
      <c r="G730" s="84"/>
      <c r="H730" s="211"/>
      <c r="I730" s="211"/>
      <c r="J730" s="211"/>
      <c r="K730" s="211"/>
      <c r="L730" s="84"/>
      <c r="M730" s="211"/>
      <c r="N730" s="211"/>
      <c r="O730" s="211"/>
      <c r="P730" s="211"/>
      <c r="Q730" s="84"/>
      <c r="R730" s="211"/>
      <c r="S730" s="211"/>
      <c r="T730" s="211"/>
      <c r="U730" s="211"/>
      <c r="V730" s="84"/>
      <c r="W730" s="211"/>
      <c r="X730" s="211"/>
      <c r="Y730" s="211"/>
      <c r="Z730" s="211"/>
      <c r="AA730" s="84"/>
      <c r="AB730" s="146"/>
      <c r="AC730" s="211"/>
      <c r="AD730" s="211"/>
      <c r="AE730" s="211"/>
      <c r="AF730" s="84"/>
      <c r="AG730" s="146"/>
      <c r="AH730" s="211"/>
      <c r="AI730" s="211"/>
      <c r="AJ730" s="211"/>
      <c r="AK730" s="84"/>
      <c r="AL730" s="146"/>
      <c r="AM730" s="211"/>
      <c r="AN730" s="211"/>
      <c r="AO730" s="211"/>
      <c r="AP730" s="436"/>
      <c r="AQ730" s="146"/>
      <c r="AR730" s="211"/>
      <c r="AS730" s="211"/>
      <c r="AT730" s="211"/>
      <c r="AU730" s="84"/>
      <c r="AV730" s="211"/>
      <c r="AW730" s="211"/>
      <c r="AX730" s="211"/>
      <c r="AY730" s="211"/>
      <c r="AZ730" s="84"/>
      <c r="BA730" s="211"/>
      <c r="BB730" s="211"/>
      <c r="BC730" s="211"/>
      <c r="BD730" s="211"/>
      <c r="BE730" s="84"/>
      <c r="BF730" s="211"/>
      <c r="BG730" s="451"/>
    </row>
    <row r="731" spans="1:59" ht="12.75">
      <c r="A731" s="211"/>
      <c r="B731" s="449"/>
      <c r="C731" s="450"/>
      <c r="D731" s="211"/>
      <c r="E731" s="211"/>
      <c r="F731" s="211"/>
      <c r="G731" s="84"/>
      <c r="H731" s="211"/>
      <c r="I731" s="211"/>
      <c r="J731" s="211"/>
      <c r="K731" s="211"/>
      <c r="L731" s="84"/>
      <c r="M731" s="211"/>
      <c r="N731" s="211"/>
      <c r="O731" s="211"/>
      <c r="P731" s="211"/>
      <c r="Q731" s="84"/>
      <c r="R731" s="211"/>
      <c r="S731" s="211"/>
      <c r="T731" s="211"/>
      <c r="U731" s="211"/>
      <c r="V731" s="84"/>
      <c r="W731" s="211"/>
      <c r="X731" s="211"/>
      <c r="Y731" s="211"/>
      <c r="Z731" s="211"/>
      <c r="AA731" s="84"/>
      <c r="AB731" s="146"/>
      <c r="AC731" s="211"/>
      <c r="AD731" s="211"/>
      <c r="AE731" s="211"/>
      <c r="AF731" s="84"/>
      <c r="AG731" s="146"/>
      <c r="AH731" s="211"/>
      <c r="AI731" s="211"/>
      <c r="AJ731" s="211"/>
      <c r="AK731" s="84"/>
      <c r="AL731" s="146"/>
      <c r="AM731" s="211"/>
      <c r="AN731" s="211"/>
      <c r="AO731" s="211"/>
      <c r="AP731" s="436"/>
      <c r="AQ731" s="146"/>
      <c r="AR731" s="211"/>
      <c r="AS731" s="211"/>
      <c r="AT731" s="211"/>
      <c r="AU731" s="84"/>
      <c r="AV731" s="211"/>
      <c r="AW731" s="211"/>
      <c r="AX731" s="211"/>
      <c r="AY731" s="211"/>
      <c r="AZ731" s="84"/>
      <c r="BA731" s="211"/>
      <c r="BB731" s="211"/>
      <c r="BC731" s="211"/>
      <c r="BD731" s="211"/>
      <c r="BE731" s="84"/>
      <c r="BF731" s="211"/>
      <c r="BG731" s="451"/>
    </row>
    <row r="732" spans="1:59" ht="12.75">
      <c r="A732" s="211"/>
      <c r="B732" s="449"/>
      <c r="C732" s="450"/>
      <c r="D732" s="211"/>
      <c r="E732" s="211"/>
      <c r="F732" s="211"/>
      <c r="G732" s="84"/>
      <c r="H732" s="211"/>
      <c r="I732" s="211"/>
      <c r="J732" s="211"/>
      <c r="K732" s="211"/>
      <c r="L732" s="84"/>
      <c r="M732" s="211"/>
      <c r="N732" s="211"/>
      <c r="O732" s="211"/>
      <c r="P732" s="211"/>
      <c r="Q732" s="84"/>
      <c r="R732" s="211"/>
      <c r="S732" s="211"/>
      <c r="T732" s="211"/>
      <c r="U732" s="211"/>
      <c r="V732" s="84"/>
      <c r="W732" s="211"/>
      <c r="X732" s="211"/>
      <c r="Y732" s="211"/>
      <c r="Z732" s="211"/>
      <c r="AA732" s="84"/>
      <c r="AB732" s="146"/>
      <c r="AC732" s="211"/>
      <c r="AD732" s="211"/>
      <c r="AE732" s="211"/>
      <c r="AF732" s="84"/>
      <c r="AG732" s="146"/>
      <c r="AH732" s="211"/>
      <c r="AI732" s="211"/>
      <c r="AJ732" s="211"/>
      <c r="AK732" s="84"/>
      <c r="AL732" s="146"/>
      <c r="AM732" s="211"/>
      <c r="AN732" s="211"/>
      <c r="AO732" s="211"/>
      <c r="AP732" s="436"/>
      <c r="AQ732" s="146"/>
      <c r="AR732" s="211"/>
      <c r="AS732" s="211"/>
      <c r="AT732" s="211"/>
      <c r="AU732" s="84"/>
      <c r="AV732" s="211"/>
      <c r="AW732" s="211"/>
      <c r="AX732" s="211"/>
      <c r="AY732" s="211"/>
      <c r="AZ732" s="84"/>
      <c r="BA732" s="211"/>
      <c r="BB732" s="211"/>
      <c r="BC732" s="211"/>
      <c r="BD732" s="211"/>
      <c r="BE732" s="84"/>
      <c r="BF732" s="211"/>
      <c r="BG732" s="451"/>
    </row>
    <row r="733" spans="1:59" ht="12.75">
      <c r="A733" s="211"/>
      <c r="B733" s="449"/>
      <c r="C733" s="450"/>
      <c r="D733" s="211"/>
      <c r="E733" s="211"/>
      <c r="F733" s="211"/>
      <c r="G733" s="84"/>
      <c r="H733" s="211"/>
      <c r="I733" s="211"/>
      <c r="J733" s="211"/>
      <c r="K733" s="211"/>
      <c r="L733" s="84"/>
      <c r="M733" s="211"/>
      <c r="N733" s="211"/>
      <c r="O733" s="211"/>
      <c r="P733" s="211"/>
      <c r="Q733" s="84"/>
      <c r="R733" s="211"/>
      <c r="S733" s="211"/>
      <c r="T733" s="211"/>
      <c r="U733" s="211"/>
      <c r="V733" s="84"/>
      <c r="W733" s="211"/>
      <c r="X733" s="211"/>
      <c r="Y733" s="211"/>
      <c r="Z733" s="211"/>
      <c r="AA733" s="84"/>
      <c r="AB733" s="146"/>
      <c r="AC733" s="211"/>
      <c r="AD733" s="211"/>
      <c r="AE733" s="211"/>
      <c r="AF733" s="84"/>
      <c r="AG733" s="146"/>
      <c r="AH733" s="211"/>
      <c r="AI733" s="211"/>
      <c r="AJ733" s="211"/>
      <c r="AK733" s="84"/>
      <c r="AL733" s="146"/>
      <c r="AM733" s="211"/>
      <c r="AN733" s="211"/>
      <c r="AO733" s="211"/>
      <c r="AP733" s="436"/>
      <c r="AQ733" s="146"/>
      <c r="AR733" s="211"/>
      <c r="AS733" s="211"/>
      <c r="AT733" s="211"/>
      <c r="AU733" s="84"/>
      <c r="AV733" s="211"/>
      <c r="AW733" s="211"/>
      <c r="AX733" s="211"/>
      <c r="AY733" s="211"/>
      <c r="AZ733" s="84"/>
      <c r="BA733" s="211"/>
      <c r="BB733" s="211"/>
      <c r="BC733" s="211"/>
      <c r="BD733" s="211"/>
      <c r="BE733" s="84"/>
      <c r="BF733" s="211"/>
      <c r="BG733" s="451"/>
    </row>
    <row r="734" spans="1:59" ht="12.75">
      <c r="A734" s="211"/>
      <c r="B734" s="449"/>
      <c r="C734" s="450"/>
      <c r="D734" s="211"/>
      <c r="E734" s="211"/>
      <c r="F734" s="211"/>
      <c r="G734" s="84"/>
      <c r="H734" s="211"/>
      <c r="I734" s="211"/>
      <c r="J734" s="211"/>
      <c r="K734" s="211"/>
      <c r="L734" s="84"/>
      <c r="M734" s="211"/>
      <c r="N734" s="211"/>
      <c r="O734" s="211"/>
      <c r="P734" s="211"/>
      <c r="Q734" s="84"/>
      <c r="R734" s="211"/>
      <c r="S734" s="211"/>
      <c r="T734" s="211"/>
      <c r="U734" s="211"/>
      <c r="V734" s="84"/>
      <c r="W734" s="211"/>
      <c r="X734" s="211"/>
      <c r="Y734" s="211"/>
      <c r="Z734" s="211"/>
      <c r="AA734" s="84"/>
      <c r="AB734" s="146"/>
      <c r="AC734" s="211"/>
      <c r="AD734" s="211"/>
      <c r="AE734" s="211"/>
      <c r="AF734" s="84"/>
      <c r="AG734" s="146"/>
      <c r="AH734" s="211"/>
      <c r="AI734" s="211"/>
      <c r="AJ734" s="211"/>
      <c r="AK734" s="84"/>
      <c r="AL734" s="146"/>
      <c r="AM734" s="211"/>
      <c r="AN734" s="211"/>
      <c r="AO734" s="211"/>
      <c r="AP734" s="436"/>
      <c r="AQ734" s="146"/>
      <c r="AR734" s="211"/>
      <c r="AS734" s="211"/>
      <c r="AT734" s="211"/>
      <c r="AU734" s="84"/>
      <c r="AV734" s="211"/>
      <c r="AW734" s="211"/>
      <c r="AX734" s="211"/>
      <c r="AY734" s="211"/>
      <c r="AZ734" s="84"/>
      <c r="BA734" s="211"/>
      <c r="BB734" s="211"/>
      <c r="BC734" s="211"/>
      <c r="BD734" s="211"/>
      <c r="BE734" s="84"/>
      <c r="BF734" s="211"/>
      <c r="BG734" s="451"/>
    </row>
    <row r="735" spans="1:59" ht="12.75">
      <c r="A735" s="211"/>
      <c r="B735" s="449"/>
      <c r="C735" s="450"/>
      <c r="D735" s="211"/>
      <c r="E735" s="211"/>
      <c r="F735" s="211"/>
      <c r="G735" s="84"/>
      <c r="H735" s="211"/>
      <c r="I735" s="211"/>
      <c r="J735" s="211"/>
      <c r="K735" s="211"/>
      <c r="L735" s="84"/>
      <c r="M735" s="211"/>
      <c r="N735" s="211"/>
      <c r="O735" s="211"/>
      <c r="P735" s="211"/>
      <c r="Q735" s="84"/>
      <c r="R735" s="211"/>
      <c r="S735" s="211"/>
      <c r="T735" s="211"/>
      <c r="U735" s="211"/>
      <c r="V735" s="84"/>
      <c r="W735" s="211"/>
      <c r="X735" s="211"/>
      <c r="Y735" s="211"/>
      <c r="Z735" s="211"/>
      <c r="AA735" s="84"/>
      <c r="AB735" s="146"/>
      <c r="AC735" s="211"/>
      <c r="AD735" s="211"/>
      <c r="AE735" s="211"/>
      <c r="AF735" s="84"/>
      <c r="AG735" s="146"/>
      <c r="AH735" s="211"/>
      <c r="AI735" s="211"/>
      <c r="AJ735" s="211"/>
      <c r="AK735" s="84"/>
      <c r="AL735" s="146"/>
      <c r="AM735" s="211"/>
      <c r="AN735" s="211"/>
      <c r="AO735" s="211"/>
      <c r="AP735" s="436"/>
      <c r="AQ735" s="146"/>
      <c r="AR735" s="211"/>
      <c r="AS735" s="211"/>
      <c r="AT735" s="211"/>
      <c r="AU735" s="84"/>
      <c r="AV735" s="211"/>
      <c r="AW735" s="211"/>
      <c r="AX735" s="211"/>
      <c r="AY735" s="211"/>
      <c r="AZ735" s="84"/>
      <c r="BA735" s="211"/>
      <c r="BB735" s="211"/>
      <c r="BC735" s="211"/>
      <c r="BD735" s="211"/>
      <c r="BE735" s="84"/>
      <c r="BF735" s="211"/>
      <c r="BG735" s="451"/>
    </row>
    <row r="736" spans="1:59" ht="12.75">
      <c r="A736" s="211"/>
      <c r="B736" s="449"/>
      <c r="C736" s="450"/>
      <c r="D736" s="211"/>
      <c r="E736" s="211"/>
      <c r="F736" s="211"/>
      <c r="G736" s="84"/>
      <c r="H736" s="211"/>
      <c r="I736" s="211"/>
      <c r="J736" s="211"/>
      <c r="K736" s="211"/>
      <c r="L736" s="84"/>
      <c r="M736" s="211"/>
      <c r="N736" s="211"/>
      <c r="O736" s="211"/>
      <c r="P736" s="211"/>
      <c r="Q736" s="84"/>
      <c r="R736" s="211"/>
      <c r="S736" s="211"/>
      <c r="T736" s="211"/>
      <c r="U736" s="211"/>
      <c r="V736" s="84"/>
      <c r="W736" s="211"/>
      <c r="X736" s="211"/>
      <c r="Y736" s="211"/>
      <c r="Z736" s="211"/>
      <c r="AA736" s="84"/>
      <c r="AB736" s="146"/>
      <c r="AC736" s="211"/>
      <c r="AD736" s="211"/>
      <c r="AE736" s="211"/>
      <c r="AF736" s="84"/>
      <c r="AG736" s="146"/>
      <c r="AH736" s="211"/>
      <c r="AI736" s="211"/>
      <c r="AJ736" s="211"/>
      <c r="AK736" s="84"/>
      <c r="AL736" s="146"/>
      <c r="AM736" s="211"/>
      <c r="AN736" s="211"/>
      <c r="AO736" s="211"/>
      <c r="AP736" s="436"/>
      <c r="AQ736" s="146"/>
      <c r="AR736" s="211"/>
      <c r="AS736" s="211"/>
      <c r="AT736" s="211"/>
      <c r="AU736" s="84"/>
      <c r="AV736" s="211"/>
      <c r="AW736" s="211"/>
      <c r="AX736" s="211"/>
      <c r="AY736" s="211"/>
      <c r="AZ736" s="84"/>
      <c r="BA736" s="211"/>
      <c r="BB736" s="211"/>
      <c r="BC736" s="211"/>
      <c r="BD736" s="211"/>
      <c r="BE736" s="84"/>
      <c r="BF736" s="211"/>
      <c r="BG736" s="451"/>
    </row>
    <row r="737" spans="1:59" ht="12.75">
      <c r="A737" s="211"/>
      <c r="B737" s="449"/>
      <c r="C737" s="450"/>
      <c r="D737" s="211"/>
      <c r="E737" s="211"/>
      <c r="F737" s="211"/>
      <c r="G737" s="84"/>
      <c r="H737" s="211"/>
      <c r="I737" s="211"/>
      <c r="J737" s="211"/>
      <c r="K737" s="211"/>
      <c r="L737" s="84"/>
      <c r="M737" s="211"/>
      <c r="N737" s="211"/>
      <c r="O737" s="211"/>
      <c r="P737" s="211"/>
      <c r="Q737" s="84"/>
      <c r="R737" s="211"/>
      <c r="S737" s="211"/>
      <c r="T737" s="211"/>
      <c r="U737" s="211"/>
      <c r="V737" s="84"/>
      <c r="W737" s="211"/>
      <c r="X737" s="211"/>
      <c r="Y737" s="211"/>
      <c r="Z737" s="211"/>
      <c r="AA737" s="84"/>
      <c r="AB737" s="146"/>
      <c r="AC737" s="211"/>
      <c r="AD737" s="211"/>
      <c r="AE737" s="211"/>
      <c r="AF737" s="84"/>
      <c r="AG737" s="146"/>
      <c r="AH737" s="211"/>
      <c r="AI737" s="211"/>
      <c r="AJ737" s="211"/>
      <c r="AK737" s="84"/>
      <c r="AL737" s="146"/>
      <c r="AM737" s="211"/>
      <c r="AN737" s="211"/>
      <c r="AO737" s="211"/>
      <c r="AP737" s="436"/>
      <c r="AQ737" s="146"/>
      <c r="AR737" s="211"/>
      <c r="AS737" s="211"/>
      <c r="AT737" s="211"/>
      <c r="AU737" s="84"/>
      <c r="AV737" s="211"/>
      <c r="AW737" s="211"/>
      <c r="AX737" s="211"/>
      <c r="AY737" s="211"/>
      <c r="AZ737" s="84"/>
      <c r="BA737" s="211"/>
      <c r="BB737" s="211"/>
      <c r="BC737" s="211"/>
      <c r="BD737" s="211"/>
      <c r="BE737" s="84"/>
      <c r="BF737" s="211"/>
      <c r="BG737" s="451"/>
    </row>
    <row r="738" spans="1:59" ht="12.75">
      <c r="A738" s="211"/>
      <c r="B738" s="449"/>
      <c r="C738" s="450"/>
      <c r="D738" s="211"/>
      <c r="E738" s="211"/>
      <c r="F738" s="211"/>
      <c r="G738" s="84"/>
      <c r="H738" s="211"/>
      <c r="I738" s="211"/>
      <c r="J738" s="211"/>
      <c r="K738" s="211"/>
      <c r="L738" s="84"/>
      <c r="M738" s="211"/>
      <c r="N738" s="211"/>
      <c r="O738" s="211"/>
      <c r="P738" s="211"/>
      <c r="Q738" s="84"/>
      <c r="R738" s="211"/>
      <c r="S738" s="211"/>
      <c r="T738" s="211"/>
      <c r="U738" s="211"/>
      <c r="V738" s="84"/>
      <c r="W738" s="211"/>
      <c r="X738" s="211"/>
      <c r="Y738" s="211"/>
      <c r="Z738" s="211"/>
      <c r="AA738" s="84"/>
      <c r="AB738" s="146"/>
      <c r="AC738" s="211"/>
      <c r="AD738" s="211"/>
      <c r="AE738" s="211"/>
      <c r="AF738" s="84"/>
      <c r="AG738" s="146"/>
      <c r="AH738" s="211"/>
      <c r="AI738" s="211"/>
      <c r="AJ738" s="211"/>
      <c r="AK738" s="84"/>
      <c r="AL738" s="146"/>
      <c r="AM738" s="211"/>
      <c r="AN738" s="211"/>
      <c r="AO738" s="211"/>
      <c r="AP738" s="436"/>
      <c r="AQ738" s="146"/>
      <c r="AR738" s="211"/>
      <c r="AS738" s="211"/>
      <c r="AT738" s="211"/>
      <c r="AU738" s="84"/>
      <c r="AV738" s="211"/>
      <c r="AW738" s="211"/>
      <c r="AX738" s="211"/>
      <c r="AY738" s="211"/>
      <c r="AZ738" s="84"/>
      <c r="BA738" s="211"/>
      <c r="BB738" s="211"/>
      <c r="BC738" s="211"/>
      <c r="BD738" s="211"/>
      <c r="BE738" s="84"/>
      <c r="BF738" s="211"/>
      <c r="BG738" s="451"/>
    </row>
    <row r="739" spans="1:59" ht="12.75">
      <c r="A739" s="211"/>
      <c r="B739" s="449"/>
      <c r="C739" s="450"/>
      <c r="D739" s="211"/>
      <c r="E739" s="211"/>
      <c r="F739" s="211"/>
      <c r="G739" s="84"/>
      <c r="H739" s="211"/>
      <c r="I739" s="211"/>
      <c r="J739" s="211"/>
      <c r="K739" s="211"/>
      <c r="L739" s="84"/>
      <c r="M739" s="211"/>
      <c r="N739" s="211"/>
      <c r="O739" s="211"/>
      <c r="P739" s="211"/>
      <c r="Q739" s="84"/>
      <c r="R739" s="211"/>
      <c r="S739" s="211"/>
      <c r="T739" s="211"/>
      <c r="U739" s="211"/>
      <c r="V739" s="84"/>
      <c r="W739" s="211"/>
      <c r="X739" s="211"/>
      <c r="Y739" s="211"/>
      <c r="Z739" s="211"/>
      <c r="AA739" s="84"/>
      <c r="AB739" s="146"/>
      <c r="AC739" s="211"/>
      <c r="AD739" s="211"/>
      <c r="AE739" s="211"/>
      <c r="AF739" s="84"/>
      <c r="AG739" s="146"/>
      <c r="AH739" s="211"/>
      <c r="AI739" s="211"/>
      <c r="AJ739" s="211"/>
      <c r="AK739" s="84"/>
      <c r="AL739" s="146"/>
      <c r="AM739" s="211"/>
      <c r="AN739" s="211"/>
      <c r="AO739" s="211"/>
      <c r="AP739" s="436"/>
      <c r="AQ739" s="146"/>
      <c r="AR739" s="211"/>
      <c r="AS739" s="211"/>
      <c r="AT739" s="211"/>
      <c r="AU739" s="84"/>
      <c r="AV739" s="211"/>
      <c r="AW739" s="211"/>
      <c r="AX739" s="211"/>
      <c r="AY739" s="211"/>
      <c r="AZ739" s="84"/>
      <c r="BA739" s="211"/>
      <c r="BB739" s="211"/>
      <c r="BC739" s="211"/>
      <c r="BD739" s="211"/>
      <c r="BE739" s="84"/>
      <c r="BF739" s="211"/>
      <c r="BG739" s="451"/>
    </row>
    <row r="740" spans="1:59" ht="12.75">
      <c r="A740" s="211"/>
      <c r="B740" s="449"/>
      <c r="C740" s="450"/>
      <c r="D740" s="211"/>
      <c r="E740" s="211"/>
      <c r="F740" s="211"/>
      <c r="G740" s="84"/>
      <c r="H740" s="211"/>
      <c r="I740" s="211"/>
      <c r="J740" s="211"/>
      <c r="K740" s="211"/>
      <c r="L740" s="84"/>
      <c r="M740" s="211"/>
      <c r="N740" s="211"/>
      <c r="O740" s="211"/>
      <c r="P740" s="211"/>
      <c r="Q740" s="84"/>
      <c r="R740" s="211"/>
      <c r="S740" s="211"/>
      <c r="T740" s="211"/>
      <c r="U740" s="211"/>
      <c r="V740" s="84"/>
      <c r="W740" s="211"/>
      <c r="X740" s="211"/>
      <c r="Y740" s="211"/>
      <c r="Z740" s="211"/>
      <c r="AA740" s="84"/>
      <c r="AB740" s="146"/>
      <c r="AC740" s="211"/>
      <c r="AD740" s="211"/>
      <c r="AE740" s="211"/>
      <c r="AF740" s="84"/>
      <c r="AG740" s="146"/>
      <c r="AH740" s="211"/>
      <c r="AI740" s="211"/>
      <c r="AJ740" s="211"/>
      <c r="AK740" s="84"/>
      <c r="AL740" s="146"/>
      <c r="AM740" s="211"/>
      <c r="AN740" s="211"/>
      <c r="AO740" s="211"/>
      <c r="AP740" s="436"/>
      <c r="AQ740" s="146"/>
      <c r="AR740" s="211"/>
      <c r="AS740" s="211"/>
      <c r="AT740" s="211"/>
      <c r="AU740" s="84"/>
      <c r="AV740" s="211"/>
      <c r="AW740" s="211"/>
      <c r="AX740" s="211"/>
      <c r="AY740" s="211"/>
      <c r="AZ740" s="84"/>
      <c r="BA740" s="211"/>
      <c r="BB740" s="211"/>
      <c r="BC740" s="211"/>
      <c r="BD740" s="211"/>
      <c r="BE740" s="84"/>
      <c r="BF740" s="211"/>
      <c r="BG740" s="451"/>
    </row>
    <row r="741" spans="1:59" ht="12.75">
      <c r="A741" s="211"/>
      <c r="B741" s="449"/>
      <c r="C741" s="450"/>
      <c r="D741" s="211"/>
      <c r="E741" s="211"/>
      <c r="F741" s="211"/>
      <c r="G741" s="84"/>
      <c r="H741" s="211"/>
      <c r="I741" s="211"/>
      <c r="J741" s="211"/>
      <c r="K741" s="211"/>
      <c r="L741" s="84"/>
      <c r="M741" s="211"/>
      <c r="N741" s="211"/>
      <c r="O741" s="211"/>
      <c r="P741" s="211"/>
      <c r="Q741" s="84"/>
      <c r="R741" s="211"/>
      <c r="S741" s="211"/>
      <c r="T741" s="211"/>
      <c r="U741" s="211"/>
      <c r="V741" s="84"/>
      <c r="W741" s="211"/>
      <c r="X741" s="211"/>
      <c r="Y741" s="211"/>
      <c r="Z741" s="211"/>
      <c r="AA741" s="84"/>
      <c r="AB741" s="146"/>
      <c r="AC741" s="211"/>
      <c r="AD741" s="211"/>
      <c r="AE741" s="211"/>
      <c r="AF741" s="84"/>
      <c r="AG741" s="146"/>
      <c r="AH741" s="211"/>
      <c r="AI741" s="211"/>
      <c r="AJ741" s="211"/>
      <c r="AK741" s="84"/>
      <c r="AL741" s="146"/>
      <c r="AM741" s="211"/>
      <c r="AN741" s="211"/>
      <c r="AO741" s="211"/>
      <c r="AP741" s="436"/>
      <c r="AQ741" s="146"/>
      <c r="AR741" s="211"/>
      <c r="AS741" s="211"/>
      <c r="AT741" s="211"/>
      <c r="AU741" s="84"/>
      <c r="AV741" s="211"/>
      <c r="AW741" s="211"/>
      <c r="AX741" s="211"/>
      <c r="AY741" s="211"/>
      <c r="AZ741" s="84"/>
      <c r="BA741" s="211"/>
      <c r="BB741" s="211"/>
      <c r="BC741" s="211"/>
      <c r="BD741" s="211"/>
      <c r="BE741" s="84"/>
      <c r="BF741" s="211"/>
      <c r="BG741" s="451"/>
    </row>
    <row r="742" spans="1:59" ht="12.75">
      <c r="A742" s="211"/>
      <c r="B742" s="449"/>
      <c r="C742" s="450"/>
      <c r="D742" s="211"/>
      <c r="E742" s="211"/>
      <c r="F742" s="211"/>
      <c r="G742" s="84"/>
      <c r="H742" s="211"/>
      <c r="I742" s="211"/>
      <c r="J742" s="211"/>
      <c r="K742" s="211"/>
      <c r="L742" s="84"/>
      <c r="M742" s="211"/>
      <c r="N742" s="211"/>
      <c r="O742" s="211"/>
      <c r="P742" s="211"/>
      <c r="Q742" s="84"/>
      <c r="R742" s="211"/>
      <c r="S742" s="211"/>
      <c r="T742" s="211"/>
      <c r="U742" s="211"/>
      <c r="V742" s="84"/>
      <c r="W742" s="211"/>
      <c r="X742" s="211"/>
      <c r="Y742" s="211"/>
      <c r="Z742" s="211"/>
      <c r="AA742" s="84"/>
      <c r="AB742" s="146"/>
      <c r="AC742" s="211"/>
      <c r="AD742" s="211"/>
      <c r="AE742" s="211"/>
      <c r="AF742" s="84"/>
      <c r="AG742" s="146"/>
      <c r="AH742" s="211"/>
      <c r="AI742" s="211"/>
      <c r="AJ742" s="211"/>
      <c r="AK742" s="84"/>
      <c r="AL742" s="146"/>
      <c r="AM742" s="211"/>
      <c r="AN742" s="211"/>
      <c r="AO742" s="211"/>
      <c r="AP742" s="436"/>
      <c r="AQ742" s="146"/>
      <c r="AR742" s="211"/>
      <c r="AS742" s="211"/>
      <c r="AT742" s="211"/>
      <c r="AU742" s="84"/>
      <c r="AV742" s="211"/>
      <c r="AW742" s="211"/>
      <c r="AX742" s="211"/>
      <c r="AY742" s="211"/>
      <c r="AZ742" s="84"/>
      <c r="BA742" s="211"/>
      <c r="BB742" s="211"/>
      <c r="BC742" s="211"/>
      <c r="BD742" s="211"/>
      <c r="BE742" s="84"/>
      <c r="BF742" s="211"/>
      <c r="BG742" s="451"/>
    </row>
    <row r="743" spans="1:59" ht="12.75">
      <c r="A743" s="211"/>
      <c r="B743" s="449"/>
      <c r="C743" s="450"/>
      <c r="D743" s="211"/>
      <c r="E743" s="211"/>
      <c r="F743" s="211"/>
      <c r="G743" s="84"/>
      <c r="H743" s="211"/>
      <c r="I743" s="211"/>
      <c r="J743" s="211"/>
      <c r="K743" s="211"/>
      <c r="L743" s="84"/>
      <c r="M743" s="211"/>
      <c r="N743" s="211"/>
      <c r="O743" s="211"/>
      <c r="P743" s="211"/>
      <c r="Q743" s="84"/>
      <c r="R743" s="211"/>
      <c r="S743" s="211"/>
      <c r="T743" s="211"/>
      <c r="U743" s="211"/>
      <c r="V743" s="84"/>
      <c r="W743" s="211"/>
      <c r="X743" s="211"/>
      <c r="Y743" s="211"/>
      <c r="Z743" s="211"/>
      <c r="AA743" s="84"/>
      <c r="AB743" s="146"/>
      <c r="AC743" s="211"/>
      <c r="AD743" s="211"/>
      <c r="AE743" s="211"/>
      <c r="AF743" s="84"/>
      <c r="AG743" s="146"/>
      <c r="AH743" s="211"/>
      <c r="AI743" s="211"/>
      <c r="AJ743" s="211"/>
      <c r="AK743" s="84"/>
      <c r="AL743" s="146"/>
      <c r="AM743" s="211"/>
      <c r="AN743" s="211"/>
      <c r="AO743" s="211"/>
      <c r="AP743" s="436"/>
      <c r="AQ743" s="146"/>
      <c r="AR743" s="211"/>
      <c r="AS743" s="211"/>
      <c r="AT743" s="211"/>
      <c r="AU743" s="84"/>
      <c r="AV743" s="211"/>
      <c r="AW743" s="211"/>
      <c r="AX743" s="211"/>
      <c r="AY743" s="211"/>
      <c r="AZ743" s="84"/>
      <c r="BA743" s="211"/>
      <c r="BB743" s="211"/>
      <c r="BC743" s="211"/>
      <c r="BD743" s="211"/>
      <c r="BE743" s="84"/>
      <c r="BF743" s="211"/>
      <c r="BG743" s="451"/>
    </row>
    <row r="744" spans="1:59" ht="12.75">
      <c r="A744" s="211"/>
      <c r="B744" s="449"/>
      <c r="C744" s="450"/>
      <c r="D744" s="211"/>
      <c r="E744" s="211"/>
      <c r="F744" s="211"/>
      <c r="G744" s="84"/>
      <c r="H744" s="211"/>
      <c r="I744" s="211"/>
      <c r="J744" s="211"/>
      <c r="K744" s="211"/>
      <c r="L744" s="84"/>
      <c r="M744" s="211"/>
      <c r="N744" s="211"/>
      <c r="O744" s="211"/>
      <c r="P744" s="211"/>
      <c r="Q744" s="84"/>
      <c r="R744" s="211"/>
      <c r="S744" s="211"/>
      <c r="T744" s="211"/>
      <c r="U744" s="211"/>
      <c r="V744" s="84"/>
      <c r="W744" s="211"/>
      <c r="X744" s="211"/>
      <c r="Y744" s="211"/>
      <c r="Z744" s="211"/>
      <c r="AA744" s="84"/>
      <c r="AB744" s="146"/>
      <c r="AC744" s="211"/>
      <c r="AD744" s="211"/>
      <c r="AE744" s="211"/>
      <c r="AF744" s="84"/>
      <c r="AG744" s="146"/>
      <c r="AH744" s="211"/>
      <c r="AI744" s="211"/>
      <c r="AJ744" s="211"/>
      <c r="AK744" s="84"/>
      <c r="AL744" s="146"/>
      <c r="AM744" s="211"/>
      <c r="AN744" s="211"/>
      <c r="AO744" s="211"/>
      <c r="AP744" s="436"/>
      <c r="AQ744" s="146"/>
      <c r="AR744" s="211"/>
      <c r="AS744" s="211"/>
      <c r="AT744" s="211"/>
      <c r="AU744" s="84"/>
      <c r="AV744" s="211"/>
      <c r="AW744" s="211"/>
      <c r="AX744" s="211"/>
      <c r="AY744" s="211"/>
      <c r="AZ744" s="84"/>
      <c r="BA744" s="211"/>
      <c r="BB744" s="211"/>
      <c r="BC744" s="211"/>
      <c r="BD744" s="211"/>
      <c r="BE744" s="84"/>
      <c r="BF744" s="211"/>
      <c r="BG744" s="451"/>
    </row>
    <row r="745" spans="1:59" ht="12.75">
      <c r="A745" s="211"/>
      <c r="B745" s="449"/>
      <c r="C745" s="450"/>
      <c r="D745" s="211"/>
      <c r="E745" s="211"/>
      <c r="F745" s="211"/>
      <c r="G745" s="84"/>
      <c r="H745" s="211"/>
      <c r="I745" s="211"/>
      <c r="J745" s="211"/>
      <c r="K745" s="211"/>
      <c r="L745" s="84"/>
      <c r="M745" s="211"/>
      <c r="N745" s="211"/>
      <c r="O745" s="211"/>
      <c r="P745" s="211"/>
      <c r="Q745" s="84"/>
      <c r="R745" s="211"/>
      <c r="S745" s="211"/>
      <c r="T745" s="211"/>
      <c r="U745" s="211"/>
      <c r="V745" s="84"/>
      <c r="W745" s="211"/>
      <c r="X745" s="211"/>
      <c r="Y745" s="211"/>
      <c r="Z745" s="211"/>
      <c r="AA745" s="84"/>
      <c r="AB745" s="146"/>
      <c r="AC745" s="211"/>
      <c r="AD745" s="211"/>
      <c r="AE745" s="211"/>
      <c r="AF745" s="84"/>
      <c r="AG745" s="146"/>
      <c r="AH745" s="211"/>
      <c r="AI745" s="211"/>
      <c r="AJ745" s="211"/>
      <c r="AK745" s="84"/>
      <c r="AL745" s="146"/>
      <c r="AM745" s="211"/>
      <c r="AN745" s="211"/>
      <c r="AO745" s="211"/>
      <c r="AP745" s="436"/>
      <c r="AQ745" s="146"/>
      <c r="AR745" s="211"/>
      <c r="AS745" s="211"/>
      <c r="AT745" s="211"/>
      <c r="AU745" s="84"/>
      <c r="AV745" s="211"/>
      <c r="AW745" s="211"/>
      <c r="AX745" s="211"/>
      <c r="AY745" s="211"/>
      <c r="AZ745" s="84"/>
      <c r="BA745" s="211"/>
      <c r="BB745" s="211"/>
      <c r="BC745" s="211"/>
      <c r="BD745" s="211"/>
      <c r="BE745" s="84"/>
      <c r="BF745" s="211"/>
      <c r="BG745" s="451"/>
    </row>
    <row r="746" spans="1:59" ht="12.75">
      <c r="A746" s="211"/>
      <c r="B746" s="449"/>
      <c r="C746" s="450"/>
      <c r="D746" s="211"/>
      <c r="E746" s="211"/>
      <c r="F746" s="211"/>
      <c r="G746" s="84"/>
      <c r="H746" s="211"/>
      <c r="I746" s="211"/>
      <c r="J746" s="211"/>
      <c r="K746" s="211"/>
      <c r="L746" s="84"/>
      <c r="M746" s="211"/>
      <c r="N746" s="211"/>
      <c r="O746" s="211"/>
      <c r="P746" s="211"/>
      <c r="Q746" s="84"/>
      <c r="R746" s="211"/>
      <c r="S746" s="211"/>
      <c r="T746" s="211"/>
      <c r="U746" s="211"/>
      <c r="V746" s="84"/>
      <c r="W746" s="211"/>
      <c r="X746" s="211"/>
      <c r="Y746" s="211"/>
      <c r="Z746" s="211"/>
      <c r="AA746" s="84"/>
      <c r="AB746" s="146"/>
      <c r="AC746" s="211"/>
      <c r="AD746" s="211"/>
      <c r="AE746" s="211"/>
      <c r="AF746" s="84"/>
      <c r="AG746" s="146"/>
      <c r="AH746" s="211"/>
      <c r="AI746" s="211"/>
      <c r="AJ746" s="211"/>
      <c r="AK746" s="84"/>
      <c r="AL746" s="146"/>
      <c r="AM746" s="211"/>
      <c r="AN746" s="211"/>
      <c r="AO746" s="211"/>
      <c r="AP746" s="436"/>
      <c r="AQ746" s="146"/>
      <c r="AR746" s="211"/>
      <c r="AS746" s="211"/>
      <c r="AT746" s="211"/>
      <c r="AU746" s="84"/>
      <c r="AV746" s="211"/>
      <c r="AW746" s="211"/>
      <c r="AX746" s="211"/>
      <c r="AY746" s="211"/>
      <c r="AZ746" s="84"/>
      <c r="BA746" s="211"/>
      <c r="BB746" s="211"/>
      <c r="BC746" s="211"/>
      <c r="BD746" s="211"/>
      <c r="BE746" s="84"/>
      <c r="BF746" s="211"/>
      <c r="BG746" s="451"/>
    </row>
    <row r="747" spans="1:59" ht="12.75">
      <c r="A747" s="211"/>
      <c r="B747" s="449"/>
      <c r="C747" s="450"/>
      <c r="D747" s="211"/>
      <c r="E747" s="211"/>
      <c r="F747" s="211"/>
      <c r="G747" s="84"/>
      <c r="H747" s="211"/>
      <c r="I747" s="211"/>
      <c r="J747" s="211"/>
      <c r="K747" s="211"/>
      <c r="L747" s="84"/>
      <c r="M747" s="211"/>
      <c r="N747" s="211"/>
      <c r="O747" s="211"/>
      <c r="P747" s="211"/>
      <c r="Q747" s="84"/>
      <c r="R747" s="211"/>
      <c r="S747" s="211"/>
      <c r="T747" s="211"/>
      <c r="U747" s="211"/>
      <c r="V747" s="84"/>
      <c r="W747" s="211"/>
      <c r="X747" s="211"/>
      <c r="Y747" s="211"/>
      <c r="Z747" s="211"/>
      <c r="AA747" s="84"/>
      <c r="AB747" s="146"/>
      <c r="AC747" s="211"/>
      <c r="AD747" s="211"/>
      <c r="AE747" s="211"/>
      <c r="AF747" s="84"/>
      <c r="AG747" s="146"/>
      <c r="AH747" s="211"/>
      <c r="AI747" s="211"/>
      <c r="AJ747" s="211"/>
      <c r="AK747" s="84"/>
      <c r="AL747" s="146"/>
      <c r="AM747" s="211"/>
      <c r="AN747" s="211"/>
      <c r="AO747" s="211"/>
      <c r="AP747" s="436"/>
      <c r="AQ747" s="146"/>
      <c r="AR747" s="211"/>
      <c r="AS747" s="211"/>
      <c r="AT747" s="211"/>
      <c r="AU747" s="84"/>
      <c r="AV747" s="211"/>
      <c r="AW747" s="211"/>
      <c r="AX747" s="211"/>
      <c r="AY747" s="211"/>
      <c r="AZ747" s="84"/>
      <c r="BA747" s="211"/>
      <c r="BB747" s="211"/>
      <c r="BC747" s="211"/>
      <c r="BD747" s="211"/>
      <c r="BE747" s="84"/>
      <c r="BF747" s="211"/>
      <c r="BG747" s="451"/>
    </row>
    <row r="748" spans="1:59" ht="12.75">
      <c r="A748" s="211"/>
      <c r="B748" s="449"/>
      <c r="C748" s="450"/>
      <c r="D748" s="211"/>
      <c r="E748" s="211"/>
      <c r="F748" s="211"/>
      <c r="G748" s="84"/>
      <c r="H748" s="211"/>
      <c r="I748" s="211"/>
      <c r="J748" s="211"/>
      <c r="K748" s="211"/>
      <c r="L748" s="84"/>
      <c r="M748" s="211"/>
      <c r="N748" s="211"/>
      <c r="O748" s="211"/>
      <c r="P748" s="211"/>
      <c r="Q748" s="84"/>
      <c r="R748" s="211"/>
      <c r="S748" s="211"/>
      <c r="T748" s="211"/>
      <c r="U748" s="211"/>
      <c r="V748" s="84"/>
      <c r="W748" s="211"/>
      <c r="X748" s="211"/>
      <c r="Y748" s="211"/>
      <c r="Z748" s="211"/>
      <c r="AA748" s="84"/>
      <c r="AB748" s="146"/>
      <c r="AC748" s="211"/>
      <c r="AD748" s="211"/>
      <c r="AE748" s="211"/>
      <c r="AF748" s="84"/>
      <c r="AG748" s="146"/>
      <c r="AH748" s="211"/>
      <c r="AI748" s="211"/>
      <c r="AJ748" s="211"/>
      <c r="AK748" s="84"/>
      <c r="AL748" s="146"/>
      <c r="AM748" s="211"/>
      <c r="AN748" s="211"/>
      <c r="AO748" s="211"/>
      <c r="AP748" s="436"/>
      <c r="AQ748" s="146"/>
      <c r="AR748" s="211"/>
      <c r="AS748" s="211"/>
      <c r="AT748" s="211"/>
      <c r="AU748" s="84"/>
      <c r="AV748" s="211"/>
      <c r="AW748" s="211"/>
      <c r="AX748" s="211"/>
      <c r="AY748" s="211"/>
      <c r="AZ748" s="84"/>
      <c r="BA748" s="211"/>
      <c r="BB748" s="211"/>
      <c r="BC748" s="211"/>
      <c r="BD748" s="211"/>
      <c r="BE748" s="84"/>
      <c r="BF748" s="211"/>
      <c r="BG748" s="451"/>
    </row>
    <row r="749" spans="1:59" ht="12.75">
      <c r="A749" s="211"/>
      <c r="B749" s="449"/>
      <c r="C749" s="450"/>
      <c r="D749" s="211"/>
      <c r="E749" s="211"/>
      <c r="F749" s="211"/>
      <c r="G749" s="84"/>
      <c r="H749" s="211"/>
      <c r="I749" s="211"/>
      <c r="J749" s="211"/>
      <c r="K749" s="211"/>
      <c r="L749" s="84"/>
      <c r="M749" s="211"/>
      <c r="N749" s="211"/>
      <c r="O749" s="211"/>
      <c r="P749" s="211"/>
      <c r="Q749" s="84"/>
      <c r="R749" s="211"/>
      <c r="S749" s="211"/>
      <c r="T749" s="211"/>
      <c r="U749" s="211"/>
      <c r="V749" s="84"/>
      <c r="W749" s="211"/>
      <c r="X749" s="211"/>
      <c r="Y749" s="211"/>
      <c r="Z749" s="211"/>
      <c r="AA749" s="84"/>
      <c r="AB749" s="146"/>
      <c r="AC749" s="211"/>
      <c r="AD749" s="211"/>
      <c r="AE749" s="211"/>
      <c r="AF749" s="84"/>
      <c r="AG749" s="146"/>
      <c r="AH749" s="211"/>
      <c r="AI749" s="211"/>
      <c r="AJ749" s="211"/>
      <c r="AK749" s="84"/>
      <c r="AL749" s="146"/>
      <c r="AM749" s="211"/>
      <c r="AN749" s="211"/>
      <c r="AO749" s="211"/>
      <c r="AP749" s="436"/>
      <c r="AQ749" s="146"/>
      <c r="AR749" s="211"/>
      <c r="AS749" s="211"/>
      <c r="AT749" s="211"/>
      <c r="AU749" s="84"/>
      <c r="AV749" s="211"/>
      <c r="AW749" s="211"/>
      <c r="AX749" s="211"/>
      <c r="AY749" s="211"/>
      <c r="AZ749" s="84"/>
      <c r="BA749" s="211"/>
      <c r="BB749" s="211"/>
      <c r="BC749" s="211"/>
      <c r="BD749" s="211"/>
      <c r="BE749" s="84"/>
      <c r="BF749" s="211"/>
      <c r="BG749" s="451"/>
    </row>
    <row r="750" spans="1:59" ht="12.75">
      <c r="A750" s="211"/>
      <c r="B750" s="449"/>
      <c r="C750" s="450"/>
      <c r="D750" s="211"/>
      <c r="E750" s="211"/>
      <c r="F750" s="211"/>
      <c r="G750" s="84"/>
      <c r="H750" s="211"/>
      <c r="I750" s="211"/>
      <c r="J750" s="211"/>
      <c r="K750" s="211"/>
      <c r="L750" s="84"/>
      <c r="M750" s="211"/>
      <c r="N750" s="211"/>
      <c r="O750" s="211"/>
      <c r="P750" s="211"/>
      <c r="Q750" s="84"/>
      <c r="R750" s="211"/>
      <c r="S750" s="211"/>
      <c r="T750" s="211"/>
      <c r="U750" s="211"/>
      <c r="V750" s="84"/>
      <c r="W750" s="211"/>
      <c r="X750" s="211"/>
      <c r="Y750" s="211"/>
      <c r="Z750" s="211"/>
      <c r="AA750" s="84"/>
      <c r="AB750" s="146"/>
      <c r="AC750" s="211"/>
      <c r="AD750" s="211"/>
      <c r="AE750" s="211"/>
      <c r="AF750" s="84"/>
      <c r="AG750" s="146"/>
      <c r="AH750" s="211"/>
      <c r="AI750" s="211"/>
      <c r="AJ750" s="211"/>
      <c r="AK750" s="84"/>
      <c r="AL750" s="146"/>
      <c r="AM750" s="211"/>
      <c r="AN750" s="211"/>
      <c r="AO750" s="211"/>
      <c r="AP750" s="436"/>
      <c r="AQ750" s="146"/>
      <c r="AR750" s="211"/>
      <c r="AS750" s="211"/>
      <c r="AT750" s="211"/>
      <c r="AU750" s="84"/>
      <c r="AV750" s="211"/>
      <c r="AW750" s="211"/>
      <c r="AX750" s="211"/>
      <c r="AY750" s="211"/>
      <c r="AZ750" s="84"/>
      <c r="BA750" s="211"/>
      <c r="BB750" s="211"/>
      <c r="BC750" s="211"/>
      <c r="BD750" s="211"/>
      <c r="BE750" s="84"/>
      <c r="BF750" s="211"/>
      <c r="BG750" s="451"/>
    </row>
    <row r="751" spans="1:59" ht="12.75">
      <c r="A751" s="211"/>
      <c r="B751" s="449"/>
      <c r="C751" s="450"/>
      <c r="D751" s="211"/>
      <c r="E751" s="211"/>
      <c r="F751" s="211"/>
      <c r="G751" s="84"/>
      <c r="H751" s="211"/>
      <c r="I751" s="211"/>
      <c r="J751" s="211"/>
      <c r="K751" s="211"/>
      <c r="L751" s="84"/>
      <c r="M751" s="211"/>
      <c r="N751" s="211"/>
      <c r="O751" s="211"/>
      <c r="P751" s="211"/>
      <c r="Q751" s="84"/>
      <c r="R751" s="211"/>
      <c r="S751" s="211"/>
      <c r="T751" s="211"/>
      <c r="U751" s="211"/>
      <c r="V751" s="84"/>
      <c r="W751" s="211"/>
      <c r="X751" s="211"/>
      <c r="Y751" s="211"/>
      <c r="Z751" s="211"/>
      <c r="AA751" s="84"/>
      <c r="AB751" s="146"/>
      <c r="AC751" s="211"/>
      <c r="AD751" s="211"/>
      <c r="AE751" s="211"/>
      <c r="AF751" s="84"/>
      <c r="AG751" s="146"/>
      <c r="AH751" s="211"/>
      <c r="AI751" s="211"/>
      <c r="AJ751" s="211"/>
      <c r="AK751" s="84"/>
      <c r="AL751" s="146"/>
      <c r="AM751" s="211"/>
      <c r="AN751" s="211"/>
      <c r="AO751" s="211"/>
      <c r="AP751" s="436"/>
      <c r="AQ751" s="146"/>
      <c r="AR751" s="211"/>
      <c r="AS751" s="211"/>
      <c r="AT751" s="211"/>
      <c r="AU751" s="84"/>
      <c r="AV751" s="211"/>
      <c r="AW751" s="211"/>
      <c r="AX751" s="211"/>
      <c r="AY751" s="211"/>
      <c r="AZ751" s="84"/>
      <c r="BA751" s="211"/>
      <c r="BB751" s="211"/>
      <c r="BC751" s="211"/>
      <c r="BD751" s="211"/>
      <c r="BE751" s="84"/>
      <c r="BF751" s="211"/>
      <c r="BG751" s="451"/>
    </row>
    <row r="752" spans="1:59" ht="12.75">
      <c r="A752" s="211"/>
      <c r="B752" s="449"/>
      <c r="C752" s="450"/>
      <c r="D752" s="211"/>
      <c r="E752" s="211"/>
      <c r="F752" s="211"/>
      <c r="G752" s="84"/>
      <c r="H752" s="211"/>
      <c r="I752" s="211"/>
      <c r="J752" s="211"/>
      <c r="K752" s="211"/>
      <c r="L752" s="84"/>
      <c r="M752" s="211"/>
      <c r="N752" s="211"/>
      <c r="O752" s="211"/>
      <c r="P752" s="211"/>
      <c r="Q752" s="84"/>
      <c r="R752" s="211"/>
      <c r="S752" s="211"/>
      <c r="T752" s="211"/>
      <c r="U752" s="211"/>
      <c r="V752" s="84"/>
      <c r="W752" s="211"/>
      <c r="X752" s="211"/>
      <c r="Y752" s="211"/>
      <c r="Z752" s="211"/>
      <c r="AA752" s="84"/>
      <c r="AB752" s="146"/>
      <c r="AC752" s="211"/>
      <c r="AD752" s="211"/>
      <c r="AE752" s="211"/>
      <c r="AF752" s="84"/>
      <c r="AG752" s="146"/>
      <c r="AH752" s="211"/>
      <c r="AI752" s="211"/>
      <c r="AJ752" s="211"/>
      <c r="AK752" s="84"/>
      <c r="AL752" s="146"/>
      <c r="AM752" s="211"/>
      <c r="AN752" s="211"/>
      <c r="AO752" s="211"/>
      <c r="AP752" s="436"/>
      <c r="AQ752" s="146"/>
      <c r="AR752" s="211"/>
      <c r="AS752" s="211"/>
      <c r="AT752" s="211"/>
      <c r="AU752" s="84"/>
      <c r="AV752" s="211"/>
      <c r="AW752" s="211"/>
      <c r="AX752" s="211"/>
      <c r="AY752" s="211"/>
      <c r="AZ752" s="84"/>
      <c r="BA752" s="211"/>
      <c r="BB752" s="211"/>
      <c r="BC752" s="211"/>
      <c r="BD752" s="211"/>
      <c r="BE752" s="84"/>
      <c r="BF752" s="211"/>
      <c r="BG752" s="451"/>
    </row>
    <row r="753" spans="1:59" ht="12.75">
      <c r="A753" s="211"/>
      <c r="B753" s="449"/>
      <c r="C753" s="450"/>
      <c r="D753" s="211"/>
      <c r="E753" s="211"/>
      <c r="F753" s="211"/>
      <c r="G753" s="84"/>
      <c r="H753" s="211"/>
      <c r="I753" s="211"/>
      <c r="J753" s="211"/>
      <c r="K753" s="211"/>
      <c r="L753" s="84"/>
      <c r="M753" s="211"/>
      <c r="N753" s="211"/>
      <c r="O753" s="211"/>
      <c r="P753" s="211"/>
      <c r="Q753" s="84"/>
      <c r="R753" s="211"/>
      <c r="S753" s="211"/>
      <c r="T753" s="211"/>
      <c r="U753" s="211"/>
      <c r="V753" s="84"/>
      <c r="W753" s="211"/>
      <c r="X753" s="211"/>
      <c r="Y753" s="211"/>
      <c r="Z753" s="211"/>
      <c r="AA753" s="84"/>
      <c r="AB753" s="146"/>
      <c r="AC753" s="211"/>
      <c r="AD753" s="211"/>
      <c r="AE753" s="211"/>
      <c r="AF753" s="84"/>
      <c r="AG753" s="146"/>
      <c r="AH753" s="211"/>
      <c r="AI753" s="211"/>
      <c r="AJ753" s="211"/>
      <c r="AK753" s="84"/>
      <c r="AL753" s="146"/>
      <c r="AM753" s="211"/>
      <c r="AN753" s="211"/>
      <c r="AO753" s="211"/>
      <c r="AP753" s="436"/>
      <c r="AQ753" s="146"/>
      <c r="AR753" s="211"/>
      <c r="AS753" s="211"/>
      <c r="AT753" s="211"/>
      <c r="AU753" s="84"/>
      <c r="AV753" s="211"/>
      <c r="AW753" s="211"/>
      <c r="AX753" s="211"/>
      <c r="AY753" s="211"/>
      <c r="AZ753" s="84"/>
      <c r="BA753" s="211"/>
      <c r="BB753" s="211"/>
      <c r="BC753" s="211"/>
      <c r="BD753" s="211"/>
      <c r="BE753" s="84"/>
      <c r="BF753" s="211"/>
      <c r="BG753" s="451"/>
    </row>
    <row r="754" spans="1:59" ht="12.75">
      <c r="A754" s="211"/>
      <c r="B754" s="449"/>
      <c r="C754" s="450"/>
      <c r="D754" s="211"/>
      <c r="E754" s="211"/>
      <c r="F754" s="211"/>
      <c r="G754" s="84"/>
      <c r="H754" s="211"/>
      <c r="I754" s="211"/>
      <c r="J754" s="211"/>
      <c r="K754" s="211"/>
      <c r="L754" s="84"/>
      <c r="M754" s="211"/>
      <c r="N754" s="211"/>
      <c r="O754" s="211"/>
      <c r="P754" s="211"/>
      <c r="Q754" s="84"/>
      <c r="R754" s="211"/>
      <c r="S754" s="211"/>
      <c r="T754" s="211"/>
      <c r="U754" s="211"/>
      <c r="V754" s="84"/>
      <c r="W754" s="211"/>
      <c r="X754" s="211"/>
      <c r="Y754" s="211"/>
      <c r="Z754" s="211"/>
      <c r="AA754" s="84"/>
      <c r="AB754" s="146"/>
      <c r="AC754" s="211"/>
      <c r="AD754" s="211"/>
      <c r="AE754" s="211"/>
      <c r="AF754" s="84"/>
      <c r="AG754" s="146"/>
      <c r="AH754" s="211"/>
      <c r="AI754" s="211"/>
      <c r="AJ754" s="211"/>
      <c r="AK754" s="84"/>
      <c r="AL754" s="146"/>
      <c r="AM754" s="211"/>
      <c r="AN754" s="211"/>
      <c r="AO754" s="211"/>
      <c r="AP754" s="436"/>
      <c r="AQ754" s="146"/>
      <c r="AR754" s="211"/>
      <c r="AS754" s="211"/>
      <c r="AT754" s="211"/>
      <c r="AU754" s="84"/>
      <c r="AV754" s="211"/>
      <c r="AW754" s="211"/>
      <c r="AX754" s="211"/>
      <c r="AY754" s="211"/>
      <c r="AZ754" s="84"/>
      <c r="BA754" s="211"/>
      <c r="BB754" s="211"/>
      <c r="BC754" s="211"/>
      <c r="BD754" s="211"/>
      <c r="BE754" s="84"/>
      <c r="BF754" s="211"/>
      <c r="BG754" s="451"/>
    </row>
    <row r="755" spans="1:59" ht="12.75">
      <c r="A755" s="211"/>
      <c r="B755" s="449"/>
      <c r="C755" s="450"/>
      <c r="D755" s="211"/>
      <c r="E755" s="211"/>
      <c r="F755" s="211"/>
      <c r="G755" s="84"/>
      <c r="H755" s="211"/>
      <c r="I755" s="211"/>
      <c r="J755" s="211"/>
      <c r="K755" s="211"/>
      <c r="L755" s="84"/>
      <c r="M755" s="211"/>
      <c r="N755" s="211"/>
      <c r="O755" s="211"/>
      <c r="P755" s="211"/>
      <c r="Q755" s="84"/>
      <c r="R755" s="211"/>
      <c r="S755" s="211"/>
      <c r="T755" s="211"/>
      <c r="U755" s="211"/>
      <c r="V755" s="84"/>
      <c r="W755" s="211"/>
      <c r="X755" s="211"/>
      <c r="Y755" s="211"/>
      <c r="Z755" s="211"/>
      <c r="AA755" s="84"/>
      <c r="AB755" s="146"/>
      <c r="AC755" s="211"/>
      <c r="AD755" s="211"/>
      <c r="AE755" s="211"/>
      <c r="AF755" s="84"/>
      <c r="AG755" s="146"/>
      <c r="AH755" s="211"/>
      <c r="AI755" s="211"/>
      <c r="AJ755" s="211"/>
      <c r="AK755" s="84"/>
      <c r="AL755" s="146"/>
      <c r="AM755" s="211"/>
      <c r="AN755" s="211"/>
      <c r="AO755" s="211"/>
      <c r="AP755" s="436"/>
      <c r="AQ755" s="146"/>
      <c r="AR755" s="211"/>
      <c r="AS755" s="211"/>
      <c r="AT755" s="211"/>
      <c r="AU755" s="84"/>
      <c r="AV755" s="211"/>
      <c r="AW755" s="211"/>
      <c r="AX755" s="211"/>
      <c r="AY755" s="211"/>
      <c r="AZ755" s="84"/>
      <c r="BA755" s="211"/>
      <c r="BB755" s="211"/>
      <c r="BC755" s="211"/>
      <c r="BD755" s="211"/>
      <c r="BE755" s="84"/>
      <c r="BF755" s="211"/>
      <c r="BG755" s="451"/>
    </row>
    <row r="756" spans="1:59" ht="12.75">
      <c r="A756" s="211"/>
      <c r="B756" s="449"/>
      <c r="C756" s="450"/>
      <c r="D756" s="211"/>
      <c r="E756" s="211"/>
      <c r="F756" s="211"/>
      <c r="G756" s="84"/>
      <c r="H756" s="211"/>
      <c r="I756" s="211"/>
      <c r="J756" s="211"/>
      <c r="K756" s="211"/>
      <c r="L756" s="84"/>
      <c r="M756" s="211"/>
      <c r="N756" s="211"/>
      <c r="O756" s="211"/>
      <c r="P756" s="211"/>
      <c r="Q756" s="84"/>
      <c r="R756" s="211"/>
      <c r="S756" s="211"/>
      <c r="T756" s="211"/>
      <c r="U756" s="211"/>
      <c r="V756" s="84"/>
      <c r="W756" s="211"/>
      <c r="X756" s="211"/>
      <c r="Y756" s="211"/>
      <c r="Z756" s="211"/>
      <c r="AA756" s="84"/>
      <c r="AB756" s="146"/>
      <c r="AC756" s="211"/>
      <c r="AD756" s="211"/>
      <c r="AE756" s="211"/>
      <c r="AF756" s="84"/>
      <c r="AG756" s="146"/>
      <c r="AH756" s="211"/>
      <c r="AI756" s="211"/>
      <c r="AJ756" s="211"/>
      <c r="AK756" s="84"/>
      <c r="AL756" s="146"/>
      <c r="AM756" s="211"/>
      <c r="AN756" s="211"/>
      <c r="AO756" s="211"/>
      <c r="AP756" s="436"/>
      <c r="AQ756" s="146"/>
      <c r="AR756" s="211"/>
      <c r="AS756" s="211"/>
      <c r="AT756" s="211"/>
      <c r="AU756" s="84"/>
      <c r="AV756" s="211"/>
      <c r="AW756" s="211"/>
      <c r="AX756" s="211"/>
      <c r="AY756" s="211"/>
      <c r="AZ756" s="84"/>
      <c r="BA756" s="211"/>
      <c r="BB756" s="211"/>
      <c r="BC756" s="211"/>
      <c r="BD756" s="211"/>
      <c r="BE756" s="84"/>
      <c r="BF756" s="211"/>
      <c r="BG756" s="451"/>
    </row>
    <row r="757" spans="1:59" ht="12.75">
      <c r="A757" s="211"/>
      <c r="B757" s="449"/>
      <c r="C757" s="450"/>
      <c r="D757" s="211"/>
      <c r="E757" s="211"/>
      <c r="F757" s="211"/>
      <c r="G757" s="84"/>
      <c r="H757" s="211"/>
      <c r="I757" s="211"/>
      <c r="J757" s="211"/>
      <c r="K757" s="211"/>
      <c r="L757" s="84"/>
      <c r="M757" s="211"/>
      <c r="N757" s="211"/>
      <c r="O757" s="211"/>
      <c r="P757" s="211"/>
      <c r="Q757" s="84"/>
      <c r="R757" s="211"/>
      <c r="S757" s="211"/>
      <c r="T757" s="211"/>
      <c r="U757" s="211"/>
      <c r="V757" s="84"/>
      <c r="W757" s="211"/>
      <c r="X757" s="211"/>
      <c r="Y757" s="211"/>
      <c r="Z757" s="211"/>
      <c r="AA757" s="84"/>
      <c r="AB757" s="146"/>
      <c r="AC757" s="211"/>
      <c r="AD757" s="211"/>
      <c r="AE757" s="211"/>
      <c r="AF757" s="84"/>
      <c r="AG757" s="146"/>
      <c r="AH757" s="211"/>
      <c r="AI757" s="211"/>
      <c r="AJ757" s="211"/>
      <c r="AK757" s="84"/>
      <c r="AL757" s="146"/>
      <c r="AM757" s="211"/>
      <c r="AN757" s="211"/>
      <c r="AO757" s="211"/>
      <c r="AP757" s="436"/>
      <c r="AQ757" s="146"/>
      <c r="AR757" s="211"/>
      <c r="AS757" s="211"/>
      <c r="AT757" s="211"/>
      <c r="AU757" s="84"/>
      <c r="AV757" s="211"/>
      <c r="AW757" s="211"/>
      <c r="AX757" s="211"/>
      <c r="AY757" s="211"/>
      <c r="AZ757" s="84"/>
      <c r="BA757" s="211"/>
      <c r="BB757" s="211"/>
      <c r="BC757" s="211"/>
      <c r="BD757" s="211"/>
      <c r="BE757" s="84"/>
      <c r="BF757" s="211"/>
      <c r="BG757" s="451"/>
    </row>
    <row r="758" spans="1:59" ht="12.75">
      <c r="A758" s="211"/>
      <c r="B758" s="449"/>
      <c r="C758" s="450"/>
      <c r="D758" s="211"/>
      <c r="E758" s="211"/>
      <c r="F758" s="211"/>
      <c r="G758" s="84"/>
      <c r="H758" s="211"/>
      <c r="I758" s="211"/>
      <c r="J758" s="211"/>
      <c r="K758" s="211"/>
      <c r="L758" s="84"/>
      <c r="M758" s="211"/>
      <c r="N758" s="211"/>
      <c r="O758" s="211"/>
      <c r="P758" s="211"/>
      <c r="Q758" s="84"/>
      <c r="R758" s="211"/>
      <c r="S758" s="211"/>
      <c r="T758" s="211"/>
      <c r="U758" s="211"/>
      <c r="V758" s="84"/>
      <c r="W758" s="211"/>
      <c r="X758" s="211"/>
      <c r="Y758" s="211"/>
      <c r="Z758" s="211"/>
      <c r="AA758" s="84"/>
      <c r="AB758" s="146"/>
      <c r="AC758" s="211"/>
      <c r="AD758" s="211"/>
      <c r="AE758" s="211"/>
      <c r="AF758" s="84"/>
      <c r="AG758" s="146"/>
      <c r="AH758" s="211"/>
      <c r="AI758" s="211"/>
      <c r="AJ758" s="211"/>
      <c r="AK758" s="84"/>
      <c r="AL758" s="146"/>
      <c r="AM758" s="211"/>
      <c r="AN758" s="211"/>
      <c r="AO758" s="211"/>
      <c r="AP758" s="436"/>
      <c r="AQ758" s="146"/>
      <c r="AR758" s="211"/>
      <c r="AS758" s="211"/>
      <c r="AT758" s="211"/>
      <c r="AU758" s="84"/>
      <c r="AV758" s="211"/>
      <c r="AW758" s="211"/>
      <c r="AX758" s="211"/>
      <c r="AY758" s="211"/>
      <c r="AZ758" s="84"/>
      <c r="BA758" s="211"/>
      <c r="BB758" s="211"/>
      <c r="BC758" s="211"/>
      <c r="BD758" s="211"/>
      <c r="BE758" s="84"/>
      <c r="BF758" s="211"/>
      <c r="BG758" s="451"/>
    </row>
    <row r="759" spans="1:59" ht="12.75">
      <c r="A759" s="211"/>
      <c r="B759" s="449"/>
      <c r="C759" s="450"/>
      <c r="D759" s="211"/>
      <c r="E759" s="211"/>
      <c r="F759" s="211"/>
      <c r="G759" s="84"/>
      <c r="H759" s="211"/>
      <c r="I759" s="211"/>
      <c r="J759" s="211"/>
      <c r="K759" s="211"/>
      <c r="L759" s="84"/>
      <c r="M759" s="211"/>
      <c r="N759" s="211"/>
      <c r="O759" s="211"/>
      <c r="P759" s="211"/>
      <c r="Q759" s="84"/>
      <c r="R759" s="211"/>
      <c r="S759" s="211"/>
      <c r="T759" s="211"/>
      <c r="U759" s="211"/>
      <c r="V759" s="84"/>
      <c r="W759" s="211"/>
      <c r="X759" s="211"/>
      <c r="Y759" s="211"/>
      <c r="Z759" s="211"/>
      <c r="AA759" s="84"/>
      <c r="AB759" s="146"/>
      <c r="AC759" s="211"/>
      <c r="AD759" s="211"/>
      <c r="AE759" s="211"/>
      <c r="AF759" s="84"/>
      <c r="AG759" s="146"/>
      <c r="AH759" s="211"/>
      <c r="AI759" s="211"/>
      <c r="AJ759" s="211"/>
      <c r="AK759" s="84"/>
      <c r="AL759" s="146"/>
      <c r="AM759" s="211"/>
      <c r="AN759" s="211"/>
      <c r="AO759" s="211"/>
      <c r="AP759" s="436"/>
      <c r="AQ759" s="146"/>
      <c r="AR759" s="211"/>
      <c r="AS759" s="211"/>
      <c r="AT759" s="211"/>
      <c r="AU759" s="84"/>
      <c r="AV759" s="211"/>
      <c r="AW759" s="211"/>
      <c r="AX759" s="211"/>
      <c r="AY759" s="211"/>
      <c r="AZ759" s="84"/>
      <c r="BA759" s="211"/>
      <c r="BB759" s="211"/>
      <c r="BC759" s="211"/>
      <c r="BD759" s="211"/>
      <c r="BE759" s="84"/>
      <c r="BF759" s="211"/>
      <c r="BG759" s="451"/>
    </row>
    <row r="760" spans="1:59" ht="12.75">
      <c r="A760" s="211"/>
      <c r="B760" s="449"/>
      <c r="C760" s="450"/>
      <c r="D760" s="211"/>
      <c r="E760" s="211"/>
      <c r="F760" s="211"/>
      <c r="G760" s="84"/>
      <c r="H760" s="211"/>
      <c r="I760" s="211"/>
      <c r="J760" s="211"/>
      <c r="K760" s="211"/>
      <c r="L760" s="84"/>
      <c r="M760" s="211"/>
      <c r="N760" s="211"/>
      <c r="O760" s="211"/>
      <c r="P760" s="211"/>
      <c r="Q760" s="84"/>
      <c r="R760" s="211"/>
      <c r="S760" s="211"/>
      <c r="T760" s="211"/>
      <c r="U760" s="211"/>
      <c r="V760" s="84"/>
      <c r="W760" s="211"/>
      <c r="X760" s="211"/>
      <c r="Y760" s="211"/>
      <c r="Z760" s="211"/>
      <c r="AA760" s="84"/>
      <c r="AB760" s="146"/>
      <c r="AC760" s="211"/>
      <c r="AD760" s="211"/>
      <c r="AE760" s="211"/>
      <c r="AF760" s="84"/>
      <c r="AG760" s="146"/>
      <c r="AH760" s="211"/>
      <c r="AI760" s="211"/>
      <c r="AJ760" s="211"/>
      <c r="AK760" s="84"/>
      <c r="AL760" s="146"/>
      <c r="AM760" s="211"/>
      <c r="AN760" s="211"/>
      <c r="AO760" s="211"/>
      <c r="AP760" s="436"/>
      <c r="AQ760" s="146"/>
      <c r="AR760" s="211"/>
      <c r="AS760" s="211"/>
      <c r="AT760" s="211"/>
      <c r="AU760" s="84"/>
      <c r="AV760" s="211"/>
      <c r="AW760" s="211"/>
      <c r="AX760" s="211"/>
      <c r="AY760" s="211"/>
      <c r="AZ760" s="84"/>
      <c r="BA760" s="211"/>
      <c r="BB760" s="211"/>
      <c r="BC760" s="211"/>
      <c r="BD760" s="211"/>
      <c r="BE760" s="84"/>
      <c r="BF760" s="211"/>
      <c r="BG760" s="451"/>
    </row>
    <row r="761" spans="1:59" ht="12.75">
      <c r="A761" s="211"/>
      <c r="B761" s="449"/>
      <c r="C761" s="450"/>
      <c r="D761" s="211"/>
      <c r="E761" s="211"/>
      <c r="F761" s="211"/>
      <c r="G761" s="84"/>
      <c r="H761" s="211"/>
      <c r="I761" s="211"/>
      <c r="J761" s="211"/>
      <c r="K761" s="211"/>
      <c r="L761" s="84"/>
      <c r="M761" s="211"/>
      <c r="N761" s="211"/>
      <c r="O761" s="211"/>
      <c r="P761" s="211"/>
      <c r="Q761" s="84"/>
      <c r="R761" s="211"/>
      <c r="S761" s="211"/>
      <c r="T761" s="211"/>
      <c r="U761" s="211"/>
      <c r="V761" s="84"/>
      <c r="W761" s="211"/>
      <c r="X761" s="211"/>
      <c r="Y761" s="211"/>
      <c r="Z761" s="211"/>
      <c r="AA761" s="84"/>
      <c r="AB761" s="146"/>
      <c r="AC761" s="211"/>
      <c r="AD761" s="211"/>
      <c r="AE761" s="211"/>
      <c r="AF761" s="84"/>
      <c r="AG761" s="146"/>
      <c r="AH761" s="211"/>
      <c r="AI761" s="211"/>
      <c r="AJ761" s="211"/>
      <c r="AK761" s="84"/>
      <c r="AL761" s="146"/>
      <c r="AM761" s="211"/>
      <c r="AN761" s="211"/>
      <c r="AO761" s="211"/>
      <c r="AP761" s="436"/>
      <c r="AQ761" s="146"/>
      <c r="AR761" s="211"/>
      <c r="AS761" s="211"/>
      <c r="AT761" s="211"/>
      <c r="AU761" s="84"/>
      <c r="AV761" s="211"/>
      <c r="AW761" s="211"/>
      <c r="AX761" s="211"/>
      <c r="AY761" s="211"/>
      <c r="AZ761" s="84"/>
      <c r="BA761" s="211"/>
      <c r="BB761" s="211"/>
      <c r="BC761" s="211"/>
      <c r="BD761" s="211"/>
      <c r="BE761" s="84"/>
      <c r="BF761" s="211"/>
      <c r="BG761" s="451"/>
    </row>
    <row r="762" spans="1:59" ht="12.75">
      <c r="A762" s="211"/>
      <c r="B762" s="449"/>
      <c r="C762" s="450"/>
      <c r="D762" s="211"/>
      <c r="E762" s="211"/>
      <c r="F762" s="211"/>
      <c r="G762" s="84"/>
      <c r="H762" s="211"/>
      <c r="I762" s="211"/>
      <c r="J762" s="211"/>
      <c r="K762" s="211"/>
      <c r="L762" s="84"/>
      <c r="M762" s="211"/>
      <c r="N762" s="211"/>
      <c r="O762" s="211"/>
      <c r="P762" s="211"/>
      <c r="Q762" s="84"/>
      <c r="R762" s="211"/>
      <c r="S762" s="211"/>
      <c r="T762" s="211"/>
      <c r="U762" s="211"/>
      <c r="V762" s="84"/>
      <c r="W762" s="211"/>
      <c r="X762" s="211"/>
      <c r="Y762" s="211"/>
      <c r="Z762" s="211"/>
      <c r="AA762" s="84"/>
      <c r="AB762" s="146"/>
      <c r="AC762" s="211"/>
      <c r="AD762" s="211"/>
      <c r="AE762" s="211"/>
      <c r="AF762" s="84"/>
      <c r="AG762" s="146"/>
      <c r="AH762" s="211"/>
      <c r="AI762" s="211"/>
      <c r="AJ762" s="211"/>
      <c r="AK762" s="84"/>
      <c r="AL762" s="146"/>
      <c r="AM762" s="211"/>
      <c r="AN762" s="211"/>
      <c r="AO762" s="211"/>
      <c r="AP762" s="436"/>
      <c r="AQ762" s="146"/>
      <c r="AR762" s="211"/>
      <c r="AS762" s="211"/>
      <c r="AT762" s="211"/>
      <c r="AU762" s="84"/>
      <c r="AV762" s="211"/>
      <c r="AW762" s="211"/>
      <c r="AX762" s="211"/>
      <c r="AY762" s="211"/>
      <c r="AZ762" s="84"/>
      <c r="BA762" s="211"/>
      <c r="BB762" s="211"/>
      <c r="BC762" s="211"/>
      <c r="BD762" s="211"/>
      <c r="BE762" s="84"/>
      <c r="BF762" s="211"/>
      <c r="BG762" s="451"/>
    </row>
    <row r="763" spans="1:59" ht="12.75">
      <c r="A763" s="211"/>
      <c r="B763" s="449"/>
      <c r="C763" s="450"/>
      <c r="D763" s="211"/>
      <c r="E763" s="211"/>
      <c r="F763" s="211"/>
      <c r="G763" s="84"/>
      <c r="H763" s="211"/>
      <c r="I763" s="211"/>
      <c r="J763" s="211"/>
      <c r="K763" s="211"/>
      <c r="L763" s="84"/>
      <c r="M763" s="211"/>
      <c r="N763" s="211"/>
      <c r="O763" s="211"/>
      <c r="P763" s="211"/>
      <c r="Q763" s="84"/>
      <c r="R763" s="211"/>
      <c r="S763" s="211"/>
      <c r="T763" s="211"/>
      <c r="U763" s="211"/>
      <c r="V763" s="84"/>
      <c r="W763" s="211"/>
      <c r="X763" s="211"/>
      <c r="Y763" s="211"/>
      <c r="Z763" s="211"/>
      <c r="AA763" s="84"/>
      <c r="AB763" s="146"/>
      <c r="AC763" s="211"/>
      <c r="AD763" s="211"/>
      <c r="AE763" s="211"/>
      <c r="AF763" s="84"/>
      <c r="AG763" s="146"/>
      <c r="AH763" s="211"/>
      <c r="AI763" s="211"/>
      <c r="AJ763" s="211"/>
      <c r="AK763" s="84"/>
      <c r="AL763" s="146"/>
      <c r="AM763" s="211"/>
      <c r="AN763" s="211"/>
      <c r="AO763" s="211"/>
      <c r="AP763" s="436"/>
      <c r="AQ763" s="146"/>
      <c r="AR763" s="211"/>
      <c r="AS763" s="211"/>
      <c r="AT763" s="211"/>
      <c r="AU763" s="84"/>
      <c r="AV763" s="211"/>
      <c r="AW763" s="211"/>
      <c r="AX763" s="211"/>
      <c r="AY763" s="211"/>
      <c r="AZ763" s="84"/>
      <c r="BA763" s="211"/>
      <c r="BB763" s="211"/>
      <c r="BC763" s="211"/>
      <c r="BD763" s="211"/>
      <c r="BE763" s="84"/>
      <c r="BF763" s="211"/>
      <c r="BG763" s="451"/>
    </row>
    <row r="764" spans="1:59" ht="12.75">
      <c r="A764" s="211"/>
      <c r="B764" s="449"/>
      <c r="C764" s="450"/>
      <c r="D764" s="211"/>
      <c r="E764" s="211"/>
      <c r="F764" s="211"/>
      <c r="G764" s="84"/>
      <c r="H764" s="211"/>
      <c r="I764" s="211"/>
      <c r="J764" s="211"/>
      <c r="K764" s="211"/>
      <c r="L764" s="84"/>
      <c r="M764" s="211"/>
      <c r="N764" s="211"/>
      <c r="O764" s="211"/>
      <c r="P764" s="211"/>
      <c r="Q764" s="84"/>
      <c r="R764" s="211"/>
      <c r="S764" s="211"/>
      <c r="T764" s="211"/>
      <c r="U764" s="211"/>
      <c r="V764" s="84"/>
      <c r="W764" s="211"/>
      <c r="X764" s="211"/>
      <c r="Y764" s="211"/>
      <c r="Z764" s="211"/>
      <c r="AA764" s="84"/>
      <c r="AB764" s="146"/>
      <c r="AC764" s="211"/>
      <c r="AD764" s="211"/>
      <c r="AE764" s="211"/>
      <c r="AF764" s="84"/>
      <c r="AG764" s="146"/>
      <c r="AH764" s="211"/>
      <c r="AI764" s="211"/>
      <c r="AJ764" s="211"/>
      <c r="AK764" s="84"/>
      <c r="AL764" s="146"/>
      <c r="AM764" s="211"/>
      <c r="AN764" s="211"/>
      <c r="AO764" s="211"/>
      <c r="AP764" s="436"/>
      <c r="AQ764" s="146"/>
      <c r="AR764" s="211"/>
      <c r="AS764" s="211"/>
      <c r="AT764" s="211"/>
      <c r="AU764" s="84"/>
      <c r="AV764" s="211"/>
      <c r="AW764" s="211"/>
      <c r="AX764" s="211"/>
      <c r="AY764" s="211"/>
      <c r="AZ764" s="84"/>
      <c r="BA764" s="211"/>
      <c r="BB764" s="211"/>
      <c r="BC764" s="211"/>
      <c r="BD764" s="211"/>
      <c r="BE764" s="84"/>
      <c r="BF764" s="211"/>
      <c r="BG764" s="451"/>
    </row>
    <row r="765" spans="1:59" ht="12.75">
      <c r="A765" s="211"/>
      <c r="B765" s="449"/>
      <c r="C765" s="450"/>
      <c r="D765" s="211"/>
      <c r="E765" s="211"/>
      <c r="F765" s="211"/>
      <c r="G765" s="84"/>
      <c r="H765" s="211"/>
      <c r="I765" s="211"/>
      <c r="J765" s="211"/>
      <c r="K765" s="211"/>
      <c r="L765" s="84"/>
      <c r="M765" s="211"/>
      <c r="N765" s="211"/>
      <c r="O765" s="211"/>
      <c r="P765" s="211"/>
      <c r="Q765" s="84"/>
      <c r="R765" s="211"/>
      <c r="S765" s="211"/>
      <c r="T765" s="211"/>
      <c r="U765" s="211"/>
      <c r="V765" s="84"/>
      <c r="W765" s="211"/>
      <c r="X765" s="211"/>
      <c r="Y765" s="211"/>
      <c r="Z765" s="211"/>
      <c r="AA765" s="84"/>
      <c r="AB765" s="146"/>
      <c r="AC765" s="211"/>
      <c r="AD765" s="211"/>
      <c r="AE765" s="211"/>
      <c r="AF765" s="84"/>
      <c r="AG765" s="146"/>
      <c r="AH765" s="211"/>
      <c r="AI765" s="211"/>
      <c r="AJ765" s="211"/>
      <c r="AK765" s="84"/>
      <c r="AL765" s="146"/>
      <c r="AM765" s="211"/>
      <c r="AN765" s="211"/>
      <c r="AO765" s="211"/>
      <c r="AP765" s="436"/>
      <c r="AQ765" s="146"/>
      <c r="AR765" s="211"/>
      <c r="AS765" s="211"/>
      <c r="AT765" s="211"/>
      <c r="AU765" s="84"/>
      <c r="AV765" s="211"/>
      <c r="AW765" s="211"/>
      <c r="AX765" s="211"/>
      <c r="AY765" s="211"/>
      <c r="AZ765" s="84"/>
      <c r="BA765" s="211"/>
      <c r="BB765" s="211"/>
      <c r="BC765" s="211"/>
      <c r="BD765" s="211"/>
      <c r="BE765" s="84"/>
      <c r="BF765" s="211"/>
      <c r="BG765" s="451"/>
    </row>
    <row r="766" spans="1:59" ht="12.75">
      <c r="A766" s="211"/>
      <c r="B766" s="449"/>
      <c r="C766" s="450"/>
      <c r="D766" s="211"/>
      <c r="E766" s="211"/>
      <c r="F766" s="211"/>
      <c r="G766" s="84"/>
      <c r="H766" s="211"/>
      <c r="I766" s="211"/>
      <c r="J766" s="211"/>
      <c r="K766" s="211"/>
      <c r="L766" s="84"/>
      <c r="M766" s="211"/>
      <c r="N766" s="211"/>
      <c r="O766" s="211"/>
      <c r="P766" s="211"/>
      <c r="Q766" s="84"/>
      <c r="R766" s="211"/>
      <c r="S766" s="211"/>
      <c r="T766" s="211"/>
      <c r="U766" s="211"/>
      <c r="V766" s="84"/>
      <c r="W766" s="211"/>
      <c r="X766" s="211"/>
      <c r="Y766" s="211"/>
      <c r="Z766" s="211"/>
      <c r="AA766" s="84"/>
      <c r="AB766" s="146"/>
      <c r="AC766" s="211"/>
      <c r="AD766" s="211"/>
      <c r="AE766" s="211"/>
      <c r="AF766" s="84"/>
      <c r="AG766" s="146"/>
      <c r="AH766" s="211"/>
      <c r="AI766" s="211"/>
      <c r="AJ766" s="211"/>
      <c r="AK766" s="84"/>
      <c r="AL766" s="146"/>
      <c r="AM766" s="211"/>
      <c r="AN766" s="211"/>
      <c r="AO766" s="211"/>
      <c r="AP766" s="436"/>
      <c r="AQ766" s="146"/>
      <c r="AR766" s="211"/>
      <c r="AS766" s="211"/>
      <c r="AT766" s="211"/>
      <c r="AU766" s="84"/>
      <c r="AV766" s="211"/>
      <c r="AW766" s="211"/>
      <c r="AX766" s="211"/>
      <c r="AY766" s="211"/>
      <c r="AZ766" s="84"/>
      <c r="BA766" s="211"/>
      <c r="BB766" s="211"/>
      <c r="BC766" s="211"/>
      <c r="BD766" s="211"/>
      <c r="BE766" s="84"/>
      <c r="BF766" s="211"/>
      <c r="BG766" s="451"/>
    </row>
    <row r="767" spans="1:59" ht="12.75">
      <c r="A767" s="211"/>
      <c r="B767" s="449"/>
      <c r="C767" s="450"/>
      <c r="D767" s="211"/>
      <c r="E767" s="211"/>
      <c r="F767" s="211"/>
      <c r="G767" s="84"/>
      <c r="H767" s="211"/>
      <c r="I767" s="211"/>
      <c r="J767" s="211"/>
      <c r="K767" s="211"/>
      <c r="L767" s="84"/>
      <c r="M767" s="211"/>
      <c r="N767" s="211"/>
      <c r="O767" s="211"/>
      <c r="P767" s="211"/>
      <c r="Q767" s="84"/>
      <c r="R767" s="211"/>
      <c r="S767" s="211"/>
      <c r="T767" s="211"/>
      <c r="U767" s="211"/>
      <c r="V767" s="84"/>
      <c r="W767" s="211"/>
      <c r="X767" s="211"/>
      <c r="Y767" s="211"/>
      <c r="Z767" s="211"/>
      <c r="AA767" s="84"/>
      <c r="AB767" s="146"/>
      <c r="AC767" s="211"/>
      <c r="AD767" s="211"/>
      <c r="AE767" s="211"/>
      <c r="AF767" s="84"/>
      <c r="AG767" s="146"/>
      <c r="AH767" s="211"/>
      <c r="AI767" s="211"/>
      <c r="AJ767" s="211"/>
      <c r="AK767" s="84"/>
      <c r="AL767" s="146"/>
      <c r="AM767" s="211"/>
      <c r="AN767" s="211"/>
      <c r="AO767" s="211"/>
      <c r="AP767" s="436"/>
      <c r="AQ767" s="146"/>
      <c r="AR767" s="211"/>
      <c r="AS767" s="211"/>
      <c r="AT767" s="211"/>
      <c r="AU767" s="84"/>
      <c r="AV767" s="211"/>
      <c r="AW767" s="211"/>
      <c r="AX767" s="211"/>
      <c r="AY767" s="211"/>
      <c r="AZ767" s="84"/>
      <c r="BA767" s="211"/>
      <c r="BB767" s="211"/>
      <c r="BC767" s="211"/>
      <c r="BD767" s="211"/>
      <c r="BE767" s="84"/>
      <c r="BF767" s="211"/>
      <c r="BG767" s="451"/>
    </row>
    <row r="768" spans="1:59" ht="12.75">
      <c r="A768" s="211"/>
      <c r="B768" s="449"/>
      <c r="C768" s="450"/>
      <c r="D768" s="211"/>
      <c r="E768" s="211"/>
      <c r="F768" s="211"/>
      <c r="G768" s="84"/>
      <c r="H768" s="211"/>
      <c r="I768" s="211"/>
      <c r="J768" s="211"/>
      <c r="K768" s="211"/>
      <c r="L768" s="84"/>
      <c r="M768" s="211"/>
      <c r="N768" s="211"/>
      <c r="O768" s="211"/>
      <c r="P768" s="211"/>
      <c r="Q768" s="84"/>
      <c r="R768" s="211"/>
      <c r="S768" s="211"/>
      <c r="T768" s="211"/>
      <c r="U768" s="211"/>
      <c r="V768" s="84"/>
      <c r="W768" s="211"/>
      <c r="X768" s="211"/>
      <c r="Y768" s="211"/>
      <c r="Z768" s="211"/>
      <c r="AA768" s="84"/>
      <c r="AB768" s="146"/>
      <c r="AC768" s="211"/>
      <c r="AD768" s="211"/>
      <c r="AE768" s="211"/>
      <c r="AF768" s="84"/>
      <c r="AG768" s="146"/>
      <c r="AH768" s="211"/>
      <c r="AI768" s="211"/>
      <c r="AJ768" s="211"/>
      <c r="AK768" s="84"/>
      <c r="AL768" s="146"/>
      <c r="AM768" s="211"/>
      <c r="AN768" s="211"/>
      <c r="AO768" s="211"/>
      <c r="AP768" s="436"/>
      <c r="AQ768" s="146"/>
      <c r="AR768" s="211"/>
      <c r="AS768" s="211"/>
      <c r="AT768" s="211"/>
      <c r="AU768" s="84"/>
      <c r="AV768" s="211"/>
      <c r="AW768" s="211"/>
      <c r="AX768" s="211"/>
      <c r="AY768" s="211"/>
      <c r="AZ768" s="84"/>
      <c r="BA768" s="211"/>
      <c r="BB768" s="211"/>
      <c r="BC768" s="211"/>
      <c r="BD768" s="211"/>
      <c r="BE768" s="84"/>
      <c r="BF768" s="211"/>
      <c r="BG768" s="451"/>
    </row>
    <row r="769" spans="1:59" ht="12.75">
      <c r="A769" s="211"/>
      <c r="B769" s="449"/>
      <c r="C769" s="450"/>
      <c r="D769" s="211"/>
      <c r="E769" s="211"/>
      <c r="F769" s="211"/>
      <c r="G769" s="84"/>
      <c r="H769" s="211"/>
      <c r="I769" s="211"/>
      <c r="J769" s="211"/>
      <c r="K769" s="211"/>
      <c r="L769" s="84"/>
      <c r="M769" s="211"/>
      <c r="N769" s="211"/>
      <c r="O769" s="211"/>
      <c r="P769" s="211"/>
      <c r="Q769" s="84"/>
      <c r="R769" s="211"/>
      <c r="S769" s="211"/>
      <c r="T769" s="211"/>
      <c r="U769" s="211"/>
      <c r="V769" s="84"/>
      <c r="W769" s="211"/>
      <c r="X769" s="211"/>
      <c r="Y769" s="211"/>
      <c r="Z769" s="211"/>
      <c r="AA769" s="84"/>
      <c r="AB769" s="146"/>
      <c r="AC769" s="211"/>
      <c r="AD769" s="211"/>
      <c r="AE769" s="211"/>
      <c r="AF769" s="84"/>
      <c r="AG769" s="146"/>
      <c r="AH769" s="211"/>
      <c r="AI769" s="211"/>
      <c r="AJ769" s="211"/>
      <c r="AK769" s="84"/>
      <c r="AL769" s="146"/>
      <c r="AM769" s="211"/>
      <c r="AN769" s="211"/>
      <c r="AO769" s="211"/>
      <c r="AP769" s="436"/>
      <c r="AQ769" s="146"/>
      <c r="AR769" s="211"/>
      <c r="AS769" s="211"/>
      <c r="AT769" s="211"/>
      <c r="AU769" s="84"/>
      <c r="AV769" s="211"/>
      <c r="AW769" s="211"/>
      <c r="AX769" s="211"/>
      <c r="AY769" s="211"/>
      <c r="AZ769" s="84"/>
      <c r="BA769" s="211"/>
      <c r="BB769" s="211"/>
      <c r="BC769" s="211"/>
      <c r="BD769" s="211"/>
      <c r="BE769" s="84"/>
      <c r="BF769" s="211"/>
      <c r="BG769" s="451"/>
    </row>
    <row r="770" spans="1:59" ht="12.75">
      <c r="A770" s="211"/>
      <c r="B770" s="449"/>
      <c r="C770" s="450"/>
      <c r="D770" s="211"/>
      <c r="E770" s="211"/>
      <c r="F770" s="211"/>
      <c r="G770" s="84"/>
      <c r="H770" s="211"/>
      <c r="I770" s="211"/>
      <c r="J770" s="211"/>
      <c r="K770" s="211"/>
      <c r="L770" s="84"/>
      <c r="M770" s="211"/>
      <c r="N770" s="211"/>
      <c r="O770" s="211"/>
      <c r="P770" s="211"/>
      <c r="Q770" s="84"/>
      <c r="R770" s="211"/>
      <c r="S770" s="211"/>
      <c r="T770" s="211"/>
      <c r="U770" s="211"/>
      <c r="V770" s="84"/>
      <c r="W770" s="211"/>
      <c r="X770" s="211"/>
      <c r="Y770" s="211"/>
      <c r="Z770" s="211"/>
      <c r="AA770" s="84"/>
      <c r="AB770" s="146"/>
      <c r="AC770" s="211"/>
      <c r="AD770" s="211"/>
      <c r="AE770" s="211"/>
      <c r="AF770" s="84"/>
      <c r="AG770" s="146"/>
      <c r="AH770" s="211"/>
      <c r="AI770" s="211"/>
      <c r="AJ770" s="211"/>
      <c r="AK770" s="84"/>
      <c r="AL770" s="146"/>
      <c r="AM770" s="211"/>
      <c r="AN770" s="211"/>
      <c r="AO770" s="211"/>
      <c r="AP770" s="436"/>
      <c r="AQ770" s="146"/>
      <c r="AR770" s="211"/>
      <c r="AS770" s="211"/>
      <c r="AT770" s="211"/>
      <c r="AU770" s="84"/>
      <c r="AV770" s="211"/>
      <c r="AW770" s="211"/>
      <c r="AX770" s="211"/>
      <c r="AY770" s="211"/>
      <c r="AZ770" s="84"/>
      <c r="BA770" s="211"/>
      <c r="BB770" s="211"/>
      <c r="BC770" s="211"/>
      <c r="BD770" s="211"/>
      <c r="BE770" s="84"/>
      <c r="BF770" s="211"/>
      <c r="BG770" s="451"/>
    </row>
    <row r="771" spans="1:59" ht="12.75">
      <c r="A771" s="211"/>
      <c r="B771" s="449"/>
      <c r="C771" s="450"/>
      <c r="D771" s="211"/>
      <c r="E771" s="211"/>
      <c r="F771" s="211"/>
      <c r="G771" s="84"/>
      <c r="H771" s="211"/>
      <c r="I771" s="211"/>
      <c r="J771" s="211"/>
      <c r="K771" s="211"/>
      <c r="L771" s="84"/>
      <c r="M771" s="211"/>
      <c r="N771" s="211"/>
      <c r="O771" s="211"/>
      <c r="P771" s="211"/>
      <c r="Q771" s="84"/>
      <c r="R771" s="211"/>
      <c r="S771" s="211"/>
      <c r="T771" s="211"/>
      <c r="U771" s="211"/>
      <c r="V771" s="84"/>
      <c r="W771" s="211"/>
      <c r="X771" s="211"/>
      <c r="Y771" s="211"/>
      <c r="Z771" s="211"/>
      <c r="AA771" s="84"/>
      <c r="AB771" s="146"/>
      <c r="AC771" s="211"/>
      <c r="AD771" s="211"/>
      <c r="AE771" s="211"/>
      <c r="AF771" s="84"/>
      <c r="AG771" s="146"/>
      <c r="AH771" s="211"/>
      <c r="AI771" s="211"/>
      <c r="AJ771" s="211"/>
      <c r="AK771" s="84"/>
      <c r="AL771" s="146"/>
      <c r="AM771" s="211"/>
      <c r="AN771" s="211"/>
      <c r="AO771" s="211"/>
      <c r="AP771" s="436"/>
      <c r="AQ771" s="146"/>
      <c r="AR771" s="211"/>
      <c r="AS771" s="211"/>
      <c r="AT771" s="211"/>
      <c r="AU771" s="84"/>
      <c r="AV771" s="211"/>
      <c r="AW771" s="211"/>
      <c r="AX771" s="211"/>
      <c r="AY771" s="211"/>
      <c r="AZ771" s="84"/>
      <c r="BA771" s="211"/>
      <c r="BB771" s="211"/>
      <c r="BC771" s="211"/>
      <c r="BD771" s="211"/>
      <c r="BE771" s="84"/>
      <c r="BF771" s="211"/>
      <c r="BG771" s="451"/>
    </row>
    <row r="772" spans="1:59" ht="12.75">
      <c r="A772" s="211"/>
      <c r="B772" s="449"/>
      <c r="C772" s="450"/>
      <c r="D772" s="211"/>
      <c r="E772" s="211"/>
      <c r="F772" s="211"/>
      <c r="G772" s="84"/>
      <c r="H772" s="211"/>
      <c r="I772" s="211"/>
      <c r="J772" s="211"/>
      <c r="K772" s="211"/>
      <c r="L772" s="84"/>
      <c r="M772" s="211"/>
      <c r="N772" s="211"/>
      <c r="O772" s="211"/>
      <c r="P772" s="211"/>
      <c r="Q772" s="84"/>
      <c r="R772" s="211"/>
      <c r="S772" s="211"/>
      <c r="T772" s="211"/>
      <c r="U772" s="211"/>
      <c r="V772" s="84"/>
      <c r="W772" s="211"/>
      <c r="X772" s="211"/>
      <c r="Y772" s="211"/>
      <c r="Z772" s="211"/>
      <c r="AA772" s="84"/>
      <c r="AB772" s="146"/>
      <c r="AC772" s="211"/>
      <c r="AD772" s="211"/>
      <c r="AE772" s="211"/>
      <c r="AF772" s="84"/>
      <c r="AG772" s="146"/>
      <c r="AH772" s="211"/>
      <c r="AI772" s="211"/>
      <c r="AJ772" s="211"/>
      <c r="AK772" s="84"/>
      <c r="AL772" s="146"/>
      <c r="AM772" s="211"/>
      <c r="AN772" s="211"/>
      <c r="AO772" s="211"/>
      <c r="AP772" s="436"/>
      <c r="AQ772" s="146"/>
      <c r="AR772" s="211"/>
      <c r="AS772" s="211"/>
      <c r="AT772" s="211"/>
      <c r="AU772" s="84"/>
      <c r="AV772" s="211"/>
      <c r="AW772" s="211"/>
      <c r="AX772" s="211"/>
      <c r="AY772" s="211"/>
      <c r="AZ772" s="84"/>
      <c r="BA772" s="211"/>
      <c r="BB772" s="211"/>
      <c r="BC772" s="211"/>
      <c r="BD772" s="211"/>
      <c r="BE772" s="84"/>
      <c r="BF772" s="211"/>
      <c r="BG772" s="451"/>
    </row>
    <row r="773" spans="1:59" ht="12.75">
      <c r="A773" s="211"/>
      <c r="B773" s="449"/>
      <c r="C773" s="450"/>
      <c r="D773" s="211"/>
      <c r="E773" s="211"/>
      <c r="F773" s="211"/>
      <c r="G773" s="84"/>
      <c r="H773" s="211"/>
      <c r="I773" s="211"/>
      <c r="J773" s="211"/>
      <c r="K773" s="211"/>
      <c r="L773" s="84"/>
      <c r="M773" s="211"/>
      <c r="N773" s="211"/>
      <c r="O773" s="211"/>
      <c r="P773" s="211"/>
      <c r="Q773" s="84"/>
      <c r="R773" s="211"/>
      <c r="S773" s="211"/>
      <c r="T773" s="211"/>
      <c r="U773" s="211"/>
      <c r="V773" s="84"/>
      <c r="W773" s="211"/>
      <c r="X773" s="211"/>
      <c r="Y773" s="211"/>
      <c r="Z773" s="211"/>
      <c r="AA773" s="84"/>
      <c r="AB773" s="146"/>
      <c r="AC773" s="211"/>
      <c r="AD773" s="211"/>
      <c r="AE773" s="211"/>
      <c r="AF773" s="84"/>
      <c r="AG773" s="146"/>
      <c r="AH773" s="211"/>
      <c r="AI773" s="211"/>
      <c r="AJ773" s="211"/>
      <c r="AK773" s="84"/>
      <c r="AL773" s="146"/>
      <c r="AM773" s="211"/>
      <c r="AN773" s="211"/>
      <c r="AO773" s="211"/>
      <c r="AP773" s="436"/>
      <c r="AQ773" s="146"/>
      <c r="AR773" s="211"/>
      <c r="AS773" s="211"/>
      <c r="AT773" s="211"/>
      <c r="AU773" s="84"/>
      <c r="AV773" s="211"/>
      <c r="AW773" s="211"/>
      <c r="AX773" s="211"/>
      <c r="AY773" s="211"/>
      <c r="AZ773" s="84"/>
      <c r="BA773" s="211"/>
      <c r="BB773" s="211"/>
      <c r="BC773" s="211"/>
      <c r="BD773" s="211"/>
      <c r="BE773" s="84"/>
      <c r="BF773" s="211"/>
      <c r="BG773" s="451"/>
    </row>
    <row r="774" spans="1:59" ht="12.75">
      <c r="A774" s="211"/>
      <c r="B774" s="449"/>
      <c r="C774" s="450"/>
      <c r="D774" s="211"/>
      <c r="E774" s="211"/>
      <c r="F774" s="211"/>
      <c r="G774" s="84"/>
      <c r="H774" s="211"/>
      <c r="I774" s="211"/>
      <c r="J774" s="211"/>
      <c r="K774" s="211"/>
      <c r="L774" s="84"/>
      <c r="M774" s="211"/>
      <c r="N774" s="211"/>
      <c r="O774" s="211"/>
      <c r="P774" s="211"/>
      <c r="Q774" s="84"/>
      <c r="R774" s="211"/>
      <c r="S774" s="211"/>
      <c r="T774" s="211"/>
      <c r="U774" s="211"/>
      <c r="V774" s="84"/>
      <c r="W774" s="211"/>
      <c r="X774" s="211"/>
      <c r="Y774" s="211"/>
      <c r="Z774" s="211"/>
      <c r="AA774" s="84"/>
      <c r="AB774" s="146"/>
      <c r="AC774" s="211"/>
      <c r="AD774" s="211"/>
      <c r="AE774" s="211"/>
      <c r="AF774" s="84"/>
      <c r="AG774" s="146"/>
      <c r="AH774" s="211"/>
      <c r="AI774" s="211"/>
      <c r="AJ774" s="211"/>
      <c r="AK774" s="84"/>
      <c r="AL774" s="146"/>
      <c r="AM774" s="211"/>
      <c r="AN774" s="211"/>
      <c r="AO774" s="211"/>
      <c r="AP774" s="436"/>
      <c r="AQ774" s="146"/>
      <c r="AR774" s="211"/>
      <c r="AS774" s="211"/>
      <c r="AT774" s="211"/>
      <c r="AU774" s="84"/>
      <c r="AV774" s="211"/>
      <c r="AW774" s="211"/>
      <c r="AX774" s="211"/>
      <c r="AY774" s="211"/>
      <c r="AZ774" s="84"/>
      <c r="BA774" s="211"/>
      <c r="BB774" s="211"/>
      <c r="BC774" s="211"/>
      <c r="BD774" s="211"/>
      <c r="BE774" s="84"/>
      <c r="BF774" s="211"/>
      <c r="BG774" s="451"/>
    </row>
    <row r="775" spans="1:59" ht="12.75">
      <c r="A775" s="211"/>
      <c r="B775" s="449"/>
      <c r="C775" s="450"/>
      <c r="D775" s="211"/>
      <c r="E775" s="211"/>
      <c r="F775" s="211"/>
      <c r="G775" s="84"/>
      <c r="H775" s="211"/>
      <c r="I775" s="211"/>
      <c r="J775" s="211"/>
      <c r="K775" s="211"/>
      <c r="L775" s="84"/>
      <c r="M775" s="211"/>
      <c r="N775" s="211"/>
      <c r="O775" s="211"/>
      <c r="P775" s="211"/>
      <c r="Q775" s="84"/>
      <c r="R775" s="211"/>
      <c r="S775" s="211"/>
      <c r="T775" s="211"/>
      <c r="U775" s="211"/>
      <c r="V775" s="84"/>
      <c r="W775" s="211"/>
      <c r="X775" s="211"/>
      <c r="Y775" s="211"/>
      <c r="Z775" s="211"/>
      <c r="AA775" s="84"/>
      <c r="AB775" s="146"/>
      <c r="AC775" s="211"/>
      <c r="AD775" s="211"/>
      <c r="AE775" s="211"/>
      <c r="AF775" s="84"/>
      <c r="AG775" s="146"/>
      <c r="AH775" s="211"/>
      <c r="AI775" s="211"/>
      <c r="AJ775" s="211"/>
      <c r="AK775" s="84"/>
      <c r="AL775" s="146"/>
      <c r="AM775" s="211"/>
      <c r="AN775" s="211"/>
      <c r="AO775" s="211"/>
      <c r="AP775" s="436"/>
      <c r="AQ775" s="146"/>
      <c r="AR775" s="211"/>
      <c r="AS775" s="211"/>
      <c r="AT775" s="211"/>
      <c r="AU775" s="84"/>
      <c r="AV775" s="211"/>
      <c r="AW775" s="211"/>
      <c r="AX775" s="211"/>
      <c r="AY775" s="211"/>
      <c r="AZ775" s="84"/>
      <c r="BA775" s="211"/>
      <c r="BB775" s="211"/>
      <c r="BC775" s="211"/>
      <c r="BD775" s="211"/>
      <c r="BE775" s="84"/>
      <c r="BF775" s="211"/>
      <c r="BG775" s="451"/>
    </row>
    <row r="776" spans="1:59" ht="12.75">
      <c r="A776" s="211"/>
      <c r="B776" s="449"/>
      <c r="C776" s="450"/>
      <c r="D776" s="211"/>
      <c r="E776" s="211"/>
      <c r="F776" s="211"/>
      <c r="G776" s="84"/>
      <c r="H776" s="211"/>
      <c r="I776" s="211"/>
      <c r="J776" s="211"/>
      <c r="K776" s="211"/>
      <c r="L776" s="84"/>
      <c r="M776" s="211"/>
      <c r="N776" s="211"/>
      <c r="O776" s="211"/>
      <c r="P776" s="211"/>
      <c r="Q776" s="84"/>
      <c r="R776" s="211"/>
      <c r="S776" s="211"/>
      <c r="T776" s="211"/>
      <c r="U776" s="211"/>
      <c r="V776" s="84"/>
      <c r="W776" s="211"/>
      <c r="X776" s="211"/>
      <c r="Y776" s="211"/>
      <c r="Z776" s="211"/>
      <c r="AA776" s="84"/>
      <c r="AB776" s="146"/>
      <c r="AC776" s="211"/>
      <c r="AD776" s="211"/>
      <c r="AE776" s="211"/>
      <c r="AF776" s="84"/>
      <c r="AG776" s="146"/>
      <c r="AH776" s="211"/>
      <c r="AI776" s="211"/>
      <c r="AJ776" s="211"/>
      <c r="AK776" s="84"/>
      <c r="AL776" s="146"/>
      <c r="AM776" s="211"/>
      <c r="AN776" s="211"/>
      <c r="AO776" s="211"/>
      <c r="AP776" s="436"/>
      <c r="AQ776" s="146"/>
      <c r="AR776" s="211"/>
      <c r="AS776" s="211"/>
      <c r="AT776" s="211"/>
      <c r="AU776" s="84"/>
      <c r="AV776" s="211"/>
      <c r="AW776" s="211"/>
      <c r="AX776" s="211"/>
      <c r="AY776" s="211"/>
      <c r="AZ776" s="84"/>
      <c r="BA776" s="211"/>
      <c r="BB776" s="211"/>
      <c r="BC776" s="211"/>
      <c r="BD776" s="211"/>
      <c r="BE776" s="84"/>
      <c r="BF776" s="211"/>
      <c r="BG776" s="451"/>
    </row>
    <row r="777" spans="1:59" ht="12.75">
      <c r="A777" s="211"/>
      <c r="B777" s="449"/>
      <c r="C777" s="450"/>
      <c r="D777" s="211"/>
      <c r="E777" s="211"/>
      <c r="F777" s="211"/>
      <c r="G777" s="84"/>
      <c r="H777" s="211"/>
      <c r="I777" s="211"/>
      <c r="J777" s="211"/>
      <c r="K777" s="211"/>
      <c r="L777" s="84"/>
      <c r="M777" s="211"/>
      <c r="N777" s="211"/>
      <c r="O777" s="211"/>
      <c r="P777" s="211"/>
      <c r="Q777" s="84"/>
      <c r="R777" s="211"/>
      <c r="S777" s="211"/>
      <c r="T777" s="211"/>
      <c r="U777" s="211"/>
      <c r="V777" s="84"/>
      <c r="W777" s="211"/>
      <c r="X777" s="211"/>
      <c r="Y777" s="211"/>
      <c r="Z777" s="211"/>
      <c r="AA777" s="84"/>
      <c r="AB777" s="146"/>
      <c r="AC777" s="211"/>
      <c r="AD777" s="211"/>
      <c r="AE777" s="211"/>
      <c r="AF777" s="84"/>
      <c r="AG777" s="146"/>
      <c r="AH777" s="211"/>
      <c r="AI777" s="211"/>
      <c r="AJ777" s="211"/>
      <c r="AK777" s="84"/>
      <c r="AL777" s="146"/>
      <c r="AM777" s="211"/>
      <c r="AN777" s="211"/>
      <c r="AO777" s="211"/>
      <c r="AP777" s="436"/>
      <c r="AQ777" s="146"/>
      <c r="AR777" s="211"/>
      <c r="AS777" s="211"/>
      <c r="AT777" s="211"/>
      <c r="AU777" s="84"/>
      <c r="AV777" s="211"/>
      <c r="AW777" s="211"/>
      <c r="AX777" s="211"/>
      <c r="AY777" s="211"/>
      <c r="AZ777" s="84"/>
      <c r="BA777" s="211"/>
      <c r="BB777" s="211"/>
      <c r="BC777" s="211"/>
      <c r="BD777" s="211"/>
      <c r="BE777" s="84"/>
      <c r="BF777" s="211"/>
      <c r="BG777" s="451"/>
    </row>
    <row r="778" spans="1:59" ht="12.75">
      <c r="A778" s="211"/>
      <c r="B778" s="449"/>
      <c r="C778" s="450"/>
      <c r="D778" s="211"/>
      <c r="E778" s="211"/>
      <c r="F778" s="211"/>
      <c r="G778" s="84"/>
      <c r="H778" s="211"/>
      <c r="I778" s="211"/>
      <c r="J778" s="211"/>
      <c r="K778" s="211"/>
      <c r="L778" s="84"/>
      <c r="M778" s="211"/>
      <c r="N778" s="211"/>
      <c r="O778" s="211"/>
      <c r="P778" s="211"/>
      <c r="Q778" s="84"/>
      <c r="R778" s="211"/>
      <c r="S778" s="211"/>
      <c r="T778" s="211"/>
      <c r="U778" s="211"/>
      <c r="V778" s="84"/>
      <c r="W778" s="211"/>
      <c r="X778" s="211"/>
      <c r="Y778" s="211"/>
      <c r="Z778" s="211"/>
      <c r="AA778" s="84"/>
      <c r="AB778" s="146"/>
      <c r="AC778" s="211"/>
      <c r="AD778" s="211"/>
      <c r="AE778" s="211"/>
      <c r="AF778" s="84"/>
      <c r="AG778" s="146"/>
      <c r="AH778" s="211"/>
      <c r="AI778" s="211"/>
      <c r="AJ778" s="211"/>
      <c r="AK778" s="84"/>
      <c r="AL778" s="146"/>
      <c r="AM778" s="211"/>
      <c r="AN778" s="211"/>
      <c r="AO778" s="211"/>
      <c r="AP778" s="436"/>
      <c r="AQ778" s="146"/>
      <c r="AR778" s="211"/>
      <c r="AS778" s="211"/>
      <c r="AT778" s="211"/>
      <c r="AU778" s="84"/>
      <c r="AV778" s="211"/>
      <c r="AW778" s="211"/>
      <c r="AX778" s="211"/>
      <c r="AY778" s="211"/>
      <c r="AZ778" s="84"/>
      <c r="BA778" s="211"/>
      <c r="BB778" s="211"/>
      <c r="BC778" s="211"/>
      <c r="BD778" s="211"/>
      <c r="BE778" s="84"/>
      <c r="BF778" s="211"/>
      <c r="BG778" s="451"/>
    </row>
    <row r="779" spans="1:59" ht="12.75">
      <c r="A779" s="211"/>
      <c r="B779" s="449"/>
      <c r="C779" s="450"/>
      <c r="D779" s="211"/>
      <c r="E779" s="211"/>
      <c r="F779" s="211"/>
      <c r="G779" s="84"/>
      <c r="H779" s="211"/>
      <c r="I779" s="211"/>
      <c r="J779" s="211"/>
      <c r="K779" s="211"/>
      <c r="L779" s="84"/>
      <c r="M779" s="211"/>
      <c r="N779" s="211"/>
      <c r="O779" s="211"/>
      <c r="P779" s="211"/>
      <c r="Q779" s="84"/>
      <c r="R779" s="211"/>
      <c r="S779" s="211"/>
      <c r="T779" s="211"/>
      <c r="U779" s="211"/>
      <c r="V779" s="84"/>
      <c r="W779" s="211"/>
      <c r="X779" s="211"/>
      <c r="Y779" s="211"/>
      <c r="Z779" s="211"/>
      <c r="AA779" s="84"/>
      <c r="AB779" s="146"/>
      <c r="AC779" s="211"/>
      <c r="AD779" s="211"/>
      <c r="AE779" s="211"/>
      <c r="AF779" s="84"/>
      <c r="AG779" s="146"/>
      <c r="AH779" s="211"/>
      <c r="AI779" s="211"/>
      <c r="AJ779" s="211"/>
      <c r="AK779" s="84"/>
      <c r="AL779" s="146"/>
      <c r="AM779" s="211"/>
      <c r="AN779" s="211"/>
      <c r="AO779" s="211"/>
      <c r="AP779" s="436"/>
      <c r="AQ779" s="146"/>
      <c r="AR779" s="211"/>
      <c r="AS779" s="211"/>
      <c r="AT779" s="211"/>
      <c r="AU779" s="84"/>
      <c r="AV779" s="211"/>
      <c r="AW779" s="211"/>
      <c r="AX779" s="211"/>
      <c r="AY779" s="211"/>
      <c r="AZ779" s="84"/>
      <c r="BA779" s="211"/>
      <c r="BB779" s="211"/>
      <c r="BC779" s="211"/>
      <c r="BD779" s="211"/>
      <c r="BE779" s="84"/>
      <c r="BF779" s="211"/>
      <c r="BG779" s="451"/>
    </row>
    <row r="780" spans="1:59" ht="12.75">
      <c r="A780" s="211"/>
      <c r="B780" s="449"/>
      <c r="C780" s="450"/>
      <c r="D780" s="211"/>
      <c r="E780" s="211"/>
      <c r="F780" s="211"/>
      <c r="G780" s="84"/>
      <c r="H780" s="211"/>
      <c r="I780" s="211"/>
      <c r="J780" s="211"/>
      <c r="K780" s="211"/>
      <c r="L780" s="84"/>
      <c r="M780" s="211"/>
      <c r="N780" s="211"/>
      <c r="O780" s="211"/>
      <c r="P780" s="211"/>
      <c r="Q780" s="84"/>
      <c r="R780" s="211"/>
      <c r="S780" s="211"/>
      <c r="T780" s="211"/>
      <c r="U780" s="211"/>
      <c r="V780" s="84"/>
      <c r="W780" s="211"/>
      <c r="X780" s="211"/>
      <c r="Y780" s="211"/>
      <c r="Z780" s="211"/>
      <c r="AA780" s="84"/>
      <c r="AB780" s="146"/>
      <c r="AC780" s="211"/>
      <c r="AD780" s="211"/>
      <c r="AE780" s="211"/>
      <c r="AF780" s="84"/>
      <c r="AG780" s="146"/>
      <c r="AH780" s="211"/>
      <c r="AI780" s="211"/>
      <c r="AJ780" s="211"/>
      <c r="AK780" s="84"/>
      <c r="AL780" s="146"/>
      <c r="AM780" s="211"/>
      <c r="AN780" s="211"/>
      <c r="AO780" s="211"/>
      <c r="AP780" s="436"/>
      <c r="AQ780" s="146"/>
      <c r="AR780" s="211"/>
      <c r="AS780" s="211"/>
      <c r="AT780" s="211"/>
      <c r="AU780" s="84"/>
      <c r="AV780" s="211"/>
      <c r="AW780" s="211"/>
      <c r="AX780" s="211"/>
      <c r="AY780" s="211"/>
      <c r="AZ780" s="84"/>
      <c r="BA780" s="211"/>
      <c r="BB780" s="211"/>
      <c r="BC780" s="211"/>
      <c r="BD780" s="211"/>
      <c r="BE780" s="84"/>
      <c r="BF780" s="211"/>
      <c r="BG780" s="451"/>
    </row>
    <row r="781" spans="1:59" ht="12.75">
      <c r="A781" s="211"/>
      <c r="B781" s="449"/>
      <c r="C781" s="450"/>
      <c r="D781" s="211"/>
      <c r="E781" s="211"/>
      <c r="F781" s="211"/>
      <c r="G781" s="84"/>
      <c r="H781" s="211"/>
      <c r="I781" s="211"/>
      <c r="J781" s="211"/>
      <c r="K781" s="211"/>
      <c r="L781" s="84"/>
      <c r="M781" s="211"/>
      <c r="N781" s="211"/>
      <c r="O781" s="211"/>
      <c r="P781" s="211"/>
      <c r="Q781" s="84"/>
      <c r="R781" s="211"/>
      <c r="S781" s="211"/>
      <c r="T781" s="211"/>
      <c r="U781" s="211"/>
      <c r="V781" s="84"/>
      <c r="W781" s="211"/>
      <c r="X781" s="211"/>
      <c r="Y781" s="211"/>
      <c r="Z781" s="211"/>
      <c r="AA781" s="84"/>
      <c r="AB781" s="146"/>
      <c r="AC781" s="211"/>
      <c r="AD781" s="211"/>
      <c r="AE781" s="211"/>
      <c r="AF781" s="84"/>
      <c r="AG781" s="146"/>
      <c r="AH781" s="211"/>
      <c r="AI781" s="211"/>
      <c r="AJ781" s="211"/>
      <c r="AK781" s="84"/>
      <c r="AL781" s="146"/>
      <c r="AM781" s="211"/>
      <c r="AN781" s="211"/>
      <c r="AO781" s="211"/>
      <c r="AP781" s="436"/>
      <c r="AQ781" s="146"/>
      <c r="AR781" s="211"/>
      <c r="AS781" s="211"/>
      <c r="AT781" s="211"/>
      <c r="AU781" s="84"/>
      <c r="AV781" s="211"/>
      <c r="AW781" s="211"/>
      <c r="AX781" s="211"/>
      <c r="AY781" s="211"/>
      <c r="AZ781" s="84"/>
      <c r="BA781" s="211"/>
      <c r="BB781" s="211"/>
      <c r="BC781" s="211"/>
      <c r="BD781" s="211"/>
      <c r="BE781" s="84"/>
      <c r="BF781" s="211"/>
      <c r="BG781" s="451"/>
    </row>
    <row r="782" spans="1:59" ht="12.75">
      <c r="A782" s="211"/>
      <c r="B782" s="449"/>
      <c r="C782" s="450"/>
      <c r="D782" s="211"/>
      <c r="E782" s="211"/>
      <c r="F782" s="211"/>
      <c r="G782" s="84"/>
      <c r="H782" s="211"/>
      <c r="I782" s="211"/>
      <c r="J782" s="211"/>
      <c r="K782" s="211"/>
      <c r="L782" s="84"/>
      <c r="M782" s="211"/>
      <c r="N782" s="211"/>
      <c r="O782" s="211"/>
      <c r="P782" s="211"/>
      <c r="Q782" s="84"/>
      <c r="R782" s="211"/>
      <c r="S782" s="211"/>
      <c r="T782" s="211"/>
      <c r="U782" s="211"/>
      <c r="V782" s="84"/>
      <c r="W782" s="211"/>
      <c r="X782" s="211"/>
      <c r="Y782" s="211"/>
      <c r="Z782" s="211"/>
      <c r="AA782" s="84"/>
      <c r="AB782" s="146"/>
      <c r="AC782" s="211"/>
      <c r="AD782" s="211"/>
      <c r="AE782" s="211"/>
      <c r="AF782" s="84"/>
      <c r="AG782" s="146"/>
      <c r="AH782" s="211"/>
      <c r="AI782" s="211"/>
      <c r="AJ782" s="211"/>
      <c r="AK782" s="84"/>
      <c r="AL782" s="146"/>
      <c r="AM782" s="211"/>
      <c r="AN782" s="211"/>
      <c r="AO782" s="211"/>
      <c r="AP782" s="436"/>
      <c r="AQ782" s="146"/>
      <c r="AR782" s="211"/>
      <c r="AS782" s="211"/>
      <c r="AT782" s="211"/>
      <c r="AU782" s="84"/>
      <c r="AV782" s="211"/>
      <c r="AW782" s="211"/>
      <c r="AX782" s="211"/>
      <c r="AY782" s="211"/>
      <c r="AZ782" s="84"/>
      <c r="BA782" s="211"/>
      <c r="BB782" s="211"/>
      <c r="BC782" s="211"/>
      <c r="BD782" s="211"/>
      <c r="BE782" s="84"/>
      <c r="BF782" s="211"/>
      <c r="BG782" s="451"/>
    </row>
    <row r="783" spans="1:59" ht="12.75">
      <c r="A783" s="211"/>
      <c r="B783" s="449"/>
      <c r="C783" s="450"/>
      <c r="D783" s="211"/>
      <c r="E783" s="211"/>
      <c r="F783" s="211"/>
      <c r="G783" s="84"/>
      <c r="H783" s="211"/>
      <c r="I783" s="211"/>
      <c r="J783" s="211"/>
      <c r="K783" s="211"/>
      <c r="L783" s="84"/>
      <c r="M783" s="211"/>
      <c r="N783" s="211"/>
      <c r="O783" s="211"/>
      <c r="P783" s="211"/>
      <c r="Q783" s="84"/>
      <c r="R783" s="211"/>
      <c r="S783" s="211"/>
      <c r="T783" s="211"/>
      <c r="U783" s="211"/>
      <c r="V783" s="84"/>
      <c r="W783" s="211"/>
      <c r="X783" s="211"/>
      <c r="Y783" s="211"/>
      <c r="Z783" s="211"/>
      <c r="AA783" s="84"/>
      <c r="AB783" s="146"/>
      <c r="AC783" s="211"/>
      <c r="AD783" s="211"/>
      <c r="AE783" s="211"/>
      <c r="AF783" s="84"/>
      <c r="AG783" s="146"/>
      <c r="AH783" s="211"/>
      <c r="AI783" s="211"/>
      <c r="AJ783" s="211"/>
      <c r="AK783" s="84"/>
      <c r="AL783" s="146"/>
      <c r="AM783" s="211"/>
      <c r="AN783" s="211"/>
      <c r="AO783" s="211"/>
      <c r="AP783" s="436"/>
      <c r="AQ783" s="146"/>
      <c r="AR783" s="211"/>
      <c r="AS783" s="211"/>
      <c r="AT783" s="211"/>
      <c r="AU783" s="84"/>
      <c r="AV783" s="211"/>
      <c r="AW783" s="211"/>
      <c r="AX783" s="211"/>
      <c r="AY783" s="211"/>
      <c r="AZ783" s="84"/>
      <c r="BA783" s="211"/>
      <c r="BB783" s="211"/>
      <c r="BC783" s="211"/>
      <c r="BD783" s="211"/>
      <c r="BE783" s="84"/>
      <c r="BF783" s="211"/>
      <c r="BG783" s="451"/>
    </row>
    <row r="784" spans="1:59" ht="12.75">
      <c r="A784" s="211"/>
      <c r="B784" s="449"/>
      <c r="C784" s="450"/>
      <c r="D784" s="211"/>
      <c r="E784" s="211"/>
      <c r="F784" s="211"/>
      <c r="G784" s="84"/>
      <c r="H784" s="211"/>
      <c r="I784" s="211"/>
      <c r="J784" s="211"/>
      <c r="K784" s="211"/>
      <c r="L784" s="84"/>
      <c r="M784" s="211"/>
      <c r="N784" s="211"/>
      <c r="O784" s="211"/>
      <c r="P784" s="211"/>
      <c r="Q784" s="84"/>
      <c r="R784" s="211"/>
      <c r="S784" s="211"/>
      <c r="T784" s="211"/>
      <c r="U784" s="211"/>
      <c r="V784" s="84"/>
      <c r="W784" s="211"/>
      <c r="X784" s="211"/>
      <c r="Y784" s="211"/>
      <c r="Z784" s="211"/>
      <c r="AA784" s="84"/>
      <c r="AB784" s="146"/>
      <c r="AC784" s="211"/>
      <c r="AD784" s="211"/>
      <c r="AE784" s="211"/>
      <c r="AF784" s="84"/>
      <c r="AG784" s="146"/>
      <c r="AH784" s="211"/>
      <c r="AI784" s="211"/>
      <c r="AJ784" s="211"/>
      <c r="AK784" s="84"/>
      <c r="AL784" s="146"/>
      <c r="AM784" s="211"/>
      <c r="AN784" s="211"/>
      <c r="AO784" s="211"/>
      <c r="AP784" s="436"/>
      <c r="AQ784" s="146"/>
      <c r="AR784" s="211"/>
      <c r="AS784" s="211"/>
      <c r="AT784" s="211"/>
      <c r="AU784" s="84"/>
      <c r="AV784" s="211"/>
      <c r="AW784" s="211"/>
      <c r="AX784" s="211"/>
      <c r="AY784" s="211"/>
      <c r="AZ784" s="84"/>
      <c r="BA784" s="211"/>
      <c r="BB784" s="211"/>
      <c r="BC784" s="211"/>
      <c r="BD784" s="211"/>
      <c r="BE784" s="84"/>
      <c r="BF784" s="211"/>
      <c r="BG784" s="451"/>
    </row>
    <row r="785" spans="1:59" ht="12.75">
      <c r="A785" s="211"/>
      <c r="B785" s="449"/>
      <c r="C785" s="450"/>
      <c r="D785" s="211"/>
      <c r="E785" s="211"/>
      <c r="F785" s="211"/>
      <c r="G785" s="84"/>
      <c r="H785" s="211"/>
      <c r="I785" s="211"/>
      <c r="J785" s="211"/>
      <c r="K785" s="211"/>
      <c r="L785" s="84"/>
      <c r="M785" s="211"/>
      <c r="N785" s="211"/>
      <c r="O785" s="211"/>
      <c r="P785" s="211"/>
      <c r="Q785" s="84"/>
      <c r="R785" s="211"/>
      <c r="S785" s="211"/>
      <c r="T785" s="211"/>
      <c r="U785" s="211"/>
      <c r="V785" s="84"/>
      <c r="W785" s="211"/>
      <c r="X785" s="211"/>
      <c r="Y785" s="211"/>
      <c r="Z785" s="211"/>
      <c r="AA785" s="84"/>
      <c r="AB785" s="146"/>
      <c r="AC785" s="211"/>
      <c r="AD785" s="211"/>
      <c r="AE785" s="211"/>
      <c r="AF785" s="84"/>
      <c r="AG785" s="146"/>
      <c r="AH785" s="211"/>
      <c r="AI785" s="211"/>
      <c r="AJ785" s="211"/>
      <c r="AK785" s="84"/>
      <c r="AL785" s="146"/>
      <c r="AM785" s="211"/>
      <c r="AN785" s="211"/>
      <c r="AO785" s="211"/>
      <c r="AP785" s="436"/>
      <c r="AQ785" s="146"/>
      <c r="AR785" s="211"/>
      <c r="AS785" s="211"/>
      <c r="AT785" s="211"/>
      <c r="AU785" s="84"/>
      <c r="AV785" s="211"/>
      <c r="AW785" s="211"/>
      <c r="AX785" s="211"/>
      <c r="AY785" s="211"/>
      <c r="AZ785" s="84"/>
      <c r="BA785" s="211"/>
      <c r="BB785" s="211"/>
      <c r="BC785" s="211"/>
      <c r="BD785" s="211"/>
      <c r="BE785" s="84"/>
      <c r="BF785" s="211"/>
      <c r="BG785" s="451"/>
    </row>
    <row r="786" spans="1:59" ht="12.75">
      <c r="A786" s="211"/>
      <c r="B786" s="449"/>
      <c r="C786" s="450"/>
      <c r="D786" s="211"/>
      <c r="E786" s="211"/>
      <c r="F786" s="211"/>
      <c r="G786" s="84"/>
      <c r="H786" s="211"/>
      <c r="I786" s="211"/>
      <c r="J786" s="211"/>
      <c r="K786" s="211"/>
      <c r="L786" s="84"/>
      <c r="M786" s="211"/>
      <c r="N786" s="211"/>
      <c r="O786" s="211"/>
      <c r="P786" s="211"/>
      <c r="Q786" s="84"/>
      <c r="R786" s="211"/>
      <c r="S786" s="211"/>
      <c r="T786" s="211"/>
      <c r="U786" s="211"/>
      <c r="V786" s="84"/>
      <c r="W786" s="211"/>
      <c r="X786" s="211"/>
      <c r="Y786" s="211"/>
      <c r="Z786" s="211"/>
      <c r="AA786" s="84"/>
      <c r="AB786" s="146"/>
      <c r="AC786" s="211"/>
      <c r="AD786" s="211"/>
      <c r="AE786" s="211"/>
      <c r="AF786" s="84"/>
      <c r="AG786" s="146"/>
      <c r="AH786" s="211"/>
      <c r="AI786" s="211"/>
      <c r="AJ786" s="211"/>
      <c r="AK786" s="84"/>
      <c r="AL786" s="146"/>
      <c r="AM786" s="211"/>
      <c r="AN786" s="211"/>
      <c r="AO786" s="211"/>
      <c r="AP786" s="436"/>
      <c r="AQ786" s="146"/>
      <c r="AR786" s="211"/>
      <c r="AS786" s="211"/>
      <c r="AT786" s="211"/>
      <c r="AU786" s="84"/>
      <c r="AV786" s="211"/>
      <c r="AW786" s="211"/>
      <c r="AX786" s="211"/>
      <c r="AY786" s="211"/>
      <c r="AZ786" s="84"/>
      <c r="BA786" s="211"/>
      <c r="BB786" s="211"/>
      <c r="BC786" s="211"/>
      <c r="BD786" s="211"/>
      <c r="BE786" s="84"/>
      <c r="BF786" s="211"/>
      <c r="BG786" s="451"/>
    </row>
    <row r="787" spans="1:59" ht="12.75">
      <c r="A787" s="211"/>
      <c r="B787" s="449"/>
      <c r="C787" s="450"/>
      <c r="D787" s="211"/>
      <c r="E787" s="211"/>
      <c r="F787" s="211"/>
      <c r="G787" s="84"/>
      <c r="H787" s="211"/>
      <c r="I787" s="211"/>
      <c r="J787" s="211"/>
      <c r="K787" s="211"/>
      <c r="L787" s="84"/>
      <c r="M787" s="211"/>
      <c r="N787" s="211"/>
      <c r="O787" s="211"/>
      <c r="P787" s="211"/>
      <c r="Q787" s="84"/>
      <c r="R787" s="211"/>
      <c r="S787" s="211"/>
      <c r="T787" s="211"/>
      <c r="U787" s="211"/>
      <c r="V787" s="84"/>
      <c r="W787" s="211"/>
      <c r="X787" s="211"/>
      <c r="Y787" s="211"/>
      <c r="Z787" s="211"/>
      <c r="AA787" s="84"/>
      <c r="AB787" s="146"/>
      <c r="AC787" s="211"/>
      <c r="AD787" s="211"/>
      <c r="AE787" s="211"/>
      <c r="AF787" s="84"/>
      <c r="AG787" s="146"/>
      <c r="AH787" s="211"/>
      <c r="AI787" s="211"/>
      <c r="AJ787" s="211"/>
      <c r="AK787" s="84"/>
      <c r="AL787" s="146"/>
      <c r="AM787" s="211"/>
      <c r="AN787" s="211"/>
      <c r="AO787" s="211"/>
      <c r="AP787" s="436"/>
      <c r="AQ787" s="146"/>
      <c r="AR787" s="211"/>
      <c r="AS787" s="211"/>
      <c r="AT787" s="211"/>
      <c r="AU787" s="84"/>
      <c r="AV787" s="211"/>
      <c r="AW787" s="211"/>
      <c r="AX787" s="211"/>
      <c r="AY787" s="211"/>
      <c r="AZ787" s="84"/>
      <c r="BA787" s="211"/>
      <c r="BB787" s="211"/>
      <c r="BC787" s="211"/>
      <c r="BD787" s="211"/>
      <c r="BE787" s="84"/>
      <c r="BF787" s="211"/>
      <c r="BG787" s="451"/>
    </row>
    <row r="788" spans="1:59" ht="12.75">
      <c r="A788" s="211"/>
      <c r="B788" s="449"/>
      <c r="C788" s="450"/>
      <c r="D788" s="211"/>
      <c r="E788" s="211"/>
      <c r="F788" s="211"/>
      <c r="G788" s="84"/>
      <c r="H788" s="211"/>
      <c r="I788" s="211"/>
      <c r="J788" s="211"/>
      <c r="K788" s="211"/>
      <c r="L788" s="84"/>
      <c r="M788" s="211"/>
      <c r="N788" s="211"/>
      <c r="O788" s="211"/>
      <c r="P788" s="211"/>
      <c r="Q788" s="84"/>
      <c r="R788" s="211"/>
      <c r="S788" s="211"/>
      <c r="T788" s="211"/>
      <c r="U788" s="211"/>
      <c r="V788" s="84"/>
      <c r="W788" s="211"/>
      <c r="X788" s="211"/>
      <c r="Y788" s="211"/>
      <c r="Z788" s="211"/>
      <c r="AA788" s="84"/>
      <c r="AB788" s="146"/>
      <c r="AC788" s="211"/>
      <c r="AD788" s="211"/>
      <c r="AE788" s="211"/>
      <c r="AF788" s="84"/>
      <c r="AG788" s="146"/>
      <c r="AH788" s="211"/>
      <c r="AI788" s="211"/>
      <c r="AJ788" s="211"/>
      <c r="AK788" s="84"/>
      <c r="AL788" s="146"/>
      <c r="AM788" s="211"/>
      <c r="AN788" s="211"/>
      <c r="AO788" s="211"/>
      <c r="AP788" s="436"/>
      <c r="AQ788" s="146"/>
      <c r="AR788" s="211"/>
      <c r="AS788" s="211"/>
      <c r="AT788" s="211"/>
      <c r="AU788" s="84"/>
      <c r="AV788" s="211"/>
      <c r="AW788" s="211"/>
      <c r="AX788" s="211"/>
      <c r="AY788" s="211"/>
      <c r="AZ788" s="84"/>
      <c r="BA788" s="211"/>
      <c r="BB788" s="211"/>
      <c r="BC788" s="211"/>
      <c r="BD788" s="211"/>
      <c r="BE788" s="84"/>
      <c r="BF788" s="211"/>
      <c r="BG788" s="451"/>
    </row>
    <row r="789" spans="1:59" ht="12.75">
      <c r="A789" s="211"/>
      <c r="B789" s="449"/>
      <c r="C789" s="450"/>
      <c r="D789" s="211"/>
      <c r="E789" s="211"/>
      <c r="F789" s="211"/>
      <c r="G789" s="84"/>
      <c r="H789" s="211"/>
      <c r="I789" s="211"/>
      <c r="J789" s="211"/>
      <c r="K789" s="211"/>
      <c r="L789" s="84"/>
      <c r="M789" s="211"/>
      <c r="N789" s="211"/>
      <c r="O789" s="211"/>
      <c r="P789" s="211"/>
      <c r="Q789" s="84"/>
      <c r="R789" s="211"/>
      <c r="S789" s="211"/>
      <c r="T789" s="211"/>
      <c r="U789" s="211"/>
      <c r="V789" s="84"/>
      <c r="W789" s="211"/>
      <c r="X789" s="211"/>
      <c r="Y789" s="211"/>
      <c r="Z789" s="211"/>
      <c r="AA789" s="84"/>
      <c r="AB789" s="146"/>
      <c r="AC789" s="211"/>
      <c r="AD789" s="211"/>
      <c r="AE789" s="211"/>
      <c r="AF789" s="84"/>
      <c r="AG789" s="146"/>
      <c r="AH789" s="211"/>
      <c r="AI789" s="211"/>
      <c r="AJ789" s="211"/>
      <c r="AK789" s="84"/>
      <c r="AL789" s="146"/>
      <c r="AM789" s="211"/>
      <c r="AN789" s="211"/>
      <c r="AO789" s="211"/>
      <c r="AP789" s="436"/>
      <c r="AQ789" s="146"/>
      <c r="AR789" s="211"/>
      <c r="AS789" s="211"/>
      <c r="AT789" s="211"/>
      <c r="AU789" s="84"/>
      <c r="AV789" s="211"/>
      <c r="AW789" s="211"/>
      <c r="AX789" s="211"/>
      <c r="AY789" s="211"/>
      <c r="AZ789" s="84"/>
      <c r="BA789" s="211"/>
      <c r="BB789" s="211"/>
      <c r="BC789" s="211"/>
      <c r="BD789" s="211"/>
      <c r="BE789" s="84"/>
      <c r="BF789" s="211"/>
      <c r="BG789" s="451"/>
    </row>
    <row r="790" spans="1:59" ht="12.75">
      <c r="A790" s="211"/>
      <c r="B790" s="449"/>
      <c r="C790" s="450"/>
      <c r="D790" s="211"/>
      <c r="E790" s="211"/>
      <c r="F790" s="211"/>
      <c r="G790" s="84"/>
      <c r="H790" s="211"/>
      <c r="I790" s="211"/>
      <c r="J790" s="211"/>
      <c r="K790" s="211"/>
      <c r="L790" s="84"/>
      <c r="M790" s="211"/>
      <c r="N790" s="211"/>
      <c r="O790" s="211"/>
      <c r="P790" s="211"/>
      <c r="Q790" s="84"/>
      <c r="R790" s="211"/>
      <c r="S790" s="211"/>
      <c r="T790" s="211"/>
      <c r="U790" s="211"/>
      <c r="V790" s="84"/>
      <c r="W790" s="211"/>
      <c r="X790" s="211"/>
      <c r="Y790" s="211"/>
      <c r="Z790" s="211"/>
      <c r="AA790" s="84"/>
      <c r="AB790" s="146"/>
      <c r="AC790" s="211"/>
      <c r="AD790" s="211"/>
      <c r="AE790" s="211"/>
      <c r="AF790" s="84"/>
      <c r="AG790" s="146"/>
      <c r="AH790" s="211"/>
      <c r="AI790" s="211"/>
      <c r="AJ790" s="211"/>
      <c r="AK790" s="84"/>
      <c r="AL790" s="146"/>
      <c r="AM790" s="211"/>
      <c r="AN790" s="211"/>
      <c r="AO790" s="211"/>
      <c r="AP790" s="436"/>
      <c r="AQ790" s="146"/>
      <c r="AR790" s="211"/>
      <c r="AS790" s="211"/>
      <c r="AT790" s="211"/>
      <c r="AU790" s="84"/>
      <c r="AV790" s="211"/>
      <c r="AW790" s="211"/>
      <c r="AX790" s="211"/>
      <c r="AY790" s="211"/>
      <c r="AZ790" s="84"/>
      <c r="BA790" s="211"/>
      <c r="BB790" s="211"/>
      <c r="BC790" s="211"/>
      <c r="BD790" s="211"/>
      <c r="BE790" s="84"/>
      <c r="BF790" s="211"/>
      <c r="BG790" s="451"/>
    </row>
    <row r="791" spans="1:59" ht="12.75">
      <c r="A791" s="211"/>
      <c r="B791" s="449"/>
      <c r="C791" s="450"/>
      <c r="D791" s="211"/>
      <c r="E791" s="211"/>
      <c r="F791" s="211"/>
      <c r="G791" s="84"/>
      <c r="H791" s="211"/>
      <c r="I791" s="211"/>
      <c r="J791" s="211"/>
      <c r="K791" s="211"/>
      <c r="L791" s="84"/>
      <c r="M791" s="211"/>
      <c r="N791" s="211"/>
      <c r="O791" s="211"/>
      <c r="P791" s="211"/>
      <c r="Q791" s="84"/>
      <c r="R791" s="211"/>
      <c r="S791" s="211"/>
      <c r="T791" s="211"/>
      <c r="U791" s="211"/>
      <c r="V791" s="84"/>
      <c r="W791" s="211"/>
      <c r="X791" s="211"/>
      <c r="Y791" s="211"/>
      <c r="Z791" s="211"/>
      <c r="AA791" s="84"/>
      <c r="AB791" s="146"/>
      <c r="AC791" s="211"/>
      <c r="AD791" s="211"/>
      <c r="AE791" s="211"/>
      <c r="AF791" s="84"/>
      <c r="AG791" s="146"/>
      <c r="AH791" s="211"/>
      <c r="AI791" s="211"/>
      <c r="AJ791" s="211"/>
      <c r="AK791" s="84"/>
      <c r="AL791" s="146"/>
      <c r="AM791" s="211"/>
      <c r="AN791" s="211"/>
      <c r="AO791" s="211"/>
      <c r="AP791" s="436"/>
      <c r="AQ791" s="146"/>
      <c r="AR791" s="211"/>
      <c r="AS791" s="211"/>
      <c r="AT791" s="211"/>
      <c r="AU791" s="84"/>
      <c r="AV791" s="211"/>
      <c r="AW791" s="211"/>
      <c r="AX791" s="211"/>
      <c r="AY791" s="211"/>
      <c r="AZ791" s="84"/>
      <c r="BA791" s="211"/>
      <c r="BB791" s="211"/>
      <c r="BC791" s="211"/>
      <c r="BD791" s="211"/>
      <c r="BE791" s="84"/>
      <c r="BF791" s="211"/>
      <c r="BG791" s="451"/>
    </row>
    <row r="792" spans="1:59" ht="12.75">
      <c r="A792" s="211"/>
      <c r="B792" s="449"/>
      <c r="C792" s="450"/>
      <c r="D792" s="211"/>
      <c r="E792" s="211"/>
      <c r="F792" s="211"/>
      <c r="G792" s="84"/>
      <c r="H792" s="211"/>
      <c r="I792" s="211"/>
      <c r="J792" s="211"/>
      <c r="K792" s="211"/>
      <c r="L792" s="84"/>
      <c r="M792" s="211"/>
      <c r="N792" s="211"/>
      <c r="O792" s="211"/>
      <c r="P792" s="211"/>
      <c r="Q792" s="84"/>
      <c r="R792" s="211"/>
      <c r="S792" s="211"/>
      <c r="T792" s="211"/>
      <c r="U792" s="211"/>
      <c r="V792" s="84"/>
      <c r="W792" s="211"/>
      <c r="X792" s="211"/>
      <c r="Y792" s="211"/>
      <c r="Z792" s="211"/>
      <c r="AA792" s="84"/>
      <c r="AB792" s="146"/>
      <c r="AC792" s="211"/>
      <c r="AD792" s="211"/>
      <c r="AE792" s="211"/>
      <c r="AF792" s="84"/>
      <c r="AG792" s="146"/>
      <c r="AH792" s="211"/>
      <c r="AI792" s="211"/>
      <c r="AJ792" s="211"/>
      <c r="AK792" s="84"/>
      <c r="AL792" s="146"/>
      <c r="AM792" s="211"/>
      <c r="AN792" s="211"/>
      <c r="AO792" s="211"/>
      <c r="AP792" s="436"/>
      <c r="AQ792" s="146"/>
      <c r="AR792" s="211"/>
      <c r="AS792" s="211"/>
      <c r="AT792" s="211"/>
      <c r="AU792" s="84"/>
      <c r="AV792" s="211"/>
      <c r="AW792" s="211"/>
      <c r="AX792" s="211"/>
      <c r="AY792" s="211"/>
      <c r="AZ792" s="84"/>
      <c r="BA792" s="211"/>
      <c r="BB792" s="211"/>
      <c r="BC792" s="211"/>
      <c r="BD792" s="211"/>
      <c r="BE792" s="84"/>
      <c r="BF792" s="211"/>
      <c r="BG792" s="451"/>
    </row>
    <row r="793" spans="1:59" ht="12.75">
      <c r="A793" s="211"/>
      <c r="B793" s="449"/>
      <c r="C793" s="450"/>
      <c r="D793" s="211"/>
      <c r="E793" s="211"/>
      <c r="F793" s="211"/>
      <c r="G793" s="84"/>
      <c r="H793" s="211"/>
      <c r="I793" s="211"/>
      <c r="J793" s="211"/>
      <c r="K793" s="211"/>
      <c r="L793" s="84"/>
      <c r="M793" s="211"/>
      <c r="N793" s="211"/>
      <c r="O793" s="211"/>
      <c r="P793" s="211"/>
      <c r="Q793" s="84"/>
      <c r="R793" s="211"/>
      <c r="S793" s="211"/>
      <c r="T793" s="211"/>
      <c r="U793" s="211"/>
      <c r="V793" s="84"/>
      <c r="W793" s="211"/>
      <c r="X793" s="211"/>
      <c r="Y793" s="211"/>
      <c r="Z793" s="211"/>
      <c r="AA793" s="84"/>
      <c r="AB793" s="146"/>
      <c r="AC793" s="211"/>
      <c r="AD793" s="211"/>
      <c r="AE793" s="211"/>
      <c r="AF793" s="84"/>
      <c r="AG793" s="146"/>
      <c r="AH793" s="211"/>
      <c r="AI793" s="211"/>
      <c r="AJ793" s="211"/>
      <c r="AK793" s="84"/>
      <c r="AL793" s="146"/>
      <c r="AM793" s="211"/>
      <c r="AN793" s="211"/>
      <c r="AO793" s="211"/>
      <c r="AP793" s="436"/>
      <c r="AQ793" s="146"/>
      <c r="AR793" s="211"/>
      <c r="AS793" s="211"/>
      <c r="AT793" s="211"/>
      <c r="AU793" s="84"/>
      <c r="AV793" s="211"/>
      <c r="AW793" s="211"/>
      <c r="AX793" s="211"/>
      <c r="AY793" s="211"/>
      <c r="AZ793" s="84"/>
      <c r="BA793" s="211"/>
      <c r="BB793" s="211"/>
      <c r="BC793" s="211"/>
      <c r="BD793" s="211"/>
      <c r="BE793" s="84"/>
      <c r="BF793" s="211"/>
      <c r="BG793" s="451"/>
    </row>
    <row r="794" spans="1:59" ht="12.75">
      <c r="A794" s="211"/>
      <c r="B794" s="449"/>
      <c r="C794" s="450"/>
      <c r="D794" s="211"/>
      <c r="E794" s="211"/>
      <c r="F794" s="211"/>
      <c r="G794" s="84"/>
      <c r="H794" s="211"/>
      <c r="I794" s="211"/>
      <c r="J794" s="211"/>
      <c r="K794" s="211"/>
      <c r="L794" s="84"/>
      <c r="M794" s="211"/>
      <c r="N794" s="211"/>
      <c r="O794" s="211"/>
      <c r="P794" s="211"/>
      <c r="Q794" s="84"/>
      <c r="R794" s="211"/>
      <c r="S794" s="211"/>
      <c r="T794" s="211"/>
      <c r="U794" s="211"/>
      <c r="V794" s="84"/>
      <c r="W794" s="211"/>
      <c r="X794" s="211"/>
      <c r="Y794" s="211"/>
      <c r="Z794" s="211"/>
      <c r="AA794" s="84"/>
      <c r="AB794" s="146"/>
      <c r="AC794" s="211"/>
      <c r="AD794" s="211"/>
      <c r="AE794" s="211"/>
      <c r="AF794" s="84"/>
      <c r="AG794" s="146"/>
      <c r="AH794" s="211"/>
      <c r="AI794" s="211"/>
      <c r="AJ794" s="211"/>
      <c r="AK794" s="84"/>
      <c r="AL794" s="146"/>
      <c r="AM794" s="211"/>
      <c r="AN794" s="211"/>
      <c r="AO794" s="211"/>
      <c r="AP794" s="436"/>
      <c r="AQ794" s="146"/>
      <c r="AR794" s="211"/>
      <c r="AS794" s="211"/>
      <c r="AT794" s="211"/>
      <c r="AU794" s="84"/>
      <c r="AV794" s="211"/>
      <c r="AW794" s="211"/>
      <c r="AX794" s="211"/>
      <c r="AY794" s="211"/>
      <c r="AZ794" s="84"/>
      <c r="BA794" s="211"/>
      <c r="BB794" s="211"/>
      <c r="BC794" s="211"/>
      <c r="BD794" s="211"/>
      <c r="BE794" s="84"/>
      <c r="BF794" s="211"/>
      <c r="BG794" s="451"/>
    </row>
    <row r="795" spans="1:59" ht="12.75">
      <c r="A795" s="211"/>
      <c r="B795" s="449"/>
      <c r="C795" s="450"/>
      <c r="D795" s="211"/>
      <c r="E795" s="211"/>
      <c r="F795" s="211"/>
      <c r="G795" s="84"/>
      <c r="H795" s="211"/>
      <c r="I795" s="211"/>
      <c r="J795" s="211"/>
      <c r="K795" s="211"/>
      <c r="L795" s="84"/>
      <c r="M795" s="211"/>
      <c r="N795" s="211"/>
      <c r="O795" s="211"/>
      <c r="P795" s="211"/>
      <c r="Q795" s="84"/>
      <c r="R795" s="211"/>
      <c r="S795" s="211"/>
      <c r="T795" s="211"/>
      <c r="U795" s="211"/>
      <c r="V795" s="84"/>
      <c r="W795" s="211"/>
      <c r="X795" s="211"/>
      <c r="Y795" s="211"/>
      <c r="Z795" s="211"/>
      <c r="AA795" s="84"/>
      <c r="AB795" s="146"/>
      <c r="AC795" s="211"/>
      <c r="AD795" s="211"/>
      <c r="AE795" s="211"/>
      <c r="AF795" s="84"/>
      <c r="AG795" s="146"/>
      <c r="AH795" s="211"/>
      <c r="AI795" s="211"/>
      <c r="AJ795" s="211"/>
      <c r="AK795" s="84"/>
      <c r="AL795" s="146"/>
      <c r="AM795" s="211"/>
      <c r="AN795" s="211"/>
      <c r="AO795" s="211"/>
      <c r="AP795" s="436"/>
      <c r="AQ795" s="146"/>
      <c r="AR795" s="211"/>
      <c r="AS795" s="211"/>
      <c r="AT795" s="211"/>
      <c r="AU795" s="84"/>
      <c r="AV795" s="211"/>
      <c r="AW795" s="211"/>
      <c r="AX795" s="211"/>
      <c r="AY795" s="211"/>
      <c r="AZ795" s="84"/>
      <c r="BA795" s="211"/>
      <c r="BB795" s="211"/>
      <c r="BC795" s="211"/>
      <c r="BD795" s="211"/>
      <c r="BE795" s="84"/>
      <c r="BF795" s="211"/>
      <c r="BG795" s="451"/>
    </row>
    <row r="796" spans="1:59" ht="12.75">
      <c r="A796" s="211"/>
      <c r="B796" s="449"/>
      <c r="C796" s="450"/>
      <c r="D796" s="211"/>
      <c r="E796" s="211"/>
      <c r="F796" s="211"/>
      <c r="G796" s="84"/>
      <c r="H796" s="211"/>
      <c r="I796" s="211"/>
      <c r="J796" s="211"/>
      <c r="K796" s="211"/>
      <c r="L796" s="84"/>
      <c r="M796" s="211"/>
      <c r="N796" s="211"/>
      <c r="O796" s="211"/>
      <c r="P796" s="211"/>
      <c r="Q796" s="84"/>
      <c r="R796" s="211"/>
      <c r="S796" s="211"/>
      <c r="T796" s="211"/>
      <c r="U796" s="211"/>
      <c r="V796" s="84"/>
      <c r="W796" s="211"/>
      <c r="X796" s="211"/>
      <c r="Y796" s="211"/>
      <c r="Z796" s="211"/>
      <c r="AA796" s="84"/>
      <c r="AB796" s="146"/>
      <c r="AC796" s="211"/>
      <c r="AD796" s="211"/>
      <c r="AE796" s="211"/>
      <c r="AF796" s="84"/>
      <c r="AG796" s="146"/>
      <c r="AH796" s="211"/>
      <c r="AI796" s="211"/>
      <c r="AJ796" s="211"/>
      <c r="AK796" s="84"/>
      <c r="AL796" s="146"/>
      <c r="AM796" s="211"/>
      <c r="AN796" s="211"/>
      <c r="AO796" s="211"/>
      <c r="AP796" s="436"/>
      <c r="AQ796" s="146"/>
      <c r="AR796" s="211"/>
      <c r="AS796" s="211"/>
      <c r="AT796" s="211"/>
      <c r="AU796" s="84"/>
      <c r="AV796" s="211"/>
      <c r="AW796" s="211"/>
      <c r="AX796" s="211"/>
      <c r="AY796" s="211"/>
      <c r="AZ796" s="84"/>
      <c r="BA796" s="211"/>
      <c r="BB796" s="211"/>
      <c r="BC796" s="211"/>
      <c r="BD796" s="211"/>
      <c r="BE796" s="84"/>
      <c r="BF796" s="211"/>
      <c r="BG796" s="451"/>
    </row>
    <row r="797" spans="1:59" ht="12.75">
      <c r="A797" s="211"/>
      <c r="B797" s="449"/>
      <c r="C797" s="450"/>
      <c r="D797" s="211"/>
      <c r="E797" s="211"/>
      <c r="F797" s="211"/>
      <c r="G797" s="84"/>
      <c r="H797" s="211"/>
      <c r="I797" s="211"/>
      <c r="J797" s="211"/>
      <c r="K797" s="211"/>
      <c r="L797" s="84"/>
      <c r="M797" s="211"/>
      <c r="N797" s="211"/>
      <c r="O797" s="211"/>
      <c r="P797" s="211"/>
      <c r="Q797" s="84"/>
      <c r="R797" s="211"/>
      <c r="S797" s="211"/>
      <c r="T797" s="211"/>
      <c r="U797" s="211"/>
      <c r="V797" s="84"/>
      <c r="W797" s="211"/>
      <c r="X797" s="211"/>
      <c r="Y797" s="211"/>
      <c r="Z797" s="211"/>
      <c r="AA797" s="84"/>
      <c r="AB797" s="146"/>
      <c r="AC797" s="211"/>
      <c r="AD797" s="211"/>
      <c r="AE797" s="211"/>
      <c r="AF797" s="84"/>
      <c r="AG797" s="146"/>
      <c r="AH797" s="211"/>
      <c r="AI797" s="211"/>
      <c r="AJ797" s="211"/>
      <c r="AK797" s="84"/>
      <c r="AL797" s="146"/>
      <c r="AM797" s="211"/>
      <c r="AN797" s="211"/>
      <c r="AO797" s="211"/>
      <c r="AP797" s="436"/>
      <c r="AQ797" s="146"/>
      <c r="AR797" s="211"/>
      <c r="AS797" s="211"/>
      <c r="AT797" s="211"/>
      <c r="AU797" s="84"/>
      <c r="AV797" s="211"/>
      <c r="AW797" s="211"/>
      <c r="AX797" s="211"/>
      <c r="AY797" s="211"/>
      <c r="AZ797" s="84"/>
      <c r="BA797" s="211"/>
      <c r="BB797" s="211"/>
      <c r="BC797" s="211"/>
      <c r="BD797" s="211"/>
      <c r="BE797" s="84"/>
      <c r="BF797" s="211"/>
      <c r="BG797" s="451"/>
    </row>
    <row r="798" spans="1:59" ht="12.75">
      <c r="A798" s="211"/>
      <c r="B798" s="449"/>
      <c r="C798" s="450"/>
      <c r="D798" s="211"/>
      <c r="E798" s="211"/>
      <c r="F798" s="211"/>
      <c r="G798" s="84"/>
      <c r="H798" s="211"/>
      <c r="I798" s="211"/>
      <c r="J798" s="211"/>
      <c r="K798" s="211"/>
      <c r="L798" s="84"/>
      <c r="M798" s="211"/>
      <c r="N798" s="211"/>
      <c r="O798" s="211"/>
      <c r="P798" s="211"/>
      <c r="Q798" s="84"/>
      <c r="R798" s="211"/>
      <c r="S798" s="211"/>
      <c r="T798" s="211"/>
      <c r="U798" s="211"/>
      <c r="V798" s="84"/>
      <c r="W798" s="211"/>
      <c r="X798" s="211"/>
      <c r="Y798" s="211"/>
      <c r="Z798" s="211"/>
      <c r="AA798" s="84"/>
      <c r="AB798" s="146"/>
      <c r="AC798" s="211"/>
      <c r="AD798" s="211"/>
      <c r="AE798" s="211"/>
      <c r="AF798" s="84"/>
      <c r="AG798" s="146"/>
      <c r="AH798" s="211"/>
      <c r="AI798" s="211"/>
      <c r="AJ798" s="211"/>
      <c r="AK798" s="84"/>
      <c r="AL798" s="146"/>
      <c r="AM798" s="211"/>
      <c r="AN798" s="211"/>
      <c r="AO798" s="211"/>
      <c r="AP798" s="436"/>
      <c r="AQ798" s="146"/>
      <c r="AR798" s="211"/>
      <c r="AS798" s="211"/>
      <c r="AT798" s="211"/>
      <c r="AU798" s="84"/>
      <c r="AV798" s="211"/>
      <c r="AW798" s="211"/>
      <c r="AX798" s="211"/>
      <c r="AY798" s="211"/>
      <c r="AZ798" s="84"/>
      <c r="BA798" s="211"/>
      <c r="BB798" s="211"/>
      <c r="BC798" s="211"/>
      <c r="BD798" s="211"/>
      <c r="BE798" s="84"/>
      <c r="BF798" s="211"/>
      <c r="BG798" s="451"/>
    </row>
    <row r="799" spans="1:59" ht="12.75">
      <c r="A799" s="211"/>
      <c r="B799" s="449"/>
      <c r="C799" s="450"/>
      <c r="D799" s="211"/>
      <c r="E799" s="211"/>
      <c r="F799" s="211"/>
      <c r="G799" s="84"/>
      <c r="H799" s="211"/>
      <c r="I799" s="211"/>
      <c r="J799" s="211"/>
      <c r="K799" s="211"/>
      <c r="L799" s="84"/>
      <c r="M799" s="211"/>
      <c r="N799" s="211"/>
      <c r="O799" s="211"/>
      <c r="P799" s="211"/>
      <c r="Q799" s="84"/>
      <c r="R799" s="211"/>
      <c r="S799" s="211"/>
      <c r="T799" s="211"/>
      <c r="U799" s="211"/>
      <c r="V799" s="84"/>
      <c r="W799" s="211"/>
      <c r="X799" s="211"/>
      <c r="Y799" s="211"/>
      <c r="Z799" s="211"/>
      <c r="AA799" s="84"/>
      <c r="AB799" s="146"/>
      <c r="AC799" s="211"/>
      <c r="AD799" s="211"/>
      <c r="AE799" s="211"/>
      <c r="AF799" s="84"/>
      <c r="AG799" s="146"/>
      <c r="AH799" s="211"/>
      <c r="AI799" s="211"/>
      <c r="AJ799" s="211"/>
      <c r="AK799" s="84"/>
      <c r="AL799" s="146"/>
      <c r="AM799" s="211"/>
      <c r="AN799" s="211"/>
      <c r="AO799" s="211"/>
      <c r="AP799" s="436"/>
      <c r="AQ799" s="146"/>
      <c r="AR799" s="211"/>
      <c r="AS799" s="211"/>
      <c r="AT799" s="211"/>
      <c r="AU799" s="84"/>
      <c r="AV799" s="211"/>
      <c r="AW799" s="211"/>
      <c r="AX799" s="211"/>
      <c r="AY799" s="211"/>
      <c r="AZ799" s="84"/>
      <c r="BA799" s="211"/>
      <c r="BB799" s="211"/>
      <c r="BC799" s="211"/>
      <c r="BD799" s="211"/>
      <c r="BE799" s="84"/>
      <c r="BF799" s="211"/>
      <c r="BG799" s="451"/>
    </row>
    <row r="800" spans="1:59" ht="12.75">
      <c r="A800" s="211"/>
      <c r="B800" s="449"/>
      <c r="C800" s="450"/>
      <c r="D800" s="211"/>
      <c r="E800" s="211"/>
      <c r="F800" s="211"/>
      <c r="G800" s="84"/>
      <c r="H800" s="211"/>
      <c r="I800" s="211"/>
      <c r="J800" s="211"/>
      <c r="K800" s="211"/>
      <c r="L800" s="84"/>
      <c r="M800" s="211"/>
      <c r="N800" s="211"/>
      <c r="O800" s="211"/>
      <c r="P800" s="211"/>
      <c r="Q800" s="84"/>
      <c r="R800" s="211"/>
      <c r="S800" s="211"/>
      <c r="T800" s="211"/>
      <c r="U800" s="211"/>
      <c r="V800" s="84"/>
      <c r="W800" s="211"/>
      <c r="X800" s="211"/>
      <c r="Y800" s="211"/>
      <c r="Z800" s="211"/>
      <c r="AA800" s="84"/>
      <c r="AB800" s="146"/>
      <c r="AC800" s="211"/>
      <c r="AD800" s="211"/>
      <c r="AE800" s="211"/>
      <c r="AF800" s="84"/>
      <c r="AG800" s="146"/>
      <c r="AH800" s="211"/>
      <c r="AI800" s="211"/>
      <c r="AJ800" s="211"/>
      <c r="AK800" s="84"/>
      <c r="AL800" s="146"/>
      <c r="AM800" s="211"/>
      <c r="AN800" s="211"/>
      <c r="AO800" s="211"/>
      <c r="AP800" s="436"/>
      <c r="AQ800" s="146"/>
      <c r="AR800" s="211"/>
      <c r="AS800" s="211"/>
      <c r="AT800" s="211"/>
      <c r="AU800" s="84"/>
      <c r="AV800" s="211"/>
      <c r="AW800" s="211"/>
      <c r="AX800" s="211"/>
      <c r="AY800" s="211"/>
      <c r="AZ800" s="84"/>
      <c r="BA800" s="211"/>
      <c r="BB800" s="211"/>
      <c r="BC800" s="211"/>
      <c r="BD800" s="211"/>
      <c r="BE800" s="84"/>
      <c r="BF800" s="211"/>
      <c r="BG800" s="451"/>
    </row>
    <row r="801" spans="1:59" ht="12.75">
      <c r="A801" s="211"/>
      <c r="B801" s="449"/>
      <c r="C801" s="450"/>
      <c r="D801" s="211"/>
      <c r="E801" s="211"/>
      <c r="F801" s="211"/>
      <c r="G801" s="84"/>
      <c r="H801" s="211"/>
      <c r="I801" s="211"/>
      <c r="J801" s="211"/>
      <c r="K801" s="211"/>
      <c r="L801" s="84"/>
      <c r="M801" s="211"/>
      <c r="N801" s="211"/>
      <c r="O801" s="211"/>
      <c r="P801" s="211"/>
      <c r="Q801" s="84"/>
      <c r="R801" s="211"/>
      <c r="S801" s="211"/>
      <c r="T801" s="211"/>
      <c r="U801" s="211"/>
      <c r="V801" s="84"/>
      <c r="W801" s="211"/>
      <c r="X801" s="211"/>
      <c r="Y801" s="211"/>
      <c r="Z801" s="211"/>
      <c r="AA801" s="84"/>
      <c r="AB801" s="146"/>
      <c r="AC801" s="211"/>
      <c r="AD801" s="211"/>
      <c r="AE801" s="211"/>
      <c r="AF801" s="84"/>
      <c r="AG801" s="146"/>
      <c r="AH801" s="211"/>
      <c r="AI801" s="211"/>
      <c r="AJ801" s="211"/>
      <c r="AK801" s="84"/>
      <c r="AL801" s="146"/>
      <c r="AM801" s="211"/>
      <c r="AN801" s="211"/>
      <c r="AO801" s="211"/>
      <c r="AP801" s="436"/>
      <c r="AQ801" s="146"/>
      <c r="AR801" s="211"/>
      <c r="AS801" s="211"/>
      <c r="AT801" s="211"/>
      <c r="AU801" s="84"/>
      <c r="AV801" s="211"/>
      <c r="AW801" s="211"/>
      <c r="AX801" s="211"/>
      <c r="AY801" s="211"/>
      <c r="AZ801" s="84"/>
      <c r="BA801" s="211"/>
      <c r="BB801" s="211"/>
      <c r="BC801" s="211"/>
      <c r="BD801" s="211"/>
      <c r="BE801" s="84"/>
      <c r="BF801" s="211"/>
      <c r="BG801" s="451"/>
    </row>
    <row r="802" spans="1:59" ht="12.75">
      <c r="A802" s="211"/>
      <c r="B802" s="449"/>
      <c r="C802" s="450"/>
      <c r="D802" s="211"/>
      <c r="E802" s="211"/>
      <c r="F802" s="211"/>
      <c r="G802" s="84"/>
      <c r="H802" s="211"/>
      <c r="I802" s="211"/>
      <c r="J802" s="211"/>
      <c r="K802" s="211"/>
      <c r="L802" s="84"/>
      <c r="M802" s="211"/>
      <c r="N802" s="211"/>
      <c r="O802" s="211"/>
      <c r="P802" s="211"/>
      <c r="Q802" s="84"/>
      <c r="R802" s="211"/>
      <c r="S802" s="211"/>
      <c r="T802" s="211"/>
      <c r="U802" s="211"/>
      <c r="V802" s="84"/>
      <c r="W802" s="211"/>
      <c r="X802" s="211"/>
      <c r="Y802" s="211"/>
      <c r="Z802" s="211"/>
      <c r="AA802" s="84"/>
      <c r="AB802" s="146"/>
      <c r="AC802" s="211"/>
      <c r="AD802" s="211"/>
      <c r="AE802" s="211"/>
      <c r="AF802" s="84"/>
      <c r="AG802" s="146"/>
      <c r="AH802" s="211"/>
      <c r="AI802" s="211"/>
      <c r="AJ802" s="211"/>
      <c r="AK802" s="84"/>
      <c r="AL802" s="146"/>
      <c r="AM802" s="211"/>
      <c r="AN802" s="211"/>
      <c r="AO802" s="211"/>
      <c r="AP802" s="436"/>
      <c r="AQ802" s="146"/>
      <c r="AR802" s="211"/>
      <c r="AS802" s="211"/>
      <c r="AT802" s="211"/>
      <c r="AU802" s="84"/>
      <c r="AV802" s="211"/>
      <c r="AW802" s="211"/>
      <c r="AX802" s="211"/>
      <c r="AY802" s="211"/>
      <c r="AZ802" s="84"/>
      <c r="BA802" s="211"/>
      <c r="BB802" s="211"/>
      <c r="BC802" s="211"/>
      <c r="BD802" s="211"/>
      <c r="BE802" s="84"/>
      <c r="BF802" s="211"/>
      <c r="BG802" s="451"/>
    </row>
    <row r="803" spans="1:59" ht="12.75">
      <c r="A803" s="211"/>
      <c r="B803" s="449"/>
      <c r="C803" s="450"/>
      <c r="D803" s="211"/>
      <c r="E803" s="211"/>
      <c r="F803" s="211"/>
      <c r="G803" s="84"/>
      <c r="H803" s="211"/>
      <c r="I803" s="211"/>
      <c r="J803" s="211"/>
      <c r="K803" s="211"/>
      <c r="L803" s="84"/>
      <c r="M803" s="211"/>
      <c r="N803" s="211"/>
      <c r="O803" s="211"/>
      <c r="P803" s="211"/>
      <c r="Q803" s="84"/>
      <c r="R803" s="211"/>
      <c r="S803" s="211"/>
      <c r="T803" s="211"/>
      <c r="U803" s="211"/>
      <c r="V803" s="84"/>
      <c r="W803" s="211"/>
      <c r="X803" s="211"/>
      <c r="Y803" s="211"/>
      <c r="Z803" s="211"/>
      <c r="AA803" s="84"/>
      <c r="AB803" s="146"/>
      <c r="AC803" s="211"/>
      <c r="AD803" s="211"/>
      <c r="AE803" s="211"/>
      <c r="AF803" s="84"/>
      <c r="AG803" s="146"/>
      <c r="AH803" s="211"/>
      <c r="AI803" s="211"/>
      <c r="AJ803" s="211"/>
      <c r="AK803" s="84"/>
      <c r="AL803" s="146"/>
      <c r="AM803" s="211"/>
      <c r="AN803" s="211"/>
      <c r="AO803" s="211"/>
      <c r="AP803" s="436"/>
      <c r="AQ803" s="146"/>
      <c r="AR803" s="211"/>
      <c r="AS803" s="211"/>
      <c r="AT803" s="211"/>
      <c r="AU803" s="84"/>
      <c r="AV803" s="211"/>
      <c r="AW803" s="211"/>
      <c r="AX803" s="211"/>
      <c r="AY803" s="211"/>
      <c r="AZ803" s="84"/>
      <c r="BA803" s="211"/>
      <c r="BB803" s="211"/>
      <c r="BC803" s="211"/>
      <c r="BD803" s="211"/>
      <c r="BE803" s="84"/>
      <c r="BF803" s="211"/>
      <c r="BG803" s="451"/>
    </row>
    <row r="804" spans="1:59" ht="12.75">
      <c r="A804" s="211"/>
      <c r="B804" s="449"/>
      <c r="C804" s="450"/>
      <c r="D804" s="211"/>
      <c r="E804" s="211"/>
      <c r="F804" s="211"/>
      <c r="G804" s="84"/>
      <c r="H804" s="211"/>
      <c r="I804" s="211"/>
      <c r="J804" s="211"/>
      <c r="K804" s="211"/>
      <c r="L804" s="84"/>
      <c r="M804" s="211"/>
      <c r="N804" s="211"/>
      <c r="O804" s="211"/>
      <c r="P804" s="211"/>
      <c r="Q804" s="84"/>
      <c r="R804" s="211"/>
      <c r="S804" s="211"/>
      <c r="T804" s="211"/>
      <c r="U804" s="211"/>
      <c r="V804" s="84"/>
      <c r="W804" s="211"/>
      <c r="X804" s="211"/>
      <c r="Y804" s="211"/>
      <c r="Z804" s="211"/>
      <c r="AA804" s="84"/>
      <c r="AB804" s="146"/>
      <c r="AC804" s="211"/>
      <c r="AD804" s="211"/>
      <c r="AE804" s="211"/>
      <c r="AF804" s="84"/>
      <c r="AG804" s="146"/>
      <c r="AH804" s="211"/>
      <c r="AI804" s="211"/>
      <c r="AJ804" s="211"/>
      <c r="AK804" s="84"/>
      <c r="AL804" s="146"/>
      <c r="AM804" s="211"/>
      <c r="AN804" s="211"/>
      <c r="AO804" s="211"/>
      <c r="AP804" s="436"/>
      <c r="AQ804" s="146"/>
      <c r="AR804" s="211"/>
      <c r="AS804" s="211"/>
      <c r="AT804" s="211"/>
      <c r="AU804" s="84"/>
      <c r="AV804" s="211"/>
      <c r="AW804" s="211"/>
      <c r="AX804" s="211"/>
      <c r="AY804" s="211"/>
      <c r="AZ804" s="84"/>
      <c r="BA804" s="211"/>
      <c r="BB804" s="211"/>
      <c r="BC804" s="211"/>
      <c r="BD804" s="211"/>
      <c r="BE804" s="84"/>
      <c r="BF804" s="211"/>
      <c r="BG804" s="451"/>
    </row>
    <row r="805" spans="1:59" ht="12.75">
      <c r="A805" s="211"/>
      <c r="B805" s="449"/>
      <c r="C805" s="450"/>
      <c r="D805" s="211"/>
      <c r="E805" s="211"/>
      <c r="F805" s="211"/>
      <c r="G805" s="84"/>
      <c r="H805" s="211"/>
      <c r="I805" s="211"/>
      <c r="J805" s="211"/>
      <c r="K805" s="211"/>
      <c r="L805" s="84"/>
      <c r="M805" s="211"/>
      <c r="N805" s="211"/>
      <c r="O805" s="211"/>
      <c r="P805" s="211"/>
      <c r="Q805" s="84"/>
      <c r="R805" s="211"/>
      <c r="S805" s="211"/>
      <c r="T805" s="211"/>
      <c r="U805" s="211"/>
      <c r="V805" s="84"/>
      <c r="W805" s="211"/>
      <c r="X805" s="211"/>
      <c r="Y805" s="211"/>
      <c r="Z805" s="211"/>
      <c r="AA805" s="84"/>
      <c r="AB805" s="146"/>
      <c r="AC805" s="211"/>
      <c r="AD805" s="211"/>
      <c r="AE805" s="211"/>
      <c r="AF805" s="84"/>
      <c r="AG805" s="146"/>
      <c r="AH805" s="211"/>
      <c r="AI805" s="211"/>
      <c r="AJ805" s="211"/>
      <c r="AK805" s="84"/>
      <c r="AL805" s="146"/>
      <c r="AM805" s="211"/>
      <c r="AN805" s="211"/>
      <c r="AO805" s="211"/>
      <c r="AP805" s="436"/>
      <c r="AQ805" s="146"/>
      <c r="AR805" s="211"/>
      <c r="AS805" s="211"/>
      <c r="AT805" s="211"/>
      <c r="AU805" s="84"/>
      <c r="AV805" s="211"/>
      <c r="AW805" s="211"/>
      <c r="AX805" s="211"/>
      <c r="AY805" s="211"/>
      <c r="AZ805" s="84"/>
      <c r="BA805" s="211"/>
      <c r="BB805" s="211"/>
      <c r="BC805" s="211"/>
      <c r="BD805" s="211"/>
      <c r="BE805" s="84"/>
      <c r="BF805" s="211"/>
      <c r="BG805" s="451"/>
    </row>
    <row r="806" spans="1:59" ht="12.75">
      <c r="A806" s="211"/>
      <c r="B806" s="449"/>
      <c r="C806" s="450"/>
      <c r="D806" s="211"/>
      <c r="E806" s="211"/>
      <c r="F806" s="211"/>
      <c r="G806" s="84"/>
      <c r="H806" s="211"/>
      <c r="I806" s="211"/>
      <c r="J806" s="211"/>
      <c r="K806" s="211"/>
      <c r="L806" s="84"/>
      <c r="M806" s="211"/>
      <c r="N806" s="211"/>
      <c r="O806" s="211"/>
      <c r="P806" s="211"/>
      <c r="Q806" s="84"/>
      <c r="R806" s="211"/>
      <c r="S806" s="211"/>
      <c r="T806" s="211"/>
      <c r="U806" s="211"/>
      <c r="V806" s="84"/>
      <c r="W806" s="211"/>
      <c r="X806" s="211"/>
      <c r="Y806" s="211"/>
      <c r="Z806" s="211"/>
      <c r="AA806" s="84"/>
      <c r="AB806" s="146"/>
      <c r="AC806" s="211"/>
      <c r="AD806" s="211"/>
      <c r="AE806" s="211"/>
      <c r="AF806" s="84"/>
      <c r="AG806" s="146"/>
      <c r="AH806" s="211"/>
      <c r="AI806" s="211"/>
      <c r="AJ806" s="211"/>
      <c r="AK806" s="84"/>
      <c r="AL806" s="146"/>
      <c r="AM806" s="211"/>
      <c r="AN806" s="211"/>
      <c r="AO806" s="211"/>
      <c r="AP806" s="436"/>
      <c r="AQ806" s="146"/>
      <c r="AR806" s="211"/>
      <c r="AS806" s="211"/>
      <c r="AT806" s="211"/>
      <c r="AU806" s="84"/>
      <c r="AV806" s="211"/>
      <c r="AW806" s="211"/>
      <c r="AX806" s="211"/>
      <c r="AY806" s="211"/>
      <c r="AZ806" s="84"/>
      <c r="BA806" s="211"/>
      <c r="BB806" s="211"/>
      <c r="BC806" s="211"/>
      <c r="BD806" s="211"/>
      <c r="BE806" s="84"/>
      <c r="BF806" s="211"/>
      <c r="BG806" s="451"/>
    </row>
    <row r="807" spans="1:59" ht="12.75">
      <c r="A807" s="211"/>
      <c r="B807" s="449"/>
      <c r="C807" s="450"/>
      <c r="D807" s="211"/>
      <c r="E807" s="211"/>
      <c r="F807" s="211"/>
      <c r="G807" s="84"/>
      <c r="H807" s="211"/>
      <c r="I807" s="211"/>
      <c r="J807" s="211"/>
      <c r="K807" s="211"/>
      <c r="L807" s="84"/>
      <c r="M807" s="211"/>
      <c r="N807" s="211"/>
      <c r="O807" s="211"/>
      <c r="P807" s="211"/>
      <c r="Q807" s="84"/>
      <c r="R807" s="211"/>
      <c r="S807" s="211"/>
      <c r="T807" s="211"/>
      <c r="U807" s="211"/>
      <c r="V807" s="84"/>
      <c r="W807" s="211"/>
      <c r="X807" s="211"/>
      <c r="Y807" s="211"/>
      <c r="Z807" s="211"/>
      <c r="AA807" s="84"/>
      <c r="AB807" s="146"/>
      <c r="AC807" s="211"/>
      <c r="AD807" s="211"/>
      <c r="AE807" s="211"/>
      <c r="AF807" s="84"/>
      <c r="AG807" s="146"/>
      <c r="AH807" s="211"/>
      <c r="AI807" s="211"/>
      <c r="AJ807" s="211"/>
      <c r="AK807" s="84"/>
      <c r="AL807" s="146"/>
      <c r="AM807" s="211"/>
      <c r="AN807" s="211"/>
      <c r="AO807" s="211"/>
      <c r="AP807" s="436"/>
      <c r="AQ807" s="146"/>
      <c r="AR807" s="211"/>
      <c r="AS807" s="211"/>
      <c r="AT807" s="211"/>
      <c r="AU807" s="84"/>
      <c r="AV807" s="211"/>
      <c r="AW807" s="211"/>
      <c r="AX807" s="211"/>
      <c r="AY807" s="211"/>
      <c r="AZ807" s="84"/>
      <c r="BA807" s="211"/>
      <c r="BB807" s="211"/>
      <c r="BC807" s="211"/>
      <c r="BD807" s="211"/>
      <c r="BE807" s="84"/>
      <c r="BF807" s="211"/>
      <c r="BG807" s="451"/>
    </row>
    <row r="808" spans="1:59" ht="12.75">
      <c r="A808" s="211"/>
      <c r="B808" s="449"/>
      <c r="C808" s="450"/>
      <c r="D808" s="211"/>
      <c r="E808" s="211"/>
      <c r="F808" s="211"/>
      <c r="G808" s="84"/>
      <c r="H808" s="211"/>
      <c r="I808" s="211"/>
      <c r="J808" s="211"/>
      <c r="K808" s="211"/>
      <c r="L808" s="84"/>
      <c r="M808" s="211"/>
      <c r="N808" s="211"/>
      <c r="O808" s="211"/>
      <c r="P808" s="211"/>
      <c r="Q808" s="84"/>
      <c r="R808" s="211"/>
      <c r="S808" s="211"/>
      <c r="T808" s="211"/>
      <c r="U808" s="211"/>
      <c r="V808" s="84"/>
      <c r="W808" s="211"/>
      <c r="X808" s="211"/>
      <c r="Y808" s="211"/>
      <c r="Z808" s="211"/>
      <c r="AA808" s="84"/>
      <c r="AB808" s="146"/>
      <c r="AC808" s="211"/>
      <c r="AD808" s="211"/>
      <c r="AE808" s="211"/>
      <c r="AF808" s="84"/>
      <c r="AG808" s="146"/>
      <c r="AH808" s="211"/>
      <c r="AI808" s="211"/>
      <c r="AJ808" s="211"/>
      <c r="AK808" s="84"/>
      <c r="AL808" s="146"/>
      <c r="AM808" s="211"/>
      <c r="AN808" s="211"/>
      <c r="AO808" s="211"/>
      <c r="AP808" s="436"/>
      <c r="AQ808" s="146"/>
      <c r="AR808" s="211"/>
      <c r="AS808" s="211"/>
      <c r="AT808" s="211"/>
      <c r="AU808" s="84"/>
      <c r="AV808" s="211"/>
      <c r="AW808" s="211"/>
      <c r="AX808" s="211"/>
      <c r="AY808" s="211"/>
      <c r="AZ808" s="84"/>
      <c r="BA808" s="211"/>
      <c r="BB808" s="211"/>
      <c r="BC808" s="211"/>
      <c r="BD808" s="211"/>
      <c r="BE808" s="84"/>
      <c r="BF808" s="211"/>
      <c r="BG808" s="451"/>
    </row>
    <row r="809" spans="1:59" ht="12.75">
      <c r="A809" s="211"/>
      <c r="B809" s="449"/>
      <c r="C809" s="450"/>
      <c r="D809" s="211"/>
      <c r="E809" s="211"/>
      <c r="F809" s="211"/>
      <c r="G809" s="84"/>
      <c r="H809" s="211"/>
      <c r="I809" s="211"/>
      <c r="J809" s="211"/>
      <c r="K809" s="211"/>
      <c r="L809" s="84"/>
      <c r="M809" s="211"/>
      <c r="N809" s="211"/>
      <c r="O809" s="211"/>
      <c r="P809" s="211"/>
      <c r="Q809" s="84"/>
      <c r="R809" s="211"/>
      <c r="S809" s="211"/>
      <c r="T809" s="211"/>
      <c r="U809" s="211"/>
      <c r="V809" s="84"/>
      <c r="W809" s="211"/>
      <c r="X809" s="211"/>
      <c r="Y809" s="211"/>
      <c r="Z809" s="211"/>
      <c r="AA809" s="84"/>
      <c r="AB809" s="146"/>
      <c r="AC809" s="211"/>
      <c r="AD809" s="211"/>
      <c r="AE809" s="211"/>
      <c r="AF809" s="84"/>
      <c r="AG809" s="146"/>
      <c r="AH809" s="211"/>
      <c r="AI809" s="211"/>
      <c r="AJ809" s="211"/>
      <c r="AK809" s="84"/>
      <c r="AL809" s="146"/>
      <c r="AM809" s="211"/>
      <c r="AN809" s="211"/>
      <c r="AO809" s="211"/>
      <c r="AP809" s="436"/>
      <c r="AQ809" s="146"/>
      <c r="AR809" s="211"/>
      <c r="AS809" s="211"/>
      <c r="AT809" s="211"/>
      <c r="AU809" s="84"/>
      <c r="AV809" s="211"/>
      <c r="AW809" s="211"/>
      <c r="AX809" s="211"/>
      <c r="AY809" s="211"/>
      <c r="AZ809" s="84"/>
      <c r="BA809" s="211"/>
      <c r="BB809" s="211"/>
      <c r="BC809" s="211"/>
      <c r="BD809" s="211"/>
      <c r="BE809" s="84"/>
      <c r="BF809" s="211"/>
      <c r="BG809" s="451"/>
    </row>
    <row r="810" spans="1:59" ht="12.75">
      <c r="A810" s="211"/>
      <c r="B810" s="449"/>
      <c r="C810" s="450"/>
      <c r="D810" s="211"/>
      <c r="E810" s="211"/>
      <c r="F810" s="211"/>
      <c r="G810" s="84"/>
      <c r="H810" s="211"/>
      <c r="I810" s="211"/>
      <c r="J810" s="211"/>
      <c r="K810" s="211"/>
      <c r="L810" s="84"/>
      <c r="M810" s="211"/>
      <c r="N810" s="211"/>
      <c r="O810" s="211"/>
      <c r="P810" s="211"/>
      <c r="Q810" s="84"/>
      <c r="R810" s="211"/>
      <c r="S810" s="211"/>
      <c r="T810" s="211"/>
      <c r="U810" s="211"/>
      <c r="V810" s="84"/>
      <c r="W810" s="211"/>
      <c r="X810" s="211"/>
      <c r="Y810" s="211"/>
      <c r="Z810" s="211"/>
      <c r="AA810" s="84"/>
      <c r="AB810" s="146"/>
      <c r="AC810" s="211"/>
      <c r="AD810" s="211"/>
      <c r="AE810" s="211"/>
      <c r="AF810" s="84"/>
      <c r="AG810" s="146"/>
      <c r="AH810" s="211"/>
      <c r="AI810" s="211"/>
      <c r="AJ810" s="211"/>
      <c r="AK810" s="84"/>
      <c r="AL810" s="146"/>
      <c r="AM810" s="211"/>
      <c r="AN810" s="211"/>
      <c r="AO810" s="211"/>
      <c r="AP810" s="436"/>
      <c r="AQ810" s="146"/>
      <c r="AR810" s="211"/>
      <c r="AS810" s="211"/>
      <c r="AT810" s="211"/>
      <c r="AU810" s="84"/>
      <c r="AV810" s="211"/>
      <c r="AW810" s="211"/>
      <c r="AX810" s="211"/>
      <c r="AY810" s="211"/>
      <c r="AZ810" s="84"/>
      <c r="BA810" s="211"/>
      <c r="BB810" s="211"/>
      <c r="BC810" s="211"/>
      <c r="BD810" s="211"/>
      <c r="BE810" s="84"/>
      <c r="BF810" s="211"/>
      <c r="BG810" s="451"/>
    </row>
    <row r="811" spans="1:59" ht="12.75">
      <c r="A811" s="211"/>
      <c r="B811" s="449"/>
      <c r="C811" s="450"/>
      <c r="D811" s="211"/>
      <c r="E811" s="211"/>
      <c r="F811" s="211"/>
      <c r="G811" s="84"/>
      <c r="H811" s="211"/>
      <c r="I811" s="211"/>
      <c r="J811" s="211"/>
      <c r="K811" s="211"/>
      <c r="L811" s="84"/>
      <c r="M811" s="211"/>
      <c r="N811" s="211"/>
      <c r="O811" s="211"/>
      <c r="P811" s="211"/>
      <c r="Q811" s="84"/>
      <c r="R811" s="211"/>
      <c r="S811" s="211"/>
      <c r="T811" s="211"/>
      <c r="U811" s="211"/>
      <c r="V811" s="84"/>
      <c r="W811" s="211"/>
      <c r="X811" s="211"/>
      <c r="Y811" s="211"/>
      <c r="Z811" s="211"/>
      <c r="AA811" s="84"/>
      <c r="AB811" s="146"/>
      <c r="AC811" s="211"/>
      <c r="AD811" s="211"/>
      <c r="AE811" s="211"/>
      <c r="AF811" s="84"/>
      <c r="AG811" s="146"/>
      <c r="AH811" s="211"/>
      <c r="AI811" s="211"/>
      <c r="AJ811" s="211"/>
      <c r="AK811" s="84"/>
      <c r="AL811" s="146"/>
      <c r="AM811" s="211"/>
      <c r="AN811" s="211"/>
      <c r="AO811" s="211"/>
      <c r="AP811" s="436"/>
      <c r="AQ811" s="146"/>
      <c r="AR811" s="211"/>
      <c r="AS811" s="211"/>
      <c r="AT811" s="211"/>
      <c r="AU811" s="84"/>
      <c r="AV811" s="211"/>
      <c r="AW811" s="211"/>
      <c r="AX811" s="211"/>
      <c r="AY811" s="211"/>
      <c r="AZ811" s="84"/>
      <c r="BA811" s="211"/>
      <c r="BB811" s="211"/>
      <c r="BC811" s="211"/>
      <c r="BD811" s="211"/>
      <c r="BE811" s="84"/>
      <c r="BF811" s="211"/>
      <c r="BG811" s="451"/>
    </row>
    <row r="812" spans="1:59" ht="12.75">
      <c r="A812" s="211"/>
      <c r="B812" s="449"/>
      <c r="C812" s="450"/>
      <c r="D812" s="211"/>
      <c r="E812" s="211"/>
      <c r="F812" s="211"/>
      <c r="G812" s="84"/>
      <c r="H812" s="211"/>
      <c r="I812" s="211"/>
      <c r="J812" s="211"/>
      <c r="K812" s="211"/>
      <c r="L812" s="84"/>
      <c r="M812" s="211"/>
      <c r="N812" s="211"/>
      <c r="O812" s="211"/>
      <c r="P812" s="211"/>
      <c r="Q812" s="84"/>
      <c r="R812" s="211"/>
      <c r="S812" s="211"/>
      <c r="T812" s="211"/>
      <c r="U812" s="211"/>
      <c r="V812" s="84"/>
      <c r="W812" s="211"/>
      <c r="X812" s="211"/>
      <c r="Y812" s="211"/>
      <c r="Z812" s="211"/>
      <c r="AA812" s="84"/>
      <c r="AB812" s="146"/>
      <c r="AC812" s="211"/>
      <c r="AD812" s="211"/>
      <c r="AE812" s="211"/>
      <c r="AF812" s="84"/>
      <c r="AG812" s="146"/>
      <c r="AH812" s="211"/>
      <c r="AI812" s="211"/>
      <c r="AJ812" s="211"/>
      <c r="AK812" s="84"/>
      <c r="AL812" s="146"/>
      <c r="AM812" s="211"/>
      <c r="AN812" s="211"/>
      <c r="AO812" s="211"/>
      <c r="AP812" s="436"/>
      <c r="AQ812" s="146"/>
      <c r="AR812" s="211"/>
      <c r="AS812" s="211"/>
      <c r="AT812" s="211"/>
      <c r="AU812" s="84"/>
      <c r="AV812" s="211"/>
      <c r="AW812" s="211"/>
      <c r="AX812" s="211"/>
      <c r="AY812" s="211"/>
      <c r="AZ812" s="84"/>
      <c r="BA812" s="211"/>
      <c r="BB812" s="211"/>
      <c r="BC812" s="211"/>
      <c r="BD812" s="211"/>
      <c r="BE812" s="84"/>
      <c r="BF812" s="211"/>
      <c r="BG812" s="451"/>
    </row>
    <row r="813" spans="1:59" ht="12.75">
      <c r="A813" s="211"/>
      <c r="B813" s="449"/>
      <c r="C813" s="450"/>
      <c r="D813" s="211"/>
      <c r="E813" s="211"/>
      <c r="F813" s="211"/>
      <c r="G813" s="84"/>
      <c r="H813" s="211"/>
      <c r="I813" s="211"/>
      <c r="J813" s="211"/>
      <c r="K813" s="211"/>
      <c r="L813" s="84"/>
      <c r="M813" s="211"/>
      <c r="N813" s="211"/>
      <c r="O813" s="211"/>
      <c r="P813" s="211"/>
      <c r="Q813" s="84"/>
      <c r="R813" s="211"/>
      <c r="S813" s="211"/>
      <c r="T813" s="211"/>
      <c r="U813" s="211"/>
      <c r="V813" s="84"/>
      <c r="W813" s="211"/>
      <c r="X813" s="211"/>
      <c r="Y813" s="211"/>
      <c r="Z813" s="211"/>
      <c r="AA813" s="84"/>
      <c r="AB813" s="146"/>
      <c r="AC813" s="211"/>
      <c r="AD813" s="211"/>
      <c r="AE813" s="211"/>
      <c r="AF813" s="84"/>
      <c r="AG813" s="146"/>
      <c r="AH813" s="211"/>
      <c r="AI813" s="211"/>
      <c r="AJ813" s="211"/>
      <c r="AK813" s="84"/>
      <c r="AL813" s="146"/>
      <c r="AM813" s="211"/>
      <c r="AN813" s="211"/>
      <c r="AO813" s="211"/>
      <c r="AP813" s="436"/>
      <c r="AQ813" s="146"/>
      <c r="AR813" s="211"/>
      <c r="AS813" s="211"/>
      <c r="AT813" s="211"/>
      <c r="AU813" s="84"/>
      <c r="AV813" s="211"/>
      <c r="AW813" s="211"/>
      <c r="AX813" s="211"/>
      <c r="AY813" s="211"/>
      <c r="AZ813" s="84"/>
      <c r="BA813" s="211"/>
      <c r="BB813" s="211"/>
      <c r="BC813" s="211"/>
      <c r="BD813" s="211"/>
      <c r="BE813" s="84"/>
      <c r="BF813" s="211"/>
      <c r="BG813" s="451"/>
    </row>
    <row r="814" spans="1:59" ht="12.75">
      <c r="A814" s="211"/>
      <c r="B814" s="449"/>
      <c r="C814" s="450"/>
      <c r="D814" s="211"/>
      <c r="E814" s="211"/>
      <c r="F814" s="211"/>
      <c r="G814" s="84"/>
      <c r="H814" s="211"/>
      <c r="I814" s="211"/>
      <c r="J814" s="211"/>
      <c r="K814" s="211"/>
      <c r="L814" s="84"/>
      <c r="M814" s="211"/>
      <c r="N814" s="211"/>
      <c r="O814" s="211"/>
      <c r="P814" s="211"/>
      <c r="Q814" s="84"/>
      <c r="R814" s="211"/>
      <c r="S814" s="211"/>
      <c r="T814" s="211"/>
      <c r="U814" s="211"/>
      <c r="V814" s="84"/>
      <c r="W814" s="211"/>
      <c r="X814" s="211"/>
      <c r="Y814" s="211"/>
      <c r="Z814" s="211"/>
      <c r="AA814" s="84"/>
      <c r="AB814" s="146"/>
      <c r="AC814" s="211"/>
      <c r="AD814" s="211"/>
      <c r="AE814" s="211"/>
      <c r="AF814" s="84"/>
      <c r="AG814" s="146"/>
      <c r="AH814" s="211"/>
      <c r="AI814" s="211"/>
      <c r="AJ814" s="211"/>
      <c r="AK814" s="84"/>
      <c r="AL814" s="146"/>
      <c r="AM814" s="211"/>
      <c r="AN814" s="211"/>
      <c r="AO814" s="211"/>
      <c r="AP814" s="436"/>
      <c r="AQ814" s="146"/>
      <c r="AR814" s="211"/>
      <c r="AS814" s="211"/>
      <c r="AT814" s="211"/>
      <c r="AU814" s="84"/>
      <c r="AV814" s="211"/>
      <c r="AW814" s="211"/>
      <c r="AX814" s="211"/>
      <c r="AY814" s="211"/>
      <c r="AZ814" s="84"/>
      <c r="BA814" s="211"/>
      <c r="BB814" s="211"/>
      <c r="BC814" s="211"/>
      <c r="BD814" s="211"/>
      <c r="BE814" s="84"/>
      <c r="BF814" s="211"/>
      <c r="BG814" s="451"/>
    </row>
    <row r="815" spans="1:59" ht="12.75">
      <c r="A815" s="211"/>
      <c r="B815" s="449"/>
      <c r="C815" s="450"/>
      <c r="D815" s="211"/>
      <c r="E815" s="211"/>
      <c r="F815" s="211"/>
      <c r="G815" s="84"/>
      <c r="H815" s="211"/>
      <c r="I815" s="211"/>
      <c r="J815" s="211"/>
      <c r="K815" s="211"/>
      <c r="L815" s="84"/>
      <c r="M815" s="211"/>
      <c r="N815" s="211"/>
      <c r="O815" s="211"/>
      <c r="P815" s="211"/>
      <c r="Q815" s="84"/>
      <c r="R815" s="211"/>
      <c r="S815" s="211"/>
      <c r="T815" s="211"/>
      <c r="U815" s="211"/>
      <c r="V815" s="84"/>
      <c r="W815" s="211"/>
      <c r="X815" s="211"/>
      <c r="Y815" s="211"/>
      <c r="Z815" s="211"/>
      <c r="AA815" s="84"/>
      <c r="AB815" s="146"/>
      <c r="AC815" s="211"/>
      <c r="AD815" s="211"/>
      <c r="AE815" s="211"/>
      <c r="AF815" s="84"/>
      <c r="AG815" s="146"/>
      <c r="AH815" s="211"/>
      <c r="AI815" s="211"/>
      <c r="AJ815" s="211"/>
      <c r="AK815" s="84"/>
      <c r="AL815" s="146"/>
      <c r="AM815" s="211"/>
      <c r="AN815" s="211"/>
      <c r="AO815" s="211"/>
      <c r="AP815" s="436"/>
      <c r="AQ815" s="146"/>
      <c r="AR815" s="211"/>
      <c r="AS815" s="211"/>
      <c r="AT815" s="211"/>
      <c r="AU815" s="84"/>
      <c r="AV815" s="211"/>
      <c r="AW815" s="211"/>
      <c r="AX815" s="211"/>
      <c r="AY815" s="211"/>
      <c r="AZ815" s="84"/>
      <c r="BA815" s="211"/>
      <c r="BB815" s="211"/>
      <c r="BC815" s="211"/>
      <c r="BD815" s="211"/>
      <c r="BE815" s="84"/>
      <c r="BF815" s="211"/>
      <c r="BG815" s="451"/>
    </row>
    <row r="816" spans="1:59" ht="12.75">
      <c r="A816" s="211"/>
      <c r="B816" s="449"/>
      <c r="C816" s="450"/>
      <c r="D816" s="211"/>
      <c r="E816" s="211"/>
      <c r="F816" s="211"/>
      <c r="G816" s="84"/>
      <c r="H816" s="211"/>
      <c r="I816" s="211"/>
      <c r="J816" s="211"/>
      <c r="K816" s="211"/>
      <c r="L816" s="84"/>
      <c r="M816" s="211"/>
      <c r="N816" s="211"/>
      <c r="O816" s="211"/>
      <c r="P816" s="211"/>
      <c r="Q816" s="84"/>
      <c r="R816" s="211"/>
      <c r="S816" s="211"/>
      <c r="T816" s="211"/>
      <c r="U816" s="211"/>
      <c r="V816" s="84"/>
      <c r="W816" s="211"/>
      <c r="X816" s="211"/>
      <c r="Y816" s="211"/>
      <c r="Z816" s="211"/>
      <c r="AA816" s="84"/>
      <c r="AB816" s="146"/>
      <c r="AC816" s="211"/>
      <c r="AD816" s="211"/>
      <c r="AE816" s="211"/>
      <c r="AF816" s="84"/>
      <c r="AG816" s="146"/>
      <c r="AH816" s="211"/>
      <c r="AI816" s="211"/>
      <c r="AJ816" s="211"/>
      <c r="AK816" s="84"/>
      <c r="AL816" s="146"/>
      <c r="AM816" s="211"/>
      <c r="AN816" s="211"/>
      <c r="AO816" s="211"/>
      <c r="AP816" s="436"/>
      <c r="AQ816" s="146"/>
      <c r="AR816" s="211"/>
      <c r="AS816" s="211"/>
      <c r="AT816" s="211"/>
      <c r="AU816" s="84"/>
      <c r="AV816" s="211"/>
      <c r="AW816" s="211"/>
      <c r="AX816" s="211"/>
      <c r="AY816" s="211"/>
      <c r="AZ816" s="84"/>
      <c r="BA816" s="211"/>
      <c r="BB816" s="211"/>
      <c r="BC816" s="211"/>
      <c r="BD816" s="211"/>
      <c r="BE816" s="84"/>
      <c r="BF816" s="211"/>
      <c r="BG816" s="451"/>
    </row>
    <row r="817" spans="1:59" ht="12.75">
      <c r="A817" s="211"/>
      <c r="B817" s="449"/>
      <c r="C817" s="450"/>
      <c r="D817" s="211"/>
      <c r="E817" s="211"/>
      <c r="F817" s="211"/>
      <c r="G817" s="84"/>
      <c r="H817" s="211"/>
      <c r="I817" s="211"/>
      <c r="J817" s="211"/>
      <c r="K817" s="211"/>
      <c r="L817" s="84"/>
      <c r="M817" s="211"/>
      <c r="N817" s="211"/>
      <c r="O817" s="211"/>
      <c r="P817" s="211"/>
      <c r="Q817" s="84"/>
      <c r="R817" s="211"/>
      <c r="S817" s="211"/>
      <c r="T817" s="211"/>
      <c r="U817" s="211"/>
      <c r="V817" s="84"/>
      <c r="W817" s="211"/>
      <c r="X817" s="211"/>
      <c r="Y817" s="211"/>
      <c r="Z817" s="211"/>
      <c r="AA817" s="84"/>
      <c r="AB817" s="146"/>
      <c r="AC817" s="211"/>
      <c r="AD817" s="211"/>
      <c r="AE817" s="211"/>
      <c r="AF817" s="84"/>
      <c r="AG817" s="146"/>
      <c r="AH817" s="211"/>
      <c r="AI817" s="211"/>
      <c r="AJ817" s="211"/>
      <c r="AK817" s="84"/>
      <c r="AL817" s="146"/>
      <c r="AM817" s="211"/>
      <c r="AN817" s="211"/>
      <c r="AO817" s="211"/>
      <c r="AP817" s="436"/>
      <c r="AQ817" s="146"/>
      <c r="AR817" s="211"/>
      <c r="AS817" s="211"/>
      <c r="AT817" s="211"/>
      <c r="AU817" s="84"/>
      <c r="AV817" s="211"/>
      <c r="AW817" s="211"/>
      <c r="AX817" s="211"/>
      <c r="AY817" s="211"/>
      <c r="AZ817" s="84"/>
      <c r="BA817" s="211"/>
      <c r="BB817" s="211"/>
      <c r="BC817" s="211"/>
      <c r="BD817" s="211"/>
      <c r="BE817" s="84"/>
      <c r="BF817" s="211"/>
      <c r="BG817" s="451"/>
    </row>
    <row r="818" spans="1:59" ht="12.75">
      <c r="A818" s="211"/>
      <c r="B818" s="449"/>
      <c r="C818" s="450"/>
      <c r="D818" s="211"/>
      <c r="E818" s="211"/>
      <c r="F818" s="211"/>
      <c r="G818" s="84"/>
      <c r="H818" s="211"/>
      <c r="I818" s="211"/>
      <c r="J818" s="211"/>
      <c r="K818" s="211"/>
      <c r="L818" s="84"/>
      <c r="M818" s="211"/>
      <c r="N818" s="211"/>
      <c r="O818" s="211"/>
      <c r="P818" s="211"/>
      <c r="Q818" s="84"/>
      <c r="R818" s="211"/>
      <c r="S818" s="211"/>
      <c r="T818" s="211"/>
      <c r="U818" s="211"/>
      <c r="V818" s="84"/>
      <c r="W818" s="211"/>
      <c r="X818" s="211"/>
      <c r="Y818" s="211"/>
      <c r="Z818" s="211"/>
      <c r="AA818" s="84"/>
      <c r="AB818" s="146"/>
      <c r="AC818" s="211"/>
      <c r="AD818" s="211"/>
      <c r="AE818" s="211"/>
      <c r="AF818" s="84"/>
      <c r="AG818" s="146"/>
      <c r="AH818" s="211"/>
      <c r="AI818" s="211"/>
      <c r="AJ818" s="211"/>
      <c r="AK818" s="84"/>
      <c r="AL818" s="146"/>
      <c r="AM818" s="211"/>
      <c r="AN818" s="211"/>
      <c r="AO818" s="211"/>
      <c r="AP818" s="436"/>
      <c r="AQ818" s="146"/>
      <c r="AR818" s="211"/>
      <c r="AS818" s="211"/>
      <c r="AT818" s="211"/>
      <c r="AU818" s="84"/>
      <c r="AV818" s="211"/>
      <c r="AW818" s="211"/>
      <c r="AX818" s="211"/>
      <c r="AY818" s="211"/>
      <c r="AZ818" s="84"/>
      <c r="BA818" s="211"/>
      <c r="BB818" s="211"/>
      <c r="BC818" s="211"/>
      <c r="BD818" s="211"/>
      <c r="BE818" s="84"/>
      <c r="BF818" s="211"/>
      <c r="BG818" s="451"/>
    </row>
    <row r="819" spans="1:59" ht="12.75">
      <c r="A819" s="211"/>
      <c r="B819" s="449"/>
      <c r="C819" s="450"/>
      <c r="D819" s="211"/>
      <c r="E819" s="211"/>
      <c r="F819" s="211"/>
      <c r="G819" s="84"/>
      <c r="H819" s="211"/>
      <c r="I819" s="211"/>
      <c r="J819" s="211"/>
      <c r="K819" s="211"/>
      <c r="L819" s="84"/>
      <c r="M819" s="211"/>
      <c r="N819" s="211"/>
      <c r="O819" s="211"/>
      <c r="P819" s="211"/>
      <c r="Q819" s="84"/>
      <c r="R819" s="211"/>
      <c r="S819" s="211"/>
      <c r="T819" s="211"/>
      <c r="U819" s="211"/>
      <c r="V819" s="84"/>
      <c r="W819" s="211"/>
      <c r="X819" s="211"/>
      <c r="Y819" s="211"/>
      <c r="Z819" s="211"/>
      <c r="AA819" s="84"/>
      <c r="AB819" s="146"/>
      <c r="AC819" s="211"/>
      <c r="AD819" s="211"/>
      <c r="AE819" s="211"/>
      <c r="AF819" s="84"/>
      <c r="AG819" s="146"/>
      <c r="AH819" s="211"/>
      <c r="AI819" s="211"/>
      <c r="AJ819" s="211"/>
      <c r="AK819" s="84"/>
      <c r="AL819" s="146"/>
      <c r="AM819" s="211"/>
      <c r="AN819" s="211"/>
      <c r="AO819" s="211"/>
      <c r="AP819" s="436"/>
      <c r="AQ819" s="146"/>
      <c r="AR819" s="211"/>
      <c r="AS819" s="211"/>
      <c r="AT819" s="211"/>
      <c r="AU819" s="84"/>
      <c r="AV819" s="211"/>
      <c r="AW819" s="211"/>
      <c r="AX819" s="211"/>
      <c r="AY819" s="211"/>
      <c r="AZ819" s="84"/>
      <c r="BA819" s="211"/>
      <c r="BB819" s="211"/>
      <c r="BC819" s="211"/>
      <c r="BD819" s="211"/>
      <c r="BE819" s="84"/>
      <c r="BF819" s="211"/>
      <c r="BG819" s="451"/>
    </row>
    <row r="820" spans="1:59" ht="12.75">
      <c r="A820" s="211"/>
      <c r="B820" s="449"/>
      <c r="C820" s="450"/>
      <c r="D820" s="211"/>
      <c r="E820" s="211"/>
      <c r="F820" s="211"/>
      <c r="G820" s="84"/>
      <c r="H820" s="211"/>
      <c r="I820" s="211"/>
      <c r="J820" s="211"/>
      <c r="K820" s="211"/>
      <c r="L820" s="84"/>
      <c r="M820" s="211"/>
      <c r="N820" s="211"/>
      <c r="O820" s="211"/>
      <c r="P820" s="211"/>
      <c r="Q820" s="84"/>
      <c r="R820" s="211"/>
      <c r="S820" s="211"/>
      <c r="T820" s="211"/>
      <c r="U820" s="211"/>
      <c r="V820" s="84"/>
      <c r="W820" s="211"/>
      <c r="X820" s="211"/>
      <c r="Y820" s="211"/>
      <c r="Z820" s="211"/>
      <c r="AA820" s="84"/>
      <c r="AB820" s="146"/>
      <c r="AC820" s="211"/>
      <c r="AD820" s="211"/>
      <c r="AE820" s="211"/>
      <c r="AF820" s="84"/>
      <c r="AG820" s="146"/>
      <c r="AH820" s="211"/>
      <c r="AI820" s="211"/>
      <c r="AJ820" s="211"/>
      <c r="AK820" s="84"/>
      <c r="AL820" s="146"/>
      <c r="AM820" s="211"/>
      <c r="AN820" s="211"/>
      <c r="AO820" s="211"/>
      <c r="AP820" s="436"/>
      <c r="AQ820" s="146"/>
      <c r="AR820" s="211"/>
      <c r="AS820" s="211"/>
      <c r="AT820" s="211"/>
      <c r="AU820" s="84"/>
      <c r="AV820" s="211"/>
      <c r="AW820" s="211"/>
      <c r="AX820" s="211"/>
      <c r="AY820" s="211"/>
      <c r="AZ820" s="84"/>
      <c r="BA820" s="211"/>
      <c r="BB820" s="211"/>
      <c r="BC820" s="211"/>
      <c r="BD820" s="211"/>
      <c r="BE820" s="84"/>
      <c r="BF820" s="211"/>
      <c r="BG820" s="451"/>
    </row>
    <row r="821" spans="1:59" ht="12.75">
      <c r="A821" s="211"/>
      <c r="B821" s="449"/>
      <c r="C821" s="450"/>
      <c r="D821" s="211"/>
      <c r="E821" s="211"/>
      <c r="F821" s="211"/>
      <c r="G821" s="84"/>
      <c r="H821" s="211"/>
      <c r="I821" s="211"/>
      <c r="J821" s="211"/>
      <c r="K821" s="211"/>
      <c r="L821" s="84"/>
      <c r="M821" s="211"/>
      <c r="N821" s="211"/>
      <c r="O821" s="211"/>
      <c r="P821" s="211"/>
      <c r="Q821" s="84"/>
      <c r="R821" s="211"/>
      <c r="S821" s="211"/>
      <c r="T821" s="211"/>
      <c r="U821" s="211"/>
      <c r="V821" s="84"/>
      <c r="W821" s="211"/>
      <c r="X821" s="211"/>
      <c r="Y821" s="211"/>
      <c r="Z821" s="211"/>
      <c r="AA821" s="84"/>
      <c r="AB821" s="146"/>
      <c r="AC821" s="211"/>
      <c r="AD821" s="211"/>
      <c r="AE821" s="211"/>
      <c r="AF821" s="84"/>
      <c r="AG821" s="146"/>
      <c r="AH821" s="211"/>
      <c r="AI821" s="211"/>
      <c r="AJ821" s="211"/>
      <c r="AK821" s="84"/>
      <c r="AL821" s="146"/>
      <c r="AM821" s="211"/>
      <c r="AN821" s="211"/>
      <c r="AO821" s="211"/>
      <c r="AP821" s="436"/>
      <c r="AQ821" s="146"/>
      <c r="AR821" s="211"/>
      <c r="AS821" s="211"/>
      <c r="AT821" s="211"/>
      <c r="AU821" s="84"/>
      <c r="AV821" s="211"/>
      <c r="AW821" s="211"/>
      <c r="AX821" s="211"/>
      <c r="AY821" s="211"/>
      <c r="AZ821" s="84"/>
      <c r="BA821" s="211"/>
      <c r="BB821" s="211"/>
      <c r="BC821" s="211"/>
      <c r="BD821" s="211"/>
      <c r="BE821" s="84"/>
      <c r="BF821" s="211"/>
      <c r="BG821" s="451"/>
    </row>
    <row r="822" spans="1:59" ht="12.75">
      <c r="A822" s="211"/>
      <c r="B822" s="449"/>
      <c r="C822" s="450"/>
      <c r="D822" s="211"/>
      <c r="E822" s="211"/>
      <c r="F822" s="211"/>
      <c r="G822" s="84"/>
      <c r="H822" s="211"/>
      <c r="I822" s="211"/>
      <c r="J822" s="211"/>
      <c r="K822" s="211"/>
      <c r="L822" s="84"/>
      <c r="M822" s="211"/>
      <c r="N822" s="211"/>
      <c r="O822" s="211"/>
      <c r="P822" s="211"/>
      <c r="Q822" s="84"/>
      <c r="R822" s="211"/>
      <c r="S822" s="211"/>
      <c r="T822" s="211"/>
      <c r="U822" s="211"/>
      <c r="V822" s="84"/>
      <c r="W822" s="211"/>
      <c r="X822" s="211"/>
      <c r="Y822" s="211"/>
      <c r="Z822" s="211"/>
      <c r="AA822" s="84"/>
      <c r="AB822" s="146"/>
      <c r="AC822" s="211"/>
      <c r="AD822" s="211"/>
      <c r="AE822" s="211"/>
      <c r="AF822" s="84"/>
      <c r="AG822" s="146"/>
      <c r="AH822" s="211"/>
      <c r="AI822" s="211"/>
      <c r="AJ822" s="211"/>
      <c r="AK822" s="84"/>
      <c r="AL822" s="146"/>
      <c r="AM822" s="211"/>
      <c r="AN822" s="211"/>
      <c r="AO822" s="211"/>
      <c r="AP822" s="436"/>
      <c r="AQ822" s="146"/>
      <c r="AR822" s="211"/>
      <c r="AS822" s="211"/>
      <c r="AT822" s="211"/>
      <c r="AU822" s="84"/>
      <c r="AV822" s="211"/>
      <c r="AW822" s="211"/>
      <c r="AX822" s="211"/>
      <c r="AY822" s="211"/>
      <c r="AZ822" s="84"/>
      <c r="BA822" s="211"/>
      <c r="BB822" s="211"/>
      <c r="BC822" s="211"/>
      <c r="BD822" s="211"/>
      <c r="BE822" s="84"/>
      <c r="BF822" s="211"/>
      <c r="BG822" s="451"/>
    </row>
    <row r="823" spans="1:59" ht="12.75">
      <c r="A823" s="211"/>
      <c r="B823" s="449"/>
      <c r="C823" s="450"/>
      <c r="D823" s="211"/>
      <c r="E823" s="211"/>
      <c r="F823" s="211"/>
      <c r="G823" s="84"/>
      <c r="H823" s="211"/>
      <c r="I823" s="211"/>
      <c r="J823" s="211"/>
      <c r="K823" s="211"/>
      <c r="L823" s="84"/>
      <c r="M823" s="211"/>
      <c r="N823" s="211"/>
      <c r="O823" s="211"/>
      <c r="P823" s="211"/>
      <c r="Q823" s="84"/>
      <c r="R823" s="211"/>
      <c r="S823" s="211"/>
      <c r="T823" s="211"/>
      <c r="U823" s="211"/>
      <c r="V823" s="84"/>
      <c r="W823" s="211"/>
      <c r="X823" s="211"/>
      <c r="Y823" s="211"/>
      <c r="Z823" s="211"/>
      <c r="AA823" s="84"/>
      <c r="AB823" s="146"/>
      <c r="AC823" s="211"/>
      <c r="AD823" s="211"/>
      <c r="AE823" s="211"/>
      <c r="AF823" s="84"/>
      <c r="AG823" s="146"/>
      <c r="AH823" s="211"/>
      <c r="AI823" s="211"/>
      <c r="AJ823" s="211"/>
      <c r="AK823" s="84"/>
      <c r="AL823" s="146"/>
      <c r="AM823" s="211"/>
      <c r="AN823" s="211"/>
      <c r="AO823" s="211"/>
      <c r="AP823" s="436"/>
      <c r="AQ823" s="146"/>
      <c r="AR823" s="211"/>
      <c r="AS823" s="211"/>
      <c r="AT823" s="211"/>
      <c r="AU823" s="84"/>
      <c r="AV823" s="211"/>
      <c r="AW823" s="211"/>
      <c r="AX823" s="211"/>
      <c r="AY823" s="211"/>
      <c r="AZ823" s="84"/>
      <c r="BA823" s="211"/>
      <c r="BB823" s="211"/>
      <c r="BC823" s="211"/>
      <c r="BD823" s="211"/>
      <c r="BE823" s="84"/>
      <c r="BF823" s="211"/>
      <c r="BG823" s="451"/>
    </row>
    <row r="824" spans="1:59" ht="12.75">
      <c r="A824" s="211"/>
      <c r="B824" s="449"/>
      <c r="C824" s="450"/>
      <c r="D824" s="211"/>
      <c r="E824" s="211"/>
      <c r="F824" s="211"/>
      <c r="G824" s="84"/>
      <c r="H824" s="211"/>
      <c r="I824" s="211"/>
      <c r="J824" s="211"/>
      <c r="K824" s="211"/>
      <c r="L824" s="84"/>
      <c r="M824" s="211"/>
      <c r="N824" s="211"/>
      <c r="O824" s="211"/>
      <c r="P824" s="211"/>
      <c r="Q824" s="84"/>
      <c r="R824" s="211"/>
      <c r="S824" s="211"/>
      <c r="T824" s="211"/>
      <c r="U824" s="211"/>
      <c r="V824" s="84"/>
      <c r="W824" s="211"/>
      <c r="X824" s="211"/>
      <c r="Y824" s="211"/>
      <c r="Z824" s="211"/>
      <c r="AA824" s="84"/>
      <c r="AB824" s="146"/>
      <c r="AC824" s="211"/>
      <c r="AD824" s="211"/>
      <c r="AE824" s="211"/>
      <c r="AF824" s="84"/>
      <c r="AG824" s="146"/>
      <c r="AH824" s="211"/>
      <c r="AI824" s="211"/>
      <c r="AJ824" s="211"/>
      <c r="AK824" s="84"/>
      <c r="AL824" s="146"/>
      <c r="AM824" s="211"/>
      <c r="AN824" s="211"/>
      <c r="AO824" s="211"/>
      <c r="AP824" s="436"/>
      <c r="AQ824" s="146"/>
      <c r="AR824" s="211"/>
      <c r="AS824" s="211"/>
      <c r="AT824" s="211"/>
      <c r="AU824" s="84"/>
      <c r="AV824" s="211"/>
      <c r="AW824" s="211"/>
      <c r="AX824" s="211"/>
      <c r="AY824" s="211"/>
      <c r="AZ824" s="84"/>
      <c r="BA824" s="211"/>
      <c r="BB824" s="211"/>
      <c r="BC824" s="211"/>
      <c r="BD824" s="211"/>
      <c r="BE824" s="84"/>
      <c r="BF824" s="211"/>
      <c r="BG824" s="451"/>
    </row>
    <row r="825" spans="1:59" ht="12.75">
      <c r="A825" s="211"/>
      <c r="B825" s="449"/>
      <c r="C825" s="450"/>
      <c r="D825" s="211"/>
      <c r="E825" s="211"/>
      <c r="F825" s="211"/>
      <c r="G825" s="84"/>
      <c r="H825" s="211"/>
      <c r="I825" s="211"/>
      <c r="J825" s="211"/>
      <c r="K825" s="211"/>
      <c r="L825" s="84"/>
      <c r="M825" s="211"/>
      <c r="N825" s="211"/>
      <c r="O825" s="211"/>
      <c r="P825" s="211"/>
      <c r="Q825" s="84"/>
      <c r="R825" s="211"/>
      <c r="S825" s="211"/>
      <c r="T825" s="211"/>
      <c r="U825" s="211"/>
      <c r="V825" s="84"/>
      <c r="W825" s="211"/>
      <c r="X825" s="211"/>
      <c r="Y825" s="211"/>
      <c r="Z825" s="211"/>
      <c r="AA825" s="84"/>
      <c r="AB825" s="146"/>
      <c r="AC825" s="211"/>
      <c r="AD825" s="211"/>
      <c r="AE825" s="211"/>
      <c r="AF825" s="84"/>
      <c r="AG825" s="146"/>
      <c r="AH825" s="211"/>
      <c r="AI825" s="211"/>
      <c r="AJ825" s="211"/>
      <c r="AK825" s="84"/>
      <c r="AL825" s="146"/>
      <c r="AM825" s="211"/>
      <c r="AN825" s="211"/>
      <c r="AO825" s="211"/>
      <c r="AP825" s="436"/>
      <c r="AQ825" s="146"/>
      <c r="AR825" s="211"/>
      <c r="AS825" s="211"/>
      <c r="AT825" s="211"/>
      <c r="AU825" s="84"/>
      <c r="AV825" s="211"/>
      <c r="AW825" s="211"/>
      <c r="AX825" s="211"/>
      <c r="AY825" s="211"/>
      <c r="AZ825" s="84"/>
      <c r="BA825" s="211"/>
      <c r="BB825" s="211"/>
      <c r="BC825" s="211"/>
      <c r="BD825" s="211"/>
      <c r="BE825" s="84"/>
      <c r="BF825" s="211"/>
      <c r="BG825" s="451"/>
    </row>
    <row r="826" spans="1:59" ht="12.75">
      <c r="A826" s="211"/>
      <c r="B826" s="449"/>
      <c r="C826" s="450"/>
      <c r="D826" s="211"/>
      <c r="E826" s="211"/>
      <c r="F826" s="211"/>
      <c r="G826" s="84"/>
      <c r="H826" s="211"/>
      <c r="I826" s="211"/>
      <c r="J826" s="211"/>
      <c r="K826" s="211"/>
      <c r="L826" s="84"/>
      <c r="M826" s="211"/>
      <c r="N826" s="211"/>
      <c r="O826" s="211"/>
      <c r="P826" s="211"/>
      <c r="Q826" s="84"/>
      <c r="R826" s="211"/>
      <c r="S826" s="211"/>
      <c r="T826" s="211"/>
      <c r="U826" s="211"/>
      <c r="V826" s="84"/>
      <c r="W826" s="211"/>
      <c r="X826" s="211"/>
      <c r="Y826" s="211"/>
      <c r="Z826" s="211"/>
      <c r="AA826" s="84"/>
      <c r="AB826" s="146"/>
      <c r="AC826" s="211"/>
      <c r="AD826" s="211"/>
      <c r="AE826" s="211"/>
      <c r="AF826" s="84"/>
      <c r="AG826" s="146"/>
      <c r="AH826" s="211"/>
      <c r="AI826" s="211"/>
      <c r="AJ826" s="211"/>
      <c r="AK826" s="84"/>
      <c r="AL826" s="146"/>
      <c r="AM826" s="211"/>
      <c r="AN826" s="211"/>
      <c r="AO826" s="211"/>
      <c r="AP826" s="436"/>
      <c r="AQ826" s="146"/>
      <c r="AR826" s="211"/>
      <c r="AS826" s="211"/>
      <c r="AT826" s="211"/>
      <c r="AU826" s="84"/>
      <c r="AV826" s="211"/>
      <c r="AW826" s="211"/>
      <c r="AX826" s="211"/>
      <c r="AY826" s="211"/>
      <c r="AZ826" s="84"/>
      <c r="BA826" s="211"/>
      <c r="BB826" s="211"/>
      <c r="BC826" s="211"/>
      <c r="BD826" s="211"/>
      <c r="BE826" s="84"/>
      <c r="BF826" s="211"/>
      <c r="BG826" s="451"/>
    </row>
    <row r="827" spans="1:59" ht="12.75">
      <c r="A827" s="211"/>
      <c r="B827" s="449"/>
      <c r="C827" s="450"/>
      <c r="D827" s="211"/>
      <c r="E827" s="211"/>
      <c r="F827" s="211"/>
      <c r="G827" s="84"/>
      <c r="H827" s="211"/>
      <c r="I827" s="211"/>
      <c r="J827" s="211"/>
      <c r="K827" s="211"/>
      <c r="L827" s="84"/>
      <c r="M827" s="211"/>
      <c r="N827" s="211"/>
      <c r="O827" s="211"/>
      <c r="P827" s="211"/>
      <c r="Q827" s="84"/>
      <c r="R827" s="211"/>
      <c r="S827" s="211"/>
      <c r="T827" s="211"/>
      <c r="U827" s="211"/>
      <c r="V827" s="84"/>
      <c r="W827" s="211"/>
      <c r="X827" s="211"/>
      <c r="Y827" s="211"/>
      <c r="Z827" s="211"/>
      <c r="AA827" s="84"/>
      <c r="AB827" s="146"/>
      <c r="AC827" s="211"/>
      <c r="AD827" s="211"/>
      <c r="AE827" s="211"/>
      <c r="AF827" s="84"/>
      <c r="AG827" s="146"/>
      <c r="AH827" s="211"/>
      <c r="AI827" s="211"/>
      <c r="AJ827" s="211"/>
      <c r="AK827" s="84"/>
      <c r="AL827" s="146"/>
      <c r="AM827" s="211"/>
      <c r="AN827" s="211"/>
      <c r="AO827" s="211"/>
      <c r="AP827" s="436"/>
      <c r="AQ827" s="146"/>
      <c r="AR827" s="211"/>
      <c r="AS827" s="211"/>
      <c r="AT827" s="211"/>
      <c r="AU827" s="84"/>
      <c r="AV827" s="211"/>
      <c r="AW827" s="211"/>
      <c r="AX827" s="211"/>
      <c r="AY827" s="211"/>
      <c r="AZ827" s="84"/>
      <c r="BA827" s="211"/>
      <c r="BB827" s="211"/>
      <c r="BC827" s="211"/>
      <c r="BD827" s="211"/>
      <c r="BE827" s="84"/>
      <c r="BF827" s="211"/>
      <c r="BG827" s="451"/>
    </row>
    <row r="828" spans="1:59" ht="12.75">
      <c r="A828" s="211"/>
      <c r="B828" s="449"/>
      <c r="C828" s="450"/>
      <c r="D828" s="211"/>
      <c r="E828" s="211"/>
      <c r="F828" s="211"/>
      <c r="G828" s="84"/>
      <c r="H828" s="211"/>
      <c r="I828" s="211"/>
      <c r="J828" s="211"/>
      <c r="K828" s="211"/>
      <c r="L828" s="84"/>
      <c r="M828" s="211"/>
      <c r="N828" s="211"/>
      <c r="O828" s="211"/>
      <c r="P828" s="211"/>
      <c r="Q828" s="84"/>
      <c r="R828" s="211"/>
      <c r="S828" s="211"/>
      <c r="T828" s="211"/>
      <c r="U828" s="211"/>
      <c r="V828" s="84"/>
      <c r="W828" s="211"/>
      <c r="X828" s="211"/>
      <c r="Y828" s="211"/>
      <c r="Z828" s="211"/>
      <c r="AA828" s="84"/>
      <c r="AB828" s="146"/>
      <c r="AC828" s="211"/>
      <c r="AD828" s="211"/>
      <c r="AE828" s="211"/>
      <c r="AF828" s="84"/>
      <c r="AG828" s="146"/>
      <c r="AH828" s="211"/>
      <c r="AI828" s="211"/>
      <c r="AJ828" s="211"/>
      <c r="AK828" s="84"/>
      <c r="AL828" s="146"/>
      <c r="AM828" s="211"/>
      <c r="AN828" s="211"/>
      <c r="AO828" s="211"/>
      <c r="AP828" s="436"/>
      <c r="AQ828" s="146"/>
      <c r="AR828" s="211"/>
      <c r="AS828" s="211"/>
      <c r="AT828" s="211"/>
      <c r="AU828" s="84"/>
      <c r="AV828" s="211"/>
      <c r="AW828" s="211"/>
      <c r="AX828" s="211"/>
      <c r="AY828" s="211"/>
      <c r="AZ828" s="84"/>
      <c r="BA828" s="211"/>
      <c r="BB828" s="211"/>
      <c r="BC828" s="211"/>
      <c r="BD828" s="211"/>
      <c r="BE828" s="84"/>
      <c r="BF828" s="211"/>
      <c r="BG828" s="451"/>
    </row>
    <row r="829" spans="1:59" ht="12.75">
      <c r="A829" s="211"/>
      <c r="B829" s="449"/>
      <c r="C829" s="450"/>
      <c r="D829" s="211"/>
      <c r="E829" s="211"/>
      <c r="F829" s="211"/>
      <c r="G829" s="84"/>
      <c r="H829" s="211"/>
      <c r="I829" s="211"/>
      <c r="J829" s="211"/>
      <c r="K829" s="211"/>
      <c r="L829" s="84"/>
      <c r="M829" s="211"/>
      <c r="N829" s="211"/>
      <c r="O829" s="211"/>
      <c r="P829" s="211"/>
      <c r="Q829" s="84"/>
      <c r="R829" s="211"/>
      <c r="S829" s="211"/>
      <c r="T829" s="211"/>
      <c r="U829" s="211"/>
      <c r="V829" s="84"/>
      <c r="W829" s="211"/>
      <c r="X829" s="211"/>
      <c r="Y829" s="211"/>
      <c r="Z829" s="211"/>
      <c r="AA829" s="84"/>
      <c r="AB829" s="146"/>
      <c r="AC829" s="211"/>
      <c r="AD829" s="211"/>
      <c r="AE829" s="211"/>
      <c r="AF829" s="84"/>
      <c r="AG829" s="146"/>
      <c r="AH829" s="211"/>
      <c r="AI829" s="211"/>
      <c r="AJ829" s="211"/>
      <c r="AK829" s="84"/>
      <c r="AL829" s="146"/>
      <c r="AM829" s="211"/>
      <c r="AN829" s="211"/>
      <c r="AO829" s="211"/>
      <c r="AP829" s="436"/>
      <c r="AQ829" s="146"/>
      <c r="AR829" s="211"/>
      <c r="AS829" s="211"/>
      <c r="AT829" s="211"/>
      <c r="AU829" s="84"/>
      <c r="AV829" s="211"/>
      <c r="AW829" s="211"/>
      <c r="AX829" s="211"/>
      <c r="AY829" s="211"/>
      <c r="AZ829" s="84"/>
      <c r="BA829" s="211"/>
      <c r="BB829" s="211"/>
      <c r="BC829" s="211"/>
      <c r="BD829" s="211"/>
      <c r="BE829" s="84"/>
      <c r="BF829" s="211"/>
      <c r="BG829" s="451"/>
    </row>
    <row r="830" spans="1:59" ht="12.75">
      <c r="A830" s="211"/>
      <c r="B830" s="449"/>
      <c r="C830" s="450"/>
      <c r="D830" s="211"/>
      <c r="E830" s="211"/>
      <c r="F830" s="211"/>
      <c r="G830" s="84"/>
      <c r="H830" s="211"/>
      <c r="I830" s="211"/>
      <c r="J830" s="211"/>
      <c r="K830" s="211"/>
      <c r="L830" s="84"/>
      <c r="M830" s="211"/>
      <c r="N830" s="211"/>
      <c r="O830" s="211"/>
      <c r="P830" s="211"/>
      <c r="Q830" s="84"/>
      <c r="R830" s="211"/>
      <c r="S830" s="211"/>
      <c r="T830" s="211"/>
      <c r="U830" s="211"/>
      <c r="V830" s="84"/>
      <c r="W830" s="211"/>
      <c r="X830" s="211"/>
      <c r="Y830" s="211"/>
      <c r="Z830" s="211"/>
      <c r="AA830" s="84"/>
      <c r="AB830" s="146"/>
      <c r="AC830" s="211"/>
      <c r="AD830" s="211"/>
      <c r="AE830" s="211"/>
      <c r="AF830" s="84"/>
      <c r="AG830" s="146"/>
      <c r="AH830" s="211"/>
      <c r="AI830" s="211"/>
      <c r="AJ830" s="211"/>
      <c r="AK830" s="84"/>
      <c r="AL830" s="146"/>
      <c r="AM830" s="211"/>
      <c r="AN830" s="211"/>
      <c r="AO830" s="211"/>
      <c r="AP830" s="436"/>
      <c r="AQ830" s="146"/>
      <c r="AR830" s="211"/>
      <c r="AS830" s="211"/>
      <c r="AT830" s="211"/>
      <c r="AU830" s="84"/>
      <c r="AV830" s="211"/>
      <c r="AW830" s="211"/>
      <c r="AX830" s="211"/>
      <c r="AY830" s="211"/>
      <c r="AZ830" s="84"/>
      <c r="BA830" s="211"/>
      <c r="BB830" s="211"/>
      <c r="BC830" s="211"/>
      <c r="BD830" s="211"/>
      <c r="BE830" s="84"/>
      <c r="BF830" s="211"/>
      <c r="BG830" s="451"/>
    </row>
    <row r="831" spans="1:59" ht="12.75">
      <c r="A831" s="211"/>
      <c r="B831" s="449"/>
      <c r="C831" s="450"/>
      <c r="D831" s="211"/>
      <c r="E831" s="211"/>
      <c r="F831" s="211"/>
      <c r="G831" s="84"/>
      <c r="H831" s="211"/>
      <c r="I831" s="211"/>
      <c r="J831" s="211"/>
      <c r="K831" s="211"/>
      <c r="L831" s="84"/>
      <c r="M831" s="211"/>
      <c r="N831" s="211"/>
      <c r="O831" s="211"/>
      <c r="P831" s="211"/>
      <c r="Q831" s="84"/>
      <c r="R831" s="211"/>
      <c r="S831" s="211"/>
      <c r="T831" s="211"/>
      <c r="U831" s="211"/>
      <c r="V831" s="84"/>
      <c r="W831" s="211"/>
      <c r="X831" s="211"/>
      <c r="Y831" s="211"/>
      <c r="Z831" s="211"/>
      <c r="AA831" s="84"/>
      <c r="AB831" s="146"/>
      <c r="AC831" s="211"/>
      <c r="AD831" s="211"/>
      <c r="AE831" s="211"/>
      <c r="AF831" s="84"/>
      <c r="AG831" s="146"/>
      <c r="AH831" s="211"/>
      <c r="AI831" s="211"/>
      <c r="AJ831" s="211"/>
      <c r="AK831" s="84"/>
      <c r="AL831" s="146"/>
      <c r="AM831" s="211"/>
      <c r="AN831" s="211"/>
      <c r="AO831" s="211"/>
      <c r="AP831" s="436"/>
      <c r="AQ831" s="146"/>
      <c r="AR831" s="211"/>
      <c r="AS831" s="211"/>
      <c r="AT831" s="211"/>
      <c r="AU831" s="84"/>
      <c r="AV831" s="211"/>
      <c r="AW831" s="211"/>
      <c r="AX831" s="211"/>
      <c r="AY831" s="211"/>
      <c r="AZ831" s="84"/>
      <c r="BA831" s="211"/>
      <c r="BB831" s="211"/>
      <c r="BC831" s="211"/>
      <c r="BD831" s="211"/>
      <c r="BE831" s="84"/>
      <c r="BF831" s="211"/>
      <c r="BG831" s="451"/>
    </row>
    <row r="832" spans="1:59" ht="12.75">
      <c r="A832" s="211"/>
      <c r="B832" s="449"/>
      <c r="C832" s="450"/>
      <c r="D832" s="211"/>
      <c r="E832" s="211"/>
      <c r="F832" s="211"/>
      <c r="G832" s="84"/>
      <c r="H832" s="211"/>
      <c r="I832" s="211"/>
      <c r="J832" s="211"/>
      <c r="K832" s="211"/>
      <c r="L832" s="84"/>
      <c r="M832" s="211"/>
      <c r="N832" s="211"/>
      <c r="O832" s="211"/>
      <c r="P832" s="211"/>
      <c r="Q832" s="84"/>
      <c r="R832" s="211"/>
      <c r="S832" s="211"/>
      <c r="T832" s="211"/>
      <c r="U832" s="211"/>
      <c r="V832" s="84"/>
      <c r="W832" s="211"/>
      <c r="X832" s="211"/>
      <c r="Y832" s="211"/>
      <c r="Z832" s="211"/>
      <c r="AA832" s="84"/>
      <c r="AB832" s="146"/>
      <c r="AC832" s="211"/>
      <c r="AD832" s="211"/>
      <c r="AE832" s="211"/>
      <c r="AF832" s="84"/>
      <c r="AG832" s="146"/>
      <c r="AH832" s="211"/>
      <c r="AI832" s="211"/>
      <c r="AJ832" s="211"/>
      <c r="AK832" s="84"/>
      <c r="AL832" s="146"/>
      <c r="AM832" s="211"/>
      <c r="AN832" s="211"/>
      <c r="AO832" s="211"/>
      <c r="AP832" s="436"/>
      <c r="AQ832" s="146"/>
      <c r="AR832" s="211"/>
      <c r="AS832" s="211"/>
      <c r="AT832" s="211"/>
      <c r="AU832" s="84"/>
      <c r="AV832" s="211"/>
      <c r="AW832" s="211"/>
      <c r="AX832" s="211"/>
      <c r="AY832" s="211"/>
      <c r="AZ832" s="84"/>
      <c r="BA832" s="211"/>
      <c r="BB832" s="211"/>
      <c r="BC832" s="211"/>
      <c r="BD832" s="211"/>
      <c r="BE832" s="84"/>
      <c r="BF832" s="211"/>
      <c r="BG832" s="451"/>
    </row>
    <row r="833" spans="1:59" ht="12.75">
      <c r="A833" s="211"/>
      <c r="B833" s="449"/>
      <c r="C833" s="450"/>
      <c r="D833" s="211"/>
      <c r="E833" s="211"/>
      <c r="F833" s="211"/>
      <c r="G833" s="84"/>
      <c r="H833" s="211"/>
      <c r="I833" s="211"/>
      <c r="J833" s="211"/>
      <c r="K833" s="211"/>
      <c r="L833" s="84"/>
      <c r="M833" s="211"/>
      <c r="N833" s="211"/>
      <c r="O833" s="211"/>
      <c r="P833" s="211"/>
      <c r="Q833" s="84"/>
      <c r="R833" s="211"/>
      <c r="S833" s="211"/>
      <c r="T833" s="211"/>
      <c r="U833" s="211"/>
      <c r="V833" s="84"/>
      <c r="W833" s="211"/>
      <c r="X833" s="211"/>
      <c r="Y833" s="211"/>
      <c r="Z833" s="211"/>
      <c r="AA833" s="84"/>
      <c r="AB833" s="146"/>
      <c r="AC833" s="211"/>
      <c r="AD833" s="211"/>
      <c r="AE833" s="211"/>
      <c r="AF833" s="84"/>
      <c r="AG833" s="146"/>
      <c r="AH833" s="211"/>
      <c r="AI833" s="211"/>
      <c r="AJ833" s="211"/>
      <c r="AK833" s="84"/>
      <c r="AL833" s="146"/>
      <c r="AM833" s="211"/>
      <c r="AN833" s="211"/>
      <c r="AO833" s="211"/>
      <c r="AP833" s="436"/>
      <c r="AQ833" s="146"/>
      <c r="AR833" s="211"/>
      <c r="AS833" s="211"/>
      <c r="AT833" s="211"/>
      <c r="AU833" s="84"/>
      <c r="AV833" s="211"/>
      <c r="AW833" s="211"/>
      <c r="AX833" s="211"/>
      <c r="AY833" s="211"/>
      <c r="AZ833" s="84"/>
      <c r="BA833" s="211"/>
      <c r="BB833" s="211"/>
      <c r="BC833" s="211"/>
      <c r="BD833" s="211"/>
      <c r="BE833" s="84"/>
      <c r="BF833" s="211"/>
      <c r="BG833" s="451"/>
    </row>
    <row r="834" spans="1:59" ht="12.75">
      <c r="A834" s="211"/>
      <c r="B834" s="449"/>
      <c r="C834" s="450"/>
      <c r="D834" s="211"/>
      <c r="E834" s="211"/>
      <c r="F834" s="211"/>
      <c r="G834" s="84"/>
      <c r="H834" s="211"/>
      <c r="I834" s="211"/>
      <c r="J834" s="211"/>
      <c r="K834" s="211"/>
      <c r="L834" s="84"/>
      <c r="M834" s="211"/>
      <c r="N834" s="211"/>
      <c r="O834" s="211"/>
      <c r="P834" s="211"/>
      <c r="Q834" s="84"/>
      <c r="R834" s="211"/>
      <c r="S834" s="211"/>
      <c r="T834" s="211"/>
      <c r="U834" s="211"/>
      <c r="V834" s="84"/>
      <c r="W834" s="211"/>
      <c r="X834" s="211"/>
      <c r="Y834" s="211"/>
      <c r="Z834" s="211"/>
      <c r="AA834" s="84"/>
      <c r="AB834" s="146"/>
      <c r="AC834" s="211"/>
      <c r="AD834" s="211"/>
      <c r="AE834" s="211"/>
      <c r="AF834" s="84"/>
      <c r="AG834" s="146"/>
      <c r="AH834" s="211"/>
      <c r="AI834" s="211"/>
      <c r="AJ834" s="211"/>
      <c r="AK834" s="84"/>
      <c r="AL834" s="146"/>
      <c r="AM834" s="211"/>
      <c r="AN834" s="211"/>
      <c r="AO834" s="211"/>
      <c r="AP834" s="436"/>
      <c r="AQ834" s="146"/>
      <c r="AR834" s="211"/>
      <c r="AS834" s="211"/>
      <c r="AT834" s="211"/>
      <c r="AU834" s="84"/>
      <c r="AV834" s="211"/>
      <c r="AW834" s="211"/>
      <c r="AX834" s="211"/>
      <c r="AY834" s="211"/>
      <c r="AZ834" s="84"/>
      <c r="BA834" s="211"/>
      <c r="BB834" s="211"/>
      <c r="BC834" s="211"/>
      <c r="BD834" s="211"/>
      <c r="BE834" s="84"/>
      <c r="BF834" s="211"/>
      <c r="BG834" s="451"/>
    </row>
    <row r="835" spans="1:59" ht="12.75">
      <c r="A835" s="211"/>
      <c r="B835" s="449"/>
      <c r="C835" s="450"/>
      <c r="D835" s="211"/>
      <c r="E835" s="211"/>
      <c r="F835" s="211"/>
      <c r="G835" s="84"/>
      <c r="H835" s="211"/>
      <c r="I835" s="211"/>
      <c r="J835" s="211"/>
      <c r="K835" s="211"/>
      <c r="L835" s="84"/>
      <c r="M835" s="211"/>
      <c r="N835" s="211"/>
      <c r="O835" s="211"/>
      <c r="P835" s="211"/>
      <c r="Q835" s="84"/>
      <c r="R835" s="211"/>
      <c r="S835" s="211"/>
      <c r="T835" s="211"/>
      <c r="U835" s="211"/>
      <c r="V835" s="84"/>
      <c r="W835" s="211"/>
      <c r="X835" s="211"/>
      <c r="Y835" s="211"/>
      <c r="Z835" s="211"/>
      <c r="AA835" s="84"/>
      <c r="AB835" s="146"/>
      <c r="AC835" s="211"/>
      <c r="AD835" s="211"/>
      <c r="AE835" s="211"/>
      <c r="AF835" s="84"/>
      <c r="AG835" s="146"/>
      <c r="AH835" s="211"/>
      <c r="AI835" s="211"/>
      <c r="AJ835" s="211"/>
      <c r="AK835" s="84"/>
      <c r="AL835" s="146"/>
      <c r="AM835" s="211"/>
      <c r="AN835" s="211"/>
      <c r="AO835" s="211"/>
      <c r="AP835" s="436"/>
      <c r="AQ835" s="146"/>
      <c r="AR835" s="211"/>
      <c r="AS835" s="211"/>
      <c r="AT835" s="211"/>
      <c r="AU835" s="84"/>
      <c r="AV835" s="211"/>
      <c r="AW835" s="211"/>
      <c r="AX835" s="211"/>
      <c r="AY835" s="211"/>
      <c r="AZ835" s="84"/>
      <c r="BA835" s="211"/>
      <c r="BB835" s="211"/>
      <c r="BC835" s="211"/>
      <c r="BD835" s="211"/>
      <c r="BE835" s="84"/>
      <c r="BF835" s="211"/>
      <c r="BG835" s="451"/>
    </row>
    <row r="836" spans="1:59" ht="12.75">
      <c r="A836" s="211"/>
      <c r="B836" s="449"/>
      <c r="C836" s="450"/>
      <c r="D836" s="211"/>
      <c r="E836" s="211"/>
      <c r="F836" s="211"/>
      <c r="G836" s="84"/>
      <c r="H836" s="211"/>
      <c r="I836" s="211"/>
      <c r="J836" s="211"/>
      <c r="K836" s="211"/>
      <c r="L836" s="84"/>
      <c r="M836" s="211"/>
      <c r="N836" s="211"/>
      <c r="O836" s="211"/>
      <c r="P836" s="211"/>
      <c r="Q836" s="84"/>
      <c r="R836" s="211"/>
      <c r="S836" s="211"/>
      <c r="T836" s="211"/>
      <c r="U836" s="211"/>
      <c r="V836" s="84"/>
      <c r="W836" s="211"/>
      <c r="X836" s="211"/>
      <c r="Y836" s="211"/>
      <c r="Z836" s="211"/>
      <c r="AA836" s="84"/>
      <c r="AB836" s="146"/>
      <c r="AC836" s="211"/>
      <c r="AD836" s="211"/>
      <c r="AE836" s="211"/>
      <c r="AF836" s="84"/>
      <c r="AG836" s="146"/>
      <c r="AH836" s="211"/>
      <c r="AI836" s="211"/>
      <c r="AJ836" s="211"/>
      <c r="AK836" s="84"/>
      <c r="AL836" s="146"/>
      <c r="AM836" s="211"/>
      <c r="AN836" s="211"/>
      <c r="AO836" s="211"/>
      <c r="AP836" s="436"/>
      <c r="AQ836" s="146"/>
      <c r="AR836" s="211"/>
      <c r="AS836" s="211"/>
      <c r="AT836" s="211"/>
      <c r="AU836" s="84"/>
      <c r="AV836" s="211"/>
      <c r="AW836" s="211"/>
      <c r="AX836" s="211"/>
      <c r="AY836" s="211"/>
      <c r="AZ836" s="84"/>
      <c r="BA836" s="211"/>
      <c r="BB836" s="211"/>
      <c r="BC836" s="211"/>
      <c r="BD836" s="211"/>
      <c r="BE836" s="84"/>
      <c r="BF836" s="211"/>
      <c r="BG836" s="451"/>
    </row>
    <row r="837" spans="1:59" ht="12.75">
      <c r="A837" s="211"/>
      <c r="B837" s="449"/>
      <c r="C837" s="450"/>
      <c r="D837" s="211"/>
      <c r="E837" s="211"/>
      <c r="F837" s="211"/>
      <c r="G837" s="84"/>
      <c r="H837" s="211"/>
      <c r="I837" s="211"/>
      <c r="J837" s="211"/>
      <c r="K837" s="211"/>
      <c r="L837" s="84"/>
      <c r="M837" s="211"/>
      <c r="N837" s="211"/>
      <c r="O837" s="211"/>
      <c r="P837" s="211"/>
      <c r="Q837" s="84"/>
      <c r="R837" s="211"/>
      <c r="S837" s="211"/>
      <c r="T837" s="211"/>
      <c r="U837" s="211"/>
      <c r="V837" s="84"/>
      <c r="W837" s="211"/>
      <c r="X837" s="211"/>
      <c r="Y837" s="211"/>
      <c r="Z837" s="211"/>
      <c r="AA837" s="84"/>
      <c r="AB837" s="146"/>
      <c r="AC837" s="211"/>
      <c r="AD837" s="211"/>
      <c r="AE837" s="211"/>
      <c r="AF837" s="84"/>
      <c r="AG837" s="146"/>
      <c r="AH837" s="211"/>
      <c r="AI837" s="211"/>
      <c r="AJ837" s="211"/>
      <c r="AK837" s="84"/>
      <c r="AL837" s="146"/>
      <c r="AM837" s="211"/>
      <c r="AN837" s="211"/>
      <c r="AO837" s="211"/>
      <c r="AP837" s="436"/>
      <c r="AQ837" s="146"/>
      <c r="AR837" s="211"/>
      <c r="AS837" s="211"/>
      <c r="AT837" s="211"/>
      <c r="AU837" s="84"/>
      <c r="AV837" s="211"/>
      <c r="AW837" s="211"/>
      <c r="AX837" s="211"/>
      <c r="AY837" s="211"/>
      <c r="AZ837" s="84"/>
      <c r="BA837" s="211"/>
      <c r="BB837" s="211"/>
      <c r="BC837" s="211"/>
      <c r="BD837" s="211"/>
      <c r="BE837" s="84"/>
      <c r="BF837" s="211"/>
      <c r="BG837" s="451"/>
    </row>
    <row r="838" spans="1:59" ht="12.75">
      <c r="A838" s="211"/>
      <c r="B838" s="449"/>
      <c r="C838" s="450"/>
      <c r="D838" s="211"/>
      <c r="E838" s="211"/>
      <c r="F838" s="211"/>
      <c r="G838" s="84"/>
      <c r="H838" s="211"/>
      <c r="I838" s="211"/>
      <c r="J838" s="211"/>
      <c r="K838" s="211"/>
      <c r="L838" s="84"/>
      <c r="M838" s="211"/>
      <c r="N838" s="211"/>
      <c r="O838" s="211"/>
      <c r="P838" s="211"/>
      <c r="Q838" s="84"/>
      <c r="R838" s="211"/>
      <c r="S838" s="211"/>
      <c r="T838" s="211"/>
      <c r="U838" s="211"/>
      <c r="V838" s="84"/>
      <c r="W838" s="211"/>
      <c r="X838" s="211"/>
      <c r="Y838" s="211"/>
      <c r="Z838" s="211"/>
      <c r="AA838" s="84"/>
      <c r="AB838" s="146"/>
      <c r="AC838" s="211"/>
      <c r="AD838" s="211"/>
      <c r="AE838" s="211"/>
      <c r="AF838" s="84"/>
      <c r="AG838" s="146"/>
      <c r="AH838" s="211"/>
      <c r="AI838" s="211"/>
      <c r="AJ838" s="211"/>
      <c r="AK838" s="84"/>
      <c r="AL838" s="146"/>
      <c r="AM838" s="211"/>
      <c r="AN838" s="211"/>
      <c r="AO838" s="211"/>
      <c r="AP838" s="436"/>
      <c r="AQ838" s="146"/>
      <c r="AR838" s="211"/>
      <c r="AS838" s="211"/>
      <c r="AT838" s="211"/>
      <c r="AU838" s="84"/>
      <c r="AV838" s="211"/>
      <c r="AW838" s="211"/>
      <c r="AX838" s="211"/>
      <c r="AY838" s="211"/>
      <c r="AZ838" s="84"/>
      <c r="BA838" s="211"/>
      <c r="BB838" s="211"/>
      <c r="BC838" s="211"/>
      <c r="BD838" s="211"/>
      <c r="BE838" s="84"/>
      <c r="BF838" s="211"/>
      <c r="BG838" s="451"/>
    </row>
    <row r="839" spans="1:59" ht="12.75">
      <c r="A839" s="211"/>
      <c r="B839" s="449"/>
      <c r="C839" s="450"/>
      <c r="D839" s="211"/>
      <c r="E839" s="211"/>
      <c r="F839" s="211"/>
      <c r="G839" s="84"/>
      <c r="H839" s="211"/>
      <c r="I839" s="211"/>
      <c r="J839" s="211"/>
      <c r="K839" s="211"/>
      <c r="L839" s="84"/>
      <c r="M839" s="211"/>
      <c r="N839" s="211"/>
      <c r="O839" s="211"/>
      <c r="P839" s="211"/>
      <c r="Q839" s="84"/>
      <c r="R839" s="211"/>
      <c r="S839" s="211"/>
      <c r="T839" s="211"/>
      <c r="U839" s="211"/>
      <c r="V839" s="84"/>
      <c r="W839" s="211"/>
      <c r="X839" s="211"/>
      <c r="Y839" s="211"/>
      <c r="Z839" s="211"/>
      <c r="AA839" s="84"/>
      <c r="AB839" s="146"/>
      <c r="AC839" s="211"/>
      <c r="AD839" s="211"/>
      <c r="AE839" s="211"/>
      <c r="AF839" s="84"/>
      <c r="AG839" s="146"/>
      <c r="AH839" s="211"/>
      <c r="AI839" s="211"/>
      <c r="AJ839" s="211"/>
      <c r="AK839" s="84"/>
      <c r="AL839" s="146"/>
      <c r="AM839" s="211"/>
      <c r="AN839" s="211"/>
      <c r="AO839" s="211"/>
      <c r="AP839" s="436"/>
      <c r="AQ839" s="146"/>
      <c r="AR839" s="211"/>
      <c r="AS839" s="211"/>
      <c r="AT839" s="211"/>
      <c r="AU839" s="84"/>
      <c r="AV839" s="211"/>
      <c r="AW839" s="211"/>
      <c r="AX839" s="211"/>
      <c r="AY839" s="211"/>
      <c r="AZ839" s="84"/>
      <c r="BA839" s="211"/>
      <c r="BB839" s="211"/>
      <c r="BC839" s="211"/>
      <c r="BD839" s="211"/>
      <c r="BE839" s="84"/>
      <c r="BF839" s="211"/>
      <c r="BG839" s="451"/>
    </row>
    <row r="840" spans="1:59" ht="12.75">
      <c r="A840" s="211"/>
      <c r="B840" s="449"/>
      <c r="C840" s="450"/>
      <c r="D840" s="211"/>
      <c r="E840" s="211"/>
      <c r="F840" s="211"/>
      <c r="G840" s="84"/>
      <c r="H840" s="211"/>
      <c r="I840" s="211"/>
      <c r="J840" s="211"/>
      <c r="K840" s="211"/>
      <c r="L840" s="84"/>
      <c r="M840" s="211"/>
      <c r="N840" s="211"/>
      <c r="O840" s="211"/>
      <c r="P840" s="211"/>
      <c r="Q840" s="84"/>
      <c r="R840" s="211"/>
      <c r="S840" s="211"/>
      <c r="T840" s="211"/>
      <c r="U840" s="211"/>
      <c r="V840" s="84"/>
      <c r="W840" s="211"/>
      <c r="X840" s="211"/>
      <c r="Y840" s="211"/>
      <c r="Z840" s="211"/>
      <c r="AA840" s="84"/>
      <c r="AB840" s="146"/>
      <c r="AC840" s="211"/>
      <c r="AD840" s="211"/>
      <c r="AE840" s="211"/>
      <c r="AF840" s="84"/>
      <c r="AG840" s="146"/>
      <c r="AH840" s="211"/>
      <c r="AI840" s="211"/>
      <c r="AJ840" s="211"/>
      <c r="AK840" s="84"/>
      <c r="AL840" s="146"/>
      <c r="AM840" s="211"/>
      <c r="AN840" s="211"/>
      <c r="AO840" s="211"/>
      <c r="AP840" s="436"/>
      <c r="AQ840" s="146"/>
      <c r="AR840" s="211"/>
      <c r="AS840" s="211"/>
      <c r="AT840" s="211"/>
      <c r="AU840" s="84"/>
      <c r="AV840" s="211"/>
      <c r="AW840" s="211"/>
      <c r="AX840" s="211"/>
      <c r="AY840" s="211"/>
      <c r="AZ840" s="84"/>
      <c r="BA840" s="211"/>
      <c r="BB840" s="211"/>
      <c r="BC840" s="211"/>
      <c r="BD840" s="211"/>
      <c r="BE840" s="84"/>
      <c r="BF840" s="211"/>
      <c r="BG840" s="451"/>
    </row>
    <row r="841" spans="1:59" ht="12.75">
      <c r="A841" s="211"/>
      <c r="B841" s="449"/>
      <c r="C841" s="450"/>
      <c r="D841" s="211"/>
      <c r="E841" s="211"/>
      <c r="F841" s="211"/>
      <c r="G841" s="84"/>
      <c r="H841" s="211"/>
      <c r="I841" s="211"/>
      <c r="J841" s="211"/>
      <c r="K841" s="211"/>
      <c r="L841" s="84"/>
      <c r="M841" s="211"/>
      <c r="N841" s="211"/>
      <c r="O841" s="211"/>
      <c r="P841" s="211"/>
      <c r="Q841" s="84"/>
      <c r="R841" s="211"/>
      <c r="S841" s="211"/>
      <c r="T841" s="211"/>
      <c r="U841" s="211"/>
      <c r="V841" s="84"/>
      <c r="W841" s="211"/>
      <c r="X841" s="211"/>
      <c r="Y841" s="211"/>
      <c r="Z841" s="211"/>
      <c r="AA841" s="84"/>
      <c r="AB841" s="146"/>
      <c r="AC841" s="211"/>
      <c r="AD841" s="211"/>
      <c r="AE841" s="211"/>
      <c r="AF841" s="84"/>
      <c r="AG841" s="146"/>
      <c r="AH841" s="211"/>
      <c r="AI841" s="211"/>
      <c r="AJ841" s="211"/>
      <c r="AK841" s="84"/>
      <c r="AL841" s="146"/>
      <c r="AM841" s="211"/>
      <c r="AN841" s="211"/>
      <c r="AO841" s="211"/>
      <c r="AP841" s="436"/>
      <c r="AQ841" s="146"/>
      <c r="AR841" s="211"/>
      <c r="AS841" s="211"/>
      <c r="AT841" s="211"/>
      <c r="AU841" s="84"/>
      <c r="AV841" s="211"/>
      <c r="AW841" s="211"/>
      <c r="AX841" s="211"/>
      <c r="AY841" s="211"/>
      <c r="AZ841" s="84"/>
      <c r="BA841" s="211"/>
      <c r="BB841" s="211"/>
      <c r="BC841" s="211"/>
      <c r="BD841" s="211"/>
      <c r="BE841" s="84"/>
      <c r="BF841" s="211"/>
      <c r="BG841" s="451"/>
    </row>
    <row r="842" spans="1:59" ht="12.75">
      <c r="A842" s="211"/>
      <c r="B842" s="449"/>
      <c r="C842" s="450"/>
      <c r="D842" s="211"/>
      <c r="E842" s="211"/>
      <c r="F842" s="211"/>
      <c r="G842" s="84"/>
      <c r="H842" s="211"/>
      <c r="I842" s="211"/>
      <c r="J842" s="211"/>
      <c r="K842" s="211"/>
      <c r="L842" s="84"/>
      <c r="M842" s="211"/>
      <c r="N842" s="211"/>
      <c r="O842" s="211"/>
      <c r="P842" s="211"/>
      <c r="Q842" s="84"/>
      <c r="R842" s="211"/>
      <c r="S842" s="211"/>
      <c r="T842" s="211"/>
      <c r="U842" s="211"/>
      <c r="V842" s="84"/>
      <c r="W842" s="211"/>
      <c r="X842" s="211"/>
      <c r="Y842" s="211"/>
      <c r="Z842" s="211"/>
      <c r="AA842" s="84"/>
      <c r="AB842" s="146"/>
      <c r="AC842" s="211"/>
      <c r="AD842" s="211"/>
      <c r="AE842" s="211"/>
      <c r="AF842" s="84"/>
      <c r="AG842" s="146"/>
      <c r="AH842" s="211"/>
      <c r="AI842" s="211"/>
      <c r="AJ842" s="211"/>
      <c r="AK842" s="84"/>
      <c r="AL842" s="146"/>
      <c r="AM842" s="211"/>
      <c r="AN842" s="211"/>
      <c r="AO842" s="211"/>
      <c r="AP842" s="436"/>
      <c r="AQ842" s="146"/>
      <c r="AR842" s="211"/>
      <c r="AS842" s="211"/>
      <c r="AT842" s="211"/>
      <c r="AU842" s="84"/>
      <c r="AV842" s="211"/>
      <c r="AW842" s="211"/>
      <c r="AX842" s="211"/>
      <c r="AY842" s="211"/>
      <c r="AZ842" s="84"/>
      <c r="BA842" s="211"/>
      <c r="BB842" s="211"/>
      <c r="BC842" s="211"/>
      <c r="BD842" s="211"/>
      <c r="BE842" s="84"/>
      <c r="BF842" s="211"/>
      <c r="BG842" s="451"/>
    </row>
    <row r="843" spans="1:59" ht="12.75">
      <c r="A843" s="211"/>
      <c r="B843" s="449"/>
      <c r="C843" s="450"/>
      <c r="D843" s="211"/>
      <c r="E843" s="211"/>
      <c r="F843" s="211"/>
      <c r="G843" s="84"/>
      <c r="H843" s="211"/>
      <c r="I843" s="211"/>
      <c r="J843" s="211"/>
      <c r="K843" s="211"/>
      <c r="L843" s="84"/>
      <c r="M843" s="211"/>
      <c r="N843" s="211"/>
      <c r="O843" s="211"/>
      <c r="P843" s="211"/>
      <c r="Q843" s="84"/>
      <c r="R843" s="211"/>
      <c r="S843" s="211"/>
      <c r="T843" s="211"/>
      <c r="U843" s="211"/>
      <c r="V843" s="84"/>
      <c r="W843" s="211"/>
      <c r="X843" s="211"/>
      <c r="Y843" s="211"/>
      <c r="Z843" s="211"/>
      <c r="AA843" s="84"/>
      <c r="AB843" s="146"/>
      <c r="AC843" s="211"/>
      <c r="AD843" s="211"/>
      <c r="AE843" s="211"/>
      <c r="AF843" s="84"/>
      <c r="AG843" s="146"/>
      <c r="AH843" s="211"/>
      <c r="AI843" s="211"/>
      <c r="AJ843" s="211"/>
      <c r="AK843" s="84"/>
      <c r="AL843" s="146"/>
      <c r="AM843" s="211"/>
      <c r="AN843" s="211"/>
      <c r="AO843" s="211"/>
      <c r="AP843" s="436"/>
      <c r="AQ843" s="146"/>
      <c r="AR843" s="211"/>
      <c r="AS843" s="211"/>
      <c r="AT843" s="211"/>
      <c r="AU843" s="84"/>
      <c r="AV843" s="211"/>
      <c r="AW843" s="211"/>
      <c r="AX843" s="211"/>
      <c r="AY843" s="211"/>
      <c r="AZ843" s="84"/>
      <c r="BA843" s="211"/>
      <c r="BB843" s="211"/>
      <c r="BC843" s="211"/>
      <c r="BD843" s="211"/>
      <c r="BE843" s="84"/>
      <c r="BF843" s="211"/>
      <c r="BG843" s="451"/>
    </row>
    <row r="844" spans="1:59" ht="12.75">
      <c r="A844" s="211"/>
      <c r="B844" s="449"/>
      <c r="C844" s="450"/>
      <c r="D844" s="211"/>
      <c r="E844" s="211"/>
      <c r="F844" s="211"/>
      <c r="G844" s="84"/>
      <c r="H844" s="211"/>
      <c r="I844" s="211"/>
      <c r="J844" s="211"/>
      <c r="K844" s="211"/>
      <c r="L844" s="84"/>
      <c r="M844" s="211"/>
      <c r="N844" s="211"/>
      <c r="O844" s="211"/>
      <c r="P844" s="211"/>
      <c r="Q844" s="84"/>
      <c r="R844" s="211"/>
      <c r="S844" s="211"/>
      <c r="T844" s="211"/>
      <c r="U844" s="211"/>
      <c r="V844" s="84"/>
      <c r="W844" s="211"/>
      <c r="X844" s="211"/>
      <c r="Y844" s="211"/>
      <c r="Z844" s="211"/>
      <c r="AA844" s="84"/>
      <c r="AB844" s="146"/>
      <c r="AC844" s="211"/>
      <c r="AD844" s="211"/>
      <c r="AE844" s="211"/>
      <c r="AF844" s="84"/>
      <c r="AG844" s="146"/>
      <c r="AH844" s="211"/>
      <c r="AI844" s="211"/>
      <c r="AJ844" s="211"/>
      <c r="AK844" s="84"/>
      <c r="AL844" s="146"/>
      <c r="AM844" s="211"/>
      <c r="AN844" s="211"/>
      <c r="AO844" s="211"/>
      <c r="AP844" s="436"/>
      <c r="AQ844" s="146"/>
      <c r="AR844" s="211"/>
      <c r="AS844" s="211"/>
      <c r="AT844" s="211"/>
      <c r="AU844" s="84"/>
      <c r="AV844" s="211"/>
      <c r="AW844" s="211"/>
      <c r="AX844" s="211"/>
      <c r="AY844" s="211"/>
      <c r="AZ844" s="84"/>
      <c r="BA844" s="211"/>
      <c r="BB844" s="211"/>
      <c r="BC844" s="211"/>
      <c r="BD844" s="211"/>
      <c r="BE844" s="84"/>
      <c r="BF844" s="211"/>
      <c r="BG844" s="451"/>
    </row>
    <row r="845" spans="1:59" ht="12.75">
      <c r="A845" s="211"/>
      <c r="B845" s="449"/>
      <c r="C845" s="450"/>
      <c r="D845" s="211"/>
      <c r="E845" s="211"/>
      <c r="F845" s="211"/>
      <c r="G845" s="84"/>
      <c r="H845" s="211"/>
      <c r="I845" s="211"/>
      <c r="J845" s="211"/>
      <c r="K845" s="211"/>
      <c r="L845" s="84"/>
      <c r="M845" s="211"/>
      <c r="N845" s="211"/>
      <c r="O845" s="211"/>
      <c r="P845" s="211"/>
      <c r="Q845" s="84"/>
      <c r="R845" s="211"/>
      <c r="S845" s="211"/>
      <c r="T845" s="211"/>
      <c r="U845" s="211"/>
      <c r="V845" s="84"/>
      <c r="W845" s="211"/>
      <c r="X845" s="211"/>
      <c r="Y845" s="211"/>
      <c r="Z845" s="211"/>
      <c r="AA845" s="84"/>
      <c r="AB845" s="146"/>
      <c r="AC845" s="211"/>
      <c r="AD845" s="211"/>
      <c r="AE845" s="211"/>
      <c r="AF845" s="84"/>
      <c r="AG845" s="146"/>
      <c r="AH845" s="211"/>
      <c r="AI845" s="211"/>
      <c r="AJ845" s="211"/>
      <c r="AK845" s="84"/>
      <c r="AL845" s="146"/>
      <c r="AM845" s="211"/>
      <c r="AN845" s="211"/>
      <c r="AO845" s="211"/>
      <c r="AP845" s="436"/>
      <c r="AQ845" s="146"/>
      <c r="AR845" s="211"/>
      <c r="AS845" s="211"/>
      <c r="AT845" s="211"/>
      <c r="AU845" s="84"/>
      <c r="AV845" s="211"/>
      <c r="AW845" s="211"/>
      <c r="AX845" s="211"/>
      <c r="AY845" s="211"/>
      <c r="AZ845" s="84"/>
      <c r="BA845" s="211"/>
      <c r="BB845" s="211"/>
      <c r="BC845" s="211"/>
      <c r="BD845" s="211"/>
      <c r="BE845" s="84"/>
      <c r="BF845" s="211"/>
      <c r="BG845" s="451"/>
    </row>
    <row r="846" spans="1:59" ht="12.75">
      <c r="A846" s="211"/>
      <c r="B846" s="449"/>
      <c r="C846" s="450"/>
      <c r="D846" s="211"/>
      <c r="E846" s="211"/>
      <c r="F846" s="211"/>
      <c r="G846" s="84"/>
      <c r="H846" s="211"/>
      <c r="I846" s="211"/>
      <c r="J846" s="211"/>
      <c r="K846" s="211"/>
      <c r="L846" s="84"/>
      <c r="M846" s="211"/>
      <c r="N846" s="211"/>
      <c r="O846" s="211"/>
      <c r="P846" s="211"/>
      <c r="Q846" s="84"/>
      <c r="R846" s="211"/>
      <c r="S846" s="211"/>
      <c r="T846" s="211"/>
      <c r="U846" s="211"/>
      <c r="V846" s="84"/>
      <c r="W846" s="211"/>
      <c r="X846" s="211"/>
      <c r="Y846" s="211"/>
      <c r="Z846" s="211"/>
      <c r="AA846" s="84"/>
      <c r="AB846" s="146"/>
      <c r="AC846" s="211"/>
      <c r="AD846" s="211"/>
      <c r="AE846" s="211"/>
      <c r="AF846" s="84"/>
      <c r="AG846" s="146"/>
      <c r="AH846" s="211"/>
      <c r="AI846" s="211"/>
      <c r="AJ846" s="211"/>
      <c r="AK846" s="84"/>
      <c r="AL846" s="146"/>
      <c r="AM846" s="211"/>
      <c r="AN846" s="211"/>
      <c r="AO846" s="211"/>
      <c r="AP846" s="436"/>
      <c r="AQ846" s="146"/>
      <c r="AR846" s="211"/>
      <c r="AS846" s="211"/>
      <c r="AT846" s="211"/>
      <c r="AU846" s="84"/>
      <c r="AV846" s="211"/>
      <c r="AW846" s="211"/>
      <c r="AX846" s="211"/>
      <c r="AY846" s="211"/>
      <c r="AZ846" s="84"/>
      <c r="BA846" s="211"/>
      <c r="BB846" s="211"/>
      <c r="BC846" s="211"/>
      <c r="BD846" s="211"/>
      <c r="BE846" s="84"/>
      <c r="BF846" s="211"/>
      <c r="BG846" s="451"/>
    </row>
    <row r="847" spans="1:59" ht="12.75">
      <c r="A847" s="211"/>
      <c r="B847" s="449"/>
      <c r="C847" s="450"/>
      <c r="D847" s="211"/>
      <c r="E847" s="211"/>
      <c r="F847" s="211"/>
      <c r="G847" s="84"/>
      <c r="H847" s="211"/>
      <c r="I847" s="211"/>
      <c r="J847" s="211"/>
      <c r="K847" s="211"/>
      <c r="L847" s="84"/>
      <c r="M847" s="211"/>
      <c r="N847" s="211"/>
      <c r="O847" s="211"/>
      <c r="P847" s="211"/>
      <c r="Q847" s="84"/>
      <c r="R847" s="211"/>
      <c r="S847" s="211"/>
      <c r="T847" s="211"/>
      <c r="U847" s="211"/>
      <c r="V847" s="84"/>
      <c r="W847" s="211"/>
      <c r="X847" s="211"/>
      <c r="Y847" s="211"/>
      <c r="Z847" s="211"/>
      <c r="AA847" s="84"/>
      <c r="AB847" s="146"/>
      <c r="AC847" s="211"/>
      <c r="AD847" s="211"/>
      <c r="AE847" s="211"/>
      <c r="AF847" s="84"/>
      <c r="AG847" s="146"/>
      <c r="AH847" s="211"/>
      <c r="AI847" s="211"/>
      <c r="AJ847" s="211"/>
      <c r="AK847" s="84"/>
      <c r="AL847" s="146"/>
      <c r="AM847" s="211"/>
      <c r="AN847" s="211"/>
      <c r="AO847" s="211"/>
      <c r="AP847" s="436"/>
      <c r="AQ847" s="146"/>
      <c r="AR847" s="211"/>
      <c r="AS847" s="211"/>
      <c r="AT847" s="211"/>
      <c r="AU847" s="84"/>
      <c r="AV847" s="211"/>
      <c r="AW847" s="211"/>
      <c r="AX847" s="211"/>
      <c r="AY847" s="211"/>
      <c r="AZ847" s="84"/>
      <c r="BA847" s="211"/>
      <c r="BB847" s="211"/>
      <c r="BC847" s="211"/>
      <c r="BD847" s="211"/>
      <c r="BE847" s="84"/>
      <c r="BF847" s="211"/>
      <c r="BG847" s="451"/>
    </row>
    <row r="848" spans="1:59" ht="12.75">
      <c r="A848" s="211"/>
      <c r="B848" s="449"/>
      <c r="C848" s="450"/>
      <c r="D848" s="211"/>
      <c r="E848" s="211"/>
      <c r="F848" s="211"/>
      <c r="G848" s="84"/>
      <c r="H848" s="211"/>
      <c r="I848" s="211"/>
      <c r="J848" s="211"/>
      <c r="K848" s="211"/>
      <c r="L848" s="84"/>
      <c r="M848" s="211"/>
      <c r="N848" s="211"/>
      <c r="O848" s="211"/>
      <c r="P848" s="211"/>
      <c r="Q848" s="84"/>
      <c r="R848" s="211"/>
      <c r="S848" s="211"/>
      <c r="T848" s="211"/>
      <c r="U848" s="211"/>
      <c r="V848" s="84"/>
      <c r="W848" s="211"/>
      <c r="X848" s="211"/>
      <c r="Y848" s="211"/>
      <c r="Z848" s="211"/>
      <c r="AA848" s="84"/>
      <c r="AB848" s="146"/>
      <c r="AC848" s="211"/>
      <c r="AD848" s="211"/>
      <c r="AE848" s="211"/>
      <c r="AF848" s="84"/>
      <c r="AG848" s="146"/>
      <c r="AH848" s="211"/>
      <c r="AI848" s="211"/>
      <c r="AJ848" s="211"/>
      <c r="AK848" s="84"/>
      <c r="AL848" s="146"/>
      <c r="AM848" s="211"/>
      <c r="AN848" s="211"/>
      <c r="AO848" s="211"/>
      <c r="AP848" s="436"/>
      <c r="AQ848" s="146"/>
      <c r="AR848" s="211"/>
      <c r="AS848" s="211"/>
      <c r="AT848" s="211"/>
      <c r="AU848" s="84"/>
      <c r="AV848" s="211"/>
      <c r="AW848" s="211"/>
      <c r="AX848" s="211"/>
      <c r="AY848" s="211"/>
      <c r="AZ848" s="84"/>
      <c r="BA848" s="211"/>
      <c r="BB848" s="211"/>
      <c r="BC848" s="211"/>
      <c r="BD848" s="211"/>
      <c r="BE848" s="84"/>
      <c r="BF848" s="211"/>
      <c r="BG848" s="451"/>
    </row>
    <row r="849" spans="1:59" ht="12.75">
      <c r="A849" s="211"/>
      <c r="B849" s="449"/>
      <c r="C849" s="450"/>
      <c r="D849" s="211"/>
      <c r="E849" s="211"/>
      <c r="F849" s="211"/>
      <c r="G849" s="84"/>
      <c r="H849" s="211"/>
      <c r="I849" s="211"/>
      <c r="J849" s="211"/>
      <c r="K849" s="211"/>
      <c r="L849" s="84"/>
      <c r="M849" s="211"/>
      <c r="N849" s="211"/>
      <c r="O849" s="211"/>
      <c r="P849" s="211"/>
      <c r="Q849" s="84"/>
      <c r="R849" s="211"/>
      <c r="S849" s="211"/>
      <c r="T849" s="211"/>
      <c r="U849" s="211"/>
      <c r="V849" s="84"/>
      <c r="W849" s="211"/>
      <c r="X849" s="211"/>
      <c r="Y849" s="211"/>
      <c r="Z849" s="211"/>
      <c r="AA849" s="84"/>
      <c r="AB849" s="146"/>
      <c r="AC849" s="211"/>
      <c r="AD849" s="211"/>
      <c r="AE849" s="211"/>
      <c r="AF849" s="84"/>
      <c r="AG849" s="146"/>
      <c r="AH849" s="211"/>
      <c r="AI849" s="211"/>
      <c r="AJ849" s="211"/>
      <c r="AK849" s="84"/>
      <c r="AL849" s="146"/>
      <c r="AM849" s="211"/>
      <c r="AN849" s="211"/>
      <c r="AO849" s="211"/>
      <c r="AP849" s="436"/>
      <c r="AQ849" s="146"/>
      <c r="AR849" s="211"/>
      <c r="AS849" s="211"/>
      <c r="AT849" s="211"/>
      <c r="AU849" s="84"/>
      <c r="AV849" s="211"/>
      <c r="AW849" s="211"/>
      <c r="AX849" s="211"/>
      <c r="AY849" s="211"/>
      <c r="AZ849" s="84"/>
      <c r="BA849" s="211"/>
      <c r="BB849" s="211"/>
      <c r="BC849" s="211"/>
      <c r="BD849" s="211"/>
      <c r="BE849" s="84"/>
      <c r="BF849" s="211"/>
      <c r="BG849" s="451"/>
    </row>
    <row r="850" spans="1:59" ht="12.75">
      <c r="A850" s="211"/>
      <c r="B850" s="449"/>
      <c r="C850" s="450"/>
      <c r="D850" s="211"/>
      <c r="E850" s="211"/>
      <c r="F850" s="211"/>
      <c r="G850" s="84"/>
      <c r="H850" s="211"/>
      <c r="I850" s="211"/>
      <c r="J850" s="211"/>
      <c r="K850" s="211"/>
      <c r="L850" s="84"/>
      <c r="M850" s="211"/>
      <c r="N850" s="211"/>
      <c r="O850" s="211"/>
      <c r="P850" s="211"/>
      <c r="Q850" s="84"/>
      <c r="R850" s="211"/>
      <c r="S850" s="211"/>
      <c r="T850" s="211"/>
      <c r="U850" s="211"/>
      <c r="V850" s="84"/>
      <c r="W850" s="211"/>
      <c r="X850" s="211"/>
      <c r="Y850" s="211"/>
      <c r="Z850" s="211"/>
      <c r="AA850" s="84"/>
      <c r="AB850" s="146"/>
      <c r="AC850" s="211"/>
      <c r="AD850" s="211"/>
      <c r="AE850" s="211"/>
      <c r="AF850" s="84"/>
      <c r="AG850" s="146"/>
      <c r="AH850" s="211"/>
      <c r="AI850" s="211"/>
      <c r="AJ850" s="211"/>
      <c r="AK850" s="84"/>
      <c r="AL850" s="146"/>
      <c r="AM850" s="211"/>
      <c r="AN850" s="211"/>
      <c r="AO850" s="211"/>
      <c r="AP850" s="436"/>
      <c r="AQ850" s="146"/>
      <c r="AR850" s="211"/>
      <c r="AS850" s="211"/>
      <c r="AT850" s="211"/>
      <c r="AU850" s="84"/>
      <c r="AV850" s="211"/>
      <c r="AW850" s="211"/>
      <c r="AX850" s="211"/>
      <c r="AY850" s="211"/>
      <c r="AZ850" s="84"/>
      <c r="BA850" s="211"/>
      <c r="BB850" s="211"/>
      <c r="BC850" s="211"/>
      <c r="BD850" s="211"/>
      <c r="BE850" s="84"/>
      <c r="BF850" s="211"/>
      <c r="BG850" s="451"/>
    </row>
    <row r="851" spans="1:59" ht="12.75">
      <c r="A851" s="211"/>
      <c r="B851" s="449"/>
      <c r="C851" s="450"/>
      <c r="D851" s="211"/>
      <c r="E851" s="211"/>
      <c r="F851" s="211"/>
      <c r="G851" s="84"/>
      <c r="H851" s="211"/>
      <c r="I851" s="211"/>
      <c r="J851" s="211"/>
      <c r="K851" s="211"/>
      <c r="L851" s="84"/>
      <c r="M851" s="211"/>
      <c r="N851" s="211"/>
      <c r="O851" s="211"/>
      <c r="P851" s="211"/>
      <c r="Q851" s="84"/>
      <c r="R851" s="211"/>
      <c r="S851" s="211"/>
      <c r="T851" s="211"/>
      <c r="U851" s="211"/>
      <c r="V851" s="84"/>
      <c r="W851" s="211"/>
      <c r="X851" s="211"/>
      <c r="Y851" s="211"/>
      <c r="Z851" s="211"/>
      <c r="AA851" s="84"/>
      <c r="AB851" s="146"/>
      <c r="AC851" s="211"/>
      <c r="AD851" s="211"/>
      <c r="AE851" s="211"/>
      <c r="AF851" s="84"/>
      <c r="AG851" s="146"/>
      <c r="AH851" s="211"/>
      <c r="AI851" s="211"/>
      <c r="AJ851" s="211"/>
      <c r="AK851" s="84"/>
      <c r="AL851" s="146"/>
      <c r="AM851" s="211"/>
      <c r="AN851" s="211"/>
      <c r="AO851" s="211"/>
      <c r="AP851" s="436"/>
      <c r="AQ851" s="146"/>
      <c r="AR851" s="211"/>
      <c r="AS851" s="211"/>
      <c r="AT851" s="211"/>
      <c r="AU851" s="84"/>
      <c r="AV851" s="211"/>
      <c r="AW851" s="211"/>
      <c r="AX851" s="211"/>
      <c r="AY851" s="211"/>
      <c r="AZ851" s="84"/>
      <c r="BA851" s="211"/>
      <c r="BB851" s="211"/>
      <c r="BC851" s="211"/>
      <c r="BD851" s="211"/>
      <c r="BE851" s="84"/>
      <c r="BF851" s="211"/>
      <c r="BG851" s="451"/>
    </row>
    <row r="852" spans="1:59" ht="12.75">
      <c r="A852" s="211"/>
      <c r="B852" s="449"/>
      <c r="C852" s="450"/>
      <c r="D852" s="211"/>
      <c r="E852" s="211"/>
      <c r="F852" s="211"/>
      <c r="G852" s="84"/>
      <c r="H852" s="211"/>
      <c r="I852" s="211"/>
      <c r="J852" s="211"/>
      <c r="K852" s="211"/>
      <c r="L852" s="84"/>
      <c r="M852" s="211"/>
      <c r="N852" s="211"/>
      <c r="O852" s="211"/>
      <c r="P852" s="211"/>
      <c r="Q852" s="84"/>
      <c r="R852" s="211"/>
      <c r="S852" s="211"/>
      <c r="T852" s="211"/>
      <c r="U852" s="211"/>
      <c r="V852" s="84"/>
      <c r="W852" s="211"/>
      <c r="X852" s="211"/>
      <c r="Y852" s="211"/>
      <c r="Z852" s="211"/>
      <c r="AA852" s="84"/>
      <c r="AB852" s="146"/>
      <c r="AC852" s="211"/>
      <c r="AD852" s="211"/>
      <c r="AE852" s="211"/>
      <c r="AF852" s="84"/>
      <c r="AG852" s="146"/>
      <c r="AH852" s="211"/>
      <c r="AI852" s="211"/>
      <c r="AJ852" s="211"/>
      <c r="AK852" s="84"/>
      <c r="AL852" s="146"/>
      <c r="AM852" s="211"/>
      <c r="AN852" s="211"/>
      <c r="AO852" s="211"/>
      <c r="AP852" s="436"/>
      <c r="AQ852" s="146"/>
      <c r="AR852" s="211"/>
      <c r="AS852" s="211"/>
      <c r="AT852" s="211"/>
      <c r="AU852" s="84"/>
      <c r="AV852" s="211"/>
      <c r="AW852" s="211"/>
      <c r="AX852" s="211"/>
      <c r="AY852" s="211"/>
      <c r="AZ852" s="84"/>
      <c r="BA852" s="211"/>
      <c r="BB852" s="211"/>
      <c r="BC852" s="211"/>
      <c r="BD852" s="211"/>
      <c r="BE852" s="84"/>
      <c r="BF852" s="211"/>
      <c r="BG852" s="451"/>
    </row>
    <row r="853" spans="1:59" ht="12.75">
      <c r="A853" s="211"/>
      <c r="B853" s="449"/>
      <c r="C853" s="450"/>
      <c r="D853" s="211"/>
      <c r="E853" s="211"/>
      <c r="F853" s="211"/>
      <c r="G853" s="84"/>
      <c r="H853" s="211"/>
      <c r="I853" s="211"/>
      <c r="J853" s="211"/>
      <c r="K853" s="211"/>
      <c r="L853" s="84"/>
      <c r="M853" s="211"/>
      <c r="N853" s="211"/>
      <c r="O853" s="211"/>
      <c r="P853" s="211"/>
      <c r="Q853" s="84"/>
      <c r="R853" s="211"/>
      <c r="S853" s="211"/>
      <c r="T853" s="211"/>
      <c r="U853" s="211"/>
      <c r="V853" s="84"/>
      <c r="W853" s="211"/>
      <c r="X853" s="211"/>
      <c r="Y853" s="211"/>
      <c r="Z853" s="211"/>
      <c r="AA853" s="84"/>
      <c r="AB853" s="146"/>
      <c r="AC853" s="211"/>
      <c r="AD853" s="211"/>
      <c r="AE853" s="211"/>
      <c r="AF853" s="84"/>
      <c r="AG853" s="146"/>
      <c r="AH853" s="211"/>
      <c r="AI853" s="211"/>
      <c r="AJ853" s="211"/>
      <c r="AK853" s="84"/>
      <c r="AL853" s="146"/>
      <c r="AM853" s="211"/>
      <c r="AN853" s="211"/>
      <c r="AO853" s="211"/>
      <c r="AP853" s="436"/>
      <c r="AQ853" s="146"/>
      <c r="AR853" s="211"/>
      <c r="AS853" s="211"/>
      <c r="AT853" s="211"/>
      <c r="AU853" s="84"/>
      <c r="AV853" s="211"/>
      <c r="AW853" s="211"/>
      <c r="AX853" s="211"/>
      <c r="AY853" s="211"/>
      <c r="AZ853" s="84"/>
      <c r="BA853" s="211"/>
      <c r="BB853" s="211"/>
      <c r="BC853" s="211"/>
      <c r="BD853" s="211"/>
      <c r="BE853" s="84"/>
      <c r="BF853" s="211"/>
      <c r="BG853" s="451"/>
    </row>
    <row r="854" spans="1:59" ht="12.75">
      <c r="A854" s="211"/>
      <c r="B854" s="449"/>
      <c r="C854" s="450"/>
      <c r="D854" s="211"/>
      <c r="E854" s="211"/>
      <c r="F854" s="211"/>
      <c r="G854" s="84"/>
      <c r="H854" s="211"/>
      <c r="I854" s="211"/>
      <c r="J854" s="211"/>
      <c r="K854" s="211"/>
      <c r="L854" s="84"/>
      <c r="M854" s="211"/>
      <c r="N854" s="211"/>
      <c r="O854" s="211"/>
      <c r="P854" s="211"/>
      <c r="Q854" s="84"/>
      <c r="R854" s="211"/>
      <c r="S854" s="211"/>
      <c r="T854" s="211"/>
      <c r="U854" s="211"/>
      <c r="V854" s="84"/>
      <c r="W854" s="211"/>
      <c r="X854" s="211"/>
      <c r="Y854" s="211"/>
      <c r="Z854" s="211"/>
      <c r="AA854" s="84"/>
      <c r="AB854" s="146"/>
      <c r="AC854" s="211"/>
      <c r="AD854" s="211"/>
      <c r="AE854" s="211"/>
      <c r="AF854" s="84"/>
      <c r="AG854" s="146"/>
      <c r="AH854" s="211"/>
      <c r="AI854" s="211"/>
      <c r="AJ854" s="211"/>
      <c r="AK854" s="84"/>
      <c r="AL854" s="146"/>
      <c r="AM854" s="211"/>
      <c r="AN854" s="211"/>
      <c r="AO854" s="211"/>
      <c r="AP854" s="436"/>
      <c r="AQ854" s="146"/>
      <c r="AR854" s="211"/>
      <c r="AS854" s="211"/>
      <c r="AT854" s="211"/>
      <c r="AU854" s="84"/>
      <c r="AV854" s="211"/>
      <c r="AW854" s="211"/>
      <c r="AX854" s="211"/>
      <c r="AY854" s="211"/>
      <c r="AZ854" s="84"/>
      <c r="BA854" s="211"/>
      <c r="BB854" s="211"/>
      <c r="BC854" s="211"/>
      <c r="BD854" s="211"/>
      <c r="BE854" s="84"/>
      <c r="BF854" s="211"/>
      <c r="BG854" s="451"/>
    </row>
    <row r="855" spans="1:59" ht="12.75">
      <c r="A855" s="211"/>
      <c r="B855" s="449"/>
      <c r="C855" s="450"/>
      <c r="D855" s="211"/>
      <c r="E855" s="211"/>
      <c r="F855" s="211"/>
      <c r="G855" s="84"/>
      <c r="H855" s="211"/>
      <c r="I855" s="211"/>
      <c r="J855" s="211"/>
      <c r="K855" s="211"/>
      <c r="L855" s="84"/>
      <c r="M855" s="211"/>
      <c r="N855" s="211"/>
      <c r="O855" s="211"/>
      <c r="P855" s="211"/>
      <c r="Q855" s="84"/>
      <c r="R855" s="211"/>
      <c r="S855" s="211"/>
      <c r="T855" s="211"/>
      <c r="U855" s="211"/>
      <c r="V855" s="84"/>
      <c r="W855" s="211"/>
      <c r="X855" s="211"/>
      <c r="Y855" s="211"/>
      <c r="Z855" s="211"/>
      <c r="AA855" s="84"/>
      <c r="AB855" s="146"/>
      <c r="AC855" s="211"/>
      <c r="AD855" s="211"/>
      <c r="AE855" s="211"/>
      <c r="AF855" s="84"/>
      <c r="AG855" s="146"/>
      <c r="AH855" s="211"/>
      <c r="AI855" s="211"/>
      <c r="AJ855" s="211"/>
      <c r="AK855" s="84"/>
      <c r="AL855" s="146"/>
      <c r="AM855" s="211"/>
      <c r="AN855" s="211"/>
      <c r="AO855" s="211"/>
      <c r="AP855" s="436"/>
      <c r="AQ855" s="146"/>
      <c r="AR855" s="211"/>
      <c r="AS855" s="211"/>
      <c r="AT855" s="211"/>
      <c r="AU855" s="84"/>
      <c r="AV855" s="211"/>
      <c r="AW855" s="211"/>
      <c r="AX855" s="211"/>
      <c r="AY855" s="211"/>
      <c r="AZ855" s="84"/>
      <c r="BA855" s="211"/>
      <c r="BB855" s="211"/>
      <c r="BC855" s="211"/>
      <c r="BD855" s="211"/>
      <c r="BE855" s="84"/>
      <c r="BF855" s="211"/>
      <c r="BG855" s="451"/>
    </row>
    <row r="856" spans="1:59" ht="12.75">
      <c r="A856" s="211"/>
      <c r="B856" s="449"/>
      <c r="C856" s="450"/>
      <c r="D856" s="211"/>
      <c r="E856" s="211"/>
      <c r="F856" s="211"/>
      <c r="G856" s="84"/>
      <c r="H856" s="211"/>
      <c r="I856" s="211"/>
      <c r="J856" s="211"/>
      <c r="K856" s="211"/>
      <c r="L856" s="84"/>
      <c r="M856" s="211"/>
      <c r="N856" s="211"/>
      <c r="O856" s="211"/>
      <c r="P856" s="211"/>
      <c r="Q856" s="84"/>
      <c r="R856" s="211"/>
      <c r="S856" s="211"/>
      <c r="T856" s="211"/>
      <c r="U856" s="211"/>
      <c r="V856" s="84"/>
      <c r="W856" s="211"/>
      <c r="X856" s="211"/>
      <c r="Y856" s="211"/>
      <c r="Z856" s="211"/>
      <c r="AA856" s="84"/>
      <c r="AB856" s="146"/>
      <c r="AC856" s="211"/>
      <c r="AD856" s="211"/>
      <c r="AE856" s="211"/>
      <c r="AF856" s="84"/>
      <c r="AG856" s="146"/>
      <c r="AH856" s="211"/>
      <c r="AI856" s="211"/>
      <c r="AJ856" s="211"/>
      <c r="AK856" s="84"/>
      <c r="AL856" s="146"/>
      <c r="AM856" s="211"/>
      <c r="AN856" s="211"/>
      <c r="AO856" s="211"/>
      <c r="AP856" s="436"/>
      <c r="AQ856" s="146"/>
      <c r="AR856" s="211"/>
      <c r="AS856" s="211"/>
      <c r="AT856" s="211"/>
      <c r="AU856" s="84"/>
      <c r="AV856" s="211"/>
      <c r="AW856" s="211"/>
      <c r="AX856" s="211"/>
      <c r="AY856" s="211"/>
      <c r="AZ856" s="84"/>
      <c r="BA856" s="211"/>
      <c r="BB856" s="211"/>
      <c r="BC856" s="211"/>
      <c r="BD856" s="211"/>
      <c r="BE856" s="84"/>
      <c r="BF856" s="211"/>
      <c r="BG856" s="451"/>
    </row>
    <row r="857" spans="1:59" ht="12.75">
      <c r="A857" s="211"/>
      <c r="B857" s="449"/>
      <c r="C857" s="450"/>
      <c r="D857" s="211"/>
      <c r="E857" s="211"/>
      <c r="F857" s="211"/>
      <c r="G857" s="84"/>
      <c r="H857" s="211"/>
      <c r="I857" s="211"/>
      <c r="J857" s="211"/>
      <c r="K857" s="211"/>
      <c r="L857" s="84"/>
      <c r="M857" s="211"/>
      <c r="N857" s="211"/>
      <c r="O857" s="211"/>
      <c r="P857" s="211"/>
      <c r="Q857" s="84"/>
      <c r="R857" s="211"/>
      <c r="S857" s="211"/>
      <c r="T857" s="211"/>
      <c r="U857" s="211"/>
      <c r="V857" s="84"/>
      <c r="W857" s="211"/>
      <c r="X857" s="211"/>
      <c r="Y857" s="211"/>
      <c r="Z857" s="211"/>
      <c r="AA857" s="84"/>
      <c r="AB857" s="146"/>
      <c r="AC857" s="211"/>
      <c r="AD857" s="211"/>
      <c r="AE857" s="211"/>
      <c r="AF857" s="84"/>
      <c r="AG857" s="146"/>
      <c r="AH857" s="211"/>
      <c r="AI857" s="211"/>
      <c r="AJ857" s="211"/>
      <c r="AK857" s="84"/>
      <c r="AL857" s="146"/>
      <c r="AM857" s="211"/>
      <c r="AN857" s="211"/>
      <c r="AO857" s="211"/>
      <c r="AP857" s="436"/>
      <c r="AQ857" s="146"/>
      <c r="AR857" s="211"/>
      <c r="AS857" s="211"/>
      <c r="AT857" s="211"/>
      <c r="AU857" s="84"/>
      <c r="AV857" s="211"/>
      <c r="AW857" s="211"/>
      <c r="AX857" s="211"/>
      <c r="AY857" s="211"/>
      <c r="AZ857" s="84"/>
      <c r="BA857" s="211"/>
      <c r="BB857" s="211"/>
      <c r="BC857" s="211"/>
      <c r="BD857" s="211"/>
      <c r="BE857" s="84"/>
      <c r="BF857" s="211"/>
      <c r="BG857" s="451"/>
    </row>
    <row r="858" spans="1:59" ht="12.75">
      <c r="A858" s="211"/>
      <c r="B858" s="449"/>
      <c r="C858" s="450"/>
      <c r="D858" s="211"/>
      <c r="E858" s="211"/>
      <c r="F858" s="211"/>
      <c r="G858" s="84"/>
      <c r="H858" s="211"/>
      <c r="I858" s="211"/>
      <c r="J858" s="211"/>
      <c r="K858" s="211"/>
      <c r="L858" s="84"/>
      <c r="M858" s="211"/>
      <c r="N858" s="211"/>
      <c r="O858" s="211"/>
      <c r="P858" s="211"/>
      <c r="Q858" s="84"/>
      <c r="R858" s="211"/>
      <c r="S858" s="211"/>
      <c r="T858" s="211"/>
      <c r="U858" s="211"/>
      <c r="V858" s="84"/>
      <c r="W858" s="211"/>
      <c r="X858" s="211"/>
      <c r="Y858" s="211"/>
      <c r="Z858" s="211"/>
      <c r="AA858" s="84"/>
      <c r="AB858" s="146"/>
      <c r="AC858" s="211"/>
      <c r="AD858" s="211"/>
      <c r="AE858" s="211"/>
      <c r="AF858" s="84"/>
      <c r="AG858" s="146"/>
      <c r="AH858" s="211"/>
      <c r="AI858" s="211"/>
      <c r="AJ858" s="211"/>
      <c r="AK858" s="84"/>
      <c r="AL858" s="146"/>
      <c r="AM858" s="211"/>
      <c r="AN858" s="211"/>
      <c r="AO858" s="211"/>
      <c r="AP858" s="436"/>
      <c r="AQ858" s="146"/>
      <c r="AR858" s="211"/>
      <c r="AS858" s="211"/>
      <c r="AT858" s="211"/>
      <c r="AU858" s="84"/>
      <c r="AV858" s="211"/>
      <c r="AW858" s="211"/>
      <c r="AX858" s="211"/>
      <c r="AY858" s="211"/>
      <c r="AZ858" s="84"/>
      <c r="BA858" s="211"/>
      <c r="BB858" s="211"/>
      <c r="BC858" s="211"/>
      <c r="BD858" s="211"/>
      <c r="BE858" s="84"/>
      <c r="BF858" s="211"/>
      <c r="BG858" s="451"/>
    </row>
    <row r="859" spans="1:59" ht="12.75">
      <c r="A859" s="211"/>
      <c r="B859" s="449"/>
      <c r="C859" s="450"/>
      <c r="D859" s="211"/>
      <c r="E859" s="211"/>
      <c r="F859" s="211"/>
      <c r="G859" s="84"/>
      <c r="H859" s="211"/>
      <c r="I859" s="211"/>
      <c r="J859" s="211"/>
      <c r="K859" s="211"/>
      <c r="L859" s="84"/>
      <c r="M859" s="211"/>
      <c r="N859" s="211"/>
      <c r="O859" s="211"/>
      <c r="P859" s="211"/>
      <c r="Q859" s="84"/>
      <c r="R859" s="211"/>
      <c r="S859" s="211"/>
      <c r="T859" s="211"/>
      <c r="U859" s="211"/>
      <c r="V859" s="84"/>
      <c r="W859" s="211"/>
      <c r="X859" s="211"/>
      <c r="Y859" s="211"/>
      <c r="Z859" s="211"/>
      <c r="AA859" s="84"/>
      <c r="AB859" s="146"/>
      <c r="AC859" s="211"/>
      <c r="AD859" s="211"/>
      <c r="AE859" s="211"/>
      <c r="AF859" s="84"/>
      <c r="AG859" s="146"/>
      <c r="AH859" s="211"/>
      <c r="AI859" s="211"/>
      <c r="AJ859" s="211"/>
      <c r="AK859" s="84"/>
      <c r="AL859" s="146"/>
      <c r="AM859" s="211"/>
      <c r="AN859" s="211"/>
      <c r="AO859" s="211"/>
      <c r="AP859" s="436"/>
      <c r="AQ859" s="146"/>
      <c r="AR859" s="211"/>
      <c r="AS859" s="211"/>
      <c r="AT859" s="211"/>
      <c r="AU859" s="84"/>
      <c r="AV859" s="211"/>
      <c r="AW859" s="211"/>
      <c r="AX859" s="211"/>
      <c r="AY859" s="211"/>
      <c r="AZ859" s="84"/>
      <c r="BA859" s="211"/>
      <c r="BB859" s="211"/>
      <c r="BC859" s="211"/>
      <c r="BD859" s="211"/>
      <c r="BE859" s="84"/>
      <c r="BF859" s="211"/>
      <c r="BG859" s="451"/>
    </row>
    <row r="860" spans="1:59" ht="12.75">
      <c r="A860" s="211"/>
      <c r="B860" s="449"/>
      <c r="C860" s="450"/>
      <c r="D860" s="211"/>
      <c r="E860" s="211"/>
      <c r="F860" s="211"/>
      <c r="G860" s="84"/>
      <c r="H860" s="211"/>
      <c r="I860" s="211"/>
      <c r="J860" s="211"/>
      <c r="K860" s="211"/>
      <c r="L860" s="84"/>
      <c r="M860" s="211"/>
      <c r="N860" s="211"/>
      <c r="O860" s="211"/>
      <c r="P860" s="211"/>
      <c r="Q860" s="84"/>
      <c r="R860" s="211"/>
      <c r="S860" s="211"/>
      <c r="T860" s="211"/>
      <c r="U860" s="211"/>
      <c r="V860" s="84"/>
      <c r="W860" s="211"/>
      <c r="X860" s="211"/>
      <c r="Y860" s="211"/>
      <c r="Z860" s="211"/>
      <c r="AA860" s="84"/>
      <c r="AB860" s="146"/>
      <c r="AC860" s="211"/>
      <c r="AD860" s="211"/>
      <c r="AE860" s="211"/>
      <c r="AF860" s="84"/>
      <c r="AG860" s="146"/>
      <c r="AH860" s="211"/>
      <c r="AI860" s="211"/>
      <c r="AJ860" s="211"/>
      <c r="AK860" s="84"/>
      <c r="AL860" s="146"/>
      <c r="AM860" s="211"/>
      <c r="AN860" s="211"/>
      <c r="AO860" s="211"/>
      <c r="AP860" s="436"/>
      <c r="AQ860" s="146"/>
      <c r="AR860" s="211"/>
      <c r="AS860" s="211"/>
      <c r="AT860" s="211"/>
      <c r="AU860" s="84"/>
      <c r="AV860" s="211"/>
      <c r="AW860" s="211"/>
      <c r="AX860" s="211"/>
      <c r="AY860" s="211"/>
      <c r="AZ860" s="84"/>
      <c r="BA860" s="211"/>
      <c r="BB860" s="211"/>
      <c r="BC860" s="211"/>
      <c r="BD860" s="211"/>
      <c r="BE860" s="84"/>
      <c r="BF860" s="211"/>
      <c r="BG860" s="451"/>
    </row>
    <row r="861" spans="1:59" ht="12.75">
      <c r="A861" s="211"/>
      <c r="B861" s="449"/>
      <c r="C861" s="450"/>
      <c r="D861" s="211"/>
      <c r="E861" s="211"/>
      <c r="F861" s="211"/>
      <c r="G861" s="84"/>
      <c r="H861" s="211"/>
      <c r="I861" s="211"/>
      <c r="J861" s="211"/>
      <c r="K861" s="211"/>
      <c r="L861" s="84"/>
      <c r="M861" s="211"/>
      <c r="N861" s="211"/>
      <c r="O861" s="211"/>
      <c r="P861" s="211"/>
      <c r="Q861" s="84"/>
      <c r="R861" s="211"/>
      <c r="S861" s="211"/>
      <c r="T861" s="211"/>
      <c r="U861" s="211"/>
      <c r="V861" s="84"/>
      <c r="W861" s="211"/>
      <c r="X861" s="211"/>
      <c r="Y861" s="211"/>
      <c r="Z861" s="211"/>
      <c r="AA861" s="84"/>
      <c r="AB861" s="146"/>
      <c r="AC861" s="211"/>
      <c r="AD861" s="211"/>
      <c r="AE861" s="211"/>
      <c r="AF861" s="84"/>
      <c r="AG861" s="146"/>
      <c r="AH861" s="211"/>
      <c r="AI861" s="211"/>
      <c r="AJ861" s="211"/>
      <c r="AK861" s="84"/>
      <c r="AL861" s="146"/>
      <c r="AM861" s="211"/>
      <c r="AN861" s="211"/>
      <c r="AO861" s="211"/>
      <c r="AP861" s="436"/>
      <c r="AQ861" s="146"/>
      <c r="AR861" s="211"/>
      <c r="AS861" s="211"/>
      <c r="AT861" s="211"/>
      <c r="AU861" s="84"/>
      <c r="AV861" s="211"/>
      <c r="AW861" s="211"/>
      <c r="AX861" s="211"/>
      <c r="AY861" s="211"/>
      <c r="AZ861" s="84"/>
      <c r="BA861" s="211"/>
      <c r="BB861" s="211"/>
      <c r="BC861" s="211"/>
      <c r="BD861" s="211"/>
      <c r="BE861" s="84"/>
      <c r="BF861" s="211"/>
      <c r="BG861" s="451"/>
    </row>
    <row r="862" spans="1:59" ht="12.75">
      <c r="A862" s="211"/>
      <c r="B862" s="449"/>
      <c r="C862" s="450"/>
      <c r="D862" s="211"/>
      <c r="E862" s="211"/>
      <c r="F862" s="211"/>
      <c r="G862" s="84"/>
      <c r="H862" s="211"/>
      <c r="I862" s="211"/>
      <c r="J862" s="211"/>
      <c r="K862" s="211"/>
      <c r="L862" s="84"/>
      <c r="M862" s="211"/>
      <c r="N862" s="211"/>
      <c r="O862" s="211"/>
      <c r="P862" s="211"/>
      <c r="Q862" s="84"/>
      <c r="R862" s="211"/>
      <c r="S862" s="211"/>
      <c r="T862" s="211"/>
      <c r="U862" s="211"/>
      <c r="V862" s="84"/>
      <c r="W862" s="211"/>
      <c r="X862" s="211"/>
      <c r="Y862" s="211"/>
      <c r="Z862" s="211"/>
      <c r="AA862" s="84"/>
      <c r="AB862" s="146"/>
      <c r="AC862" s="211"/>
      <c r="AD862" s="211"/>
      <c r="AE862" s="211"/>
      <c r="AF862" s="84"/>
      <c r="AG862" s="146"/>
      <c r="AH862" s="211"/>
      <c r="AI862" s="211"/>
      <c r="AJ862" s="211"/>
      <c r="AK862" s="84"/>
      <c r="AL862" s="146"/>
      <c r="AM862" s="211"/>
      <c r="AN862" s="211"/>
      <c r="AO862" s="211"/>
      <c r="AP862" s="436"/>
      <c r="AQ862" s="146"/>
      <c r="AR862" s="211"/>
      <c r="AS862" s="211"/>
      <c r="AT862" s="211"/>
      <c r="AU862" s="84"/>
      <c r="AV862" s="211"/>
      <c r="AW862" s="211"/>
      <c r="AX862" s="211"/>
      <c r="AY862" s="211"/>
      <c r="AZ862" s="84"/>
      <c r="BA862" s="211"/>
      <c r="BB862" s="211"/>
      <c r="BC862" s="211"/>
      <c r="BD862" s="211"/>
      <c r="BE862" s="84"/>
      <c r="BF862" s="211"/>
      <c r="BG862" s="451"/>
    </row>
    <row r="863" spans="1:59" ht="12.75">
      <c r="A863" s="211"/>
      <c r="B863" s="449"/>
      <c r="C863" s="450"/>
      <c r="D863" s="211"/>
      <c r="E863" s="211"/>
      <c r="F863" s="211"/>
      <c r="G863" s="84"/>
      <c r="H863" s="211"/>
      <c r="I863" s="211"/>
      <c r="J863" s="211"/>
      <c r="K863" s="211"/>
      <c r="L863" s="84"/>
      <c r="M863" s="211"/>
      <c r="N863" s="211"/>
      <c r="O863" s="211"/>
      <c r="P863" s="211"/>
      <c r="Q863" s="84"/>
      <c r="R863" s="211"/>
      <c r="S863" s="211"/>
      <c r="T863" s="211"/>
      <c r="U863" s="211"/>
      <c r="V863" s="84"/>
      <c r="W863" s="211"/>
      <c r="X863" s="211"/>
      <c r="Y863" s="211"/>
      <c r="Z863" s="211"/>
      <c r="AA863" s="84"/>
      <c r="AB863" s="146"/>
      <c r="AC863" s="211"/>
      <c r="AD863" s="211"/>
      <c r="AE863" s="211"/>
      <c r="AF863" s="84"/>
      <c r="AG863" s="146"/>
      <c r="AH863" s="211"/>
      <c r="AI863" s="211"/>
      <c r="AJ863" s="211"/>
      <c r="AK863" s="84"/>
      <c r="AL863" s="146"/>
      <c r="AM863" s="211"/>
      <c r="AN863" s="211"/>
      <c r="AO863" s="211"/>
      <c r="AP863" s="436"/>
      <c r="AQ863" s="146"/>
      <c r="AR863" s="211"/>
      <c r="AS863" s="211"/>
      <c r="AT863" s="211"/>
      <c r="AU863" s="84"/>
      <c r="AV863" s="211"/>
      <c r="AW863" s="211"/>
      <c r="AX863" s="211"/>
      <c r="AY863" s="211"/>
      <c r="AZ863" s="84"/>
      <c r="BA863" s="211"/>
      <c r="BB863" s="211"/>
      <c r="BC863" s="211"/>
      <c r="BD863" s="211"/>
      <c r="BE863" s="84"/>
      <c r="BF863" s="211"/>
      <c r="BG863" s="451"/>
    </row>
    <row r="864" spans="1:59" ht="12.75">
      <c r="A864" s="211"/>
      <c r="B864" s="449"/>
      <c r="C864" s="450"/>
      <c r="D864" s="211"/>
      <c r="E864" s="211"/>
      <c r="F864" s="211"/>
      <c r="G864" s="84"/>
      <c r="H864" s="211"/>
      <c r="I864" s="211"/>
      <c r="J864" s="211"/>
      <c r="K864" s="211"/>
      <c r="L864" s="84"/>
      <c r="M864" s="211"/>
      <c r="N864" s="211"/>
      <c r="O864" s="211"/>
      <c r="P864" s="211"/>
      <c r="Q864" s="84"/>
      <c r="R864" s="211"/>
      <c r="S864" s="211"/>
      <c r="T864" s="211"/>
      <c r="U864" s="211"/>
      <c r="V864" s="84"/>
      <c r="W864" s="211"/>
      <c r="X864" s="211"/>
      <c r="Y864" s="211"/>
      <c r="Z864" s="211"/>
      <c r="AA864" s="84"/>
      <c r="AB864" s="146"/>
      <c r="AC864" s="211"/>
      <c r="AD864" s="211"/>
      <c r="AE864" s="211"/>
      <c r="AF864" s="84"/>
      <c r="AG864" s="146"/>
      <c r="AH864" s="211"/>
      <c r="AI864" s="211"/>
      <c r="AJ864" s="211"/>
      <c r="AK864" s="84"/>
      <c r="AL864" s="146"/>
      <c r="AM864" s="211"/>
      <c r="AN864" s="211"/>
      <c r="AO864" s="211"/>
      <c r="AP864" s="436"/>
      <c r="AQ864" s="146"/>
      <c r="AR864" s="211"/>
      <c r="AS864" s="211"/>
      <c r="AT864" s="211"/>
      <c r="AU864" s="84"/>
      <c r="AV864" s="211"/>
      <c r="AW864" s="211"/>
      <c r="AX864" s="211"/>
      <c r="AY864" s="211"/>
      <c r="AZ864" s="84"/>
      <c r="BA864" s="211"/>
      <c r="BB864" s="211"/>
      <c r="BC864" s="211"/>
      <c r="BD864" s="211"/>
      <c r="BE864" s="84"/>
      <c r="BF864" s="211"/>
      <c r="BG864" s="451"/>
    </row>
    <row r="865" spans="1:59" ht="12.75">
      <c r="A865" s="211"/>
      <c r="B865" s="449"/>
      <c r="C865" s="450"/>
      <c r="D865" s="211"/>
      <c r="E865" s="211"/>
      <c r="F865" s="211"/>
      <c r="G865" s="84"/>
      <c r="H865" s="211"/>
      <c r="I865" s="211"/>
      <c r="J865" s="211"/>
      <c r="K865" s="211"/>
      <c r="L865" s="84"/>
      <c r="M865" s="211"/>
      <c r="N865" s="211"/>
      <c r="O865" s="211"/>
      <c r="P865" s="211"/>
      <c r="Q865" s="84"/>
      <c r="R865" s="211"/>
      <c r="S865" s="211"/>
      <c r="T865" s="211"/>
      <c r="U865" s="211"/>
      <c r="V865" s="84"/>
      <c r="W865" s="211"/>
      <c r="X865" s="211"/>
      <c r="Y865" s="211"/>
      <c r="Z865" s="211"/>
      <c r="AA865" s="84"/>
      <c r="AB865" s="146"/>
      <c r="AC865" s="211"/>
      <c r="AD865" s="211"/>
      <c r="AE865" s="211"/>
      <c r="AF865" s="84"/>
      <c r="AG865" s="146"/>
      <c r="AH865" s="211"/>
      <c r="AI865" s="211"/>
      <c r="AJ865" s="211"/>
      <c r="AK865" s="84"/>
      <c r="AL865" s="146"/>
      <c r="AM865" s="211"/>
      <c r="AN865" s="211"/>
      <c r="AO865" s="211"/>
      <c r="AP865" s="436"/>
      <c r="AQ865" s="146"/>
      <c r="AR865" s="211"/>
      <c r="AS865" s="211"/>
      <c r="AT865" s="211"/>
      <c r="AU865" s="84"/>
      <c r="AV865" s="211"/>
      <c r="AW865" s="211"/>
      <c r="AX865" s="211"/>
      <c r="AY865" s="211"/>
      <c r="AZ865" s="84"/>
      <c r="BA865" s="211"/>
      <c r="BB865" s="211"/>
      <c r="BC865" s="211"/>
      <c r="BD865" s="211"/>
      <c r="BE865" s="84"/>
      <c r="BF865" s="211"/>
      <c r="BG865" s="451"/>
    </row>
    <row r="866" spans="1:59" ht="12.75">
      <c r="A866" s="211"/>
      <c r="B866" s="449"/>
      <c r="C866" s="450"/>
      <c r="D866" s="211"/>
      <c r="E866" s="211"/>
      <c r="F866" s="211"/>
      <c r="G866" s="84"/>
      <c r="H866" s="211"/>
      <c r="I866" s="211"/>
      <c r="J866" s="211"/>
      <c r="K866" s="211"/>
      <c r="L866" s="84"/>
      <c r="M866" s="211"/>
      <c r="N866" s="211"/>
      <c r="O866" s="211"/>
      <c r="P866" s="211"/>
      <c r="Q866" s="84"/>
      <c r="R866" s="211"/>
      <c r="S866" s="211"/>
      <c r="T866" s="211"/>
      <c r="U866" s="211"/>
      <c r="V866" s="84"/>
      <c r="W866" s="211"/>
      <c r="X866" s="211"/>
      <c r="Y866" s="211"/>
      <c r="Z866" s="211"/>
      <c r="AA866" s="84"/>
      <c r="AB866" s="146"/>
      <c r="AC866" s="211"/>
      <c r="AD866" s="211"/>
      <c r="AE866" s="211"/>
      <c r="AF866" s="84"/>
      <c r="AG866" s="146"/>
      <c r="AH866" s="211"/>
      <c r="AI866" s="211"/>
      <c r="AJ866" s="211"/>
      <c r="AK866" s="84"/>
      <c r="AL866" s="146"/>
      <c r="AM866" s="211"/>
      <c r="AN866" s="211"/>
      <c r="AO866" s="211"/>
      <c r="AP866" s="436"/>
      <c r="AQ866" s="146"/>
      <c r="AR866" s="211"/>
      <c r="AS866" s="211"/>
      <c r="AT866" s="211"/>
      <c r="AU866" s="84"/>
      <c r="AV866" s="211"/>
      <c r="AW866" s="211"/>
      <c r="AX866" s="211"/>
      <c r="AY866" s="211"/>
      <c r="AZ866" s="84"/>
      <c r="BA866" s="211"/>
      <c r="BB866" s="211"/>
      <c r="BC866" s="211"/>
      <c r="BD866" s="211"/>
      <c r="BE866" s="84"/>
      <c r="BF866" s="211"/>
      <c r="BG866" s="451"/>
    </row>
    <row r="867" spans="1:59" ht="12.75">
      <c r="A867" s="211"/>
      <c r="B867" s="449"/>
      <c r="C867" s="450"/>
      <c r="D867" s="211"/>
      <c r="E867" s="211"/>
      <c r="F867" s="211"/>
      <c r="G867" s="84"/>
      <c r="H867" s="211"/>
      <c r="I867" s="211"/>
      <c r="J867" s="211"/>
      <c r="K867" s="211"/>
      <c r="L867" s="84"/>
      <c r="M867" s="211"/>
      <c r="N867" s="211"/>
      <c r="O867" s="211"/>
      <c r="P867" s="211"/>
      <c r="Q867" s="84"/>
      <c r="R867" s="211"/>
      <c r="S867" s="211"/>
      <c r="T867" s="211"/>
      <c r="U867" s="211"/>
      <c r="V867" s="84"/>
      <c r="W867" s="211"/>
      <c r="X867" s="211"/>
      <c r="Y867" s="211"/>
      <c r="Z867" s="211"/>
      <c r="AA867" s="84"/>
      <c r="AB867" s="146"/>
      <c r="AC867" s="211"/>
      <c r="AD867" s="211"/>
      <c r="AE867" s="211"/>
      <c r="AF867" s="84"/>
      <c r="AG867" s="146"/>
      <c r="AH867" s="211"/>
      <c r="AI867" s="211"/>
      <c r="AJ867" s="211"/>
      <c r="AK867" s="84"/>
      <c r="AL867" s="146"/>
      <c r="AM867" s="211"/>
      <c r="AN867" s="211"/>
      <c r="AO867" s="211"/>
      <c r="AP867" s="436"/>
      <c r="AQ867" s="146"/>
      <c r="AR867" s="211"/>
      <c r="AS867" s="211"/>
      <c r="AT867" s="211"/>
      <c r="AU867" s="84"/>
      <c r="AV867" s="211"/>
      <c r="AW867" s="211"/>
      <c r="AX867" s="211"/>
      <c r="AY867" s="211"/>
      <c r="AZ867" s="84"/>
      <c r="BA867" s="211"/>
      <c r="BB867" s="211"/>
      <c r="BC867" s="211"/>
      <c r="BD867" s="211"/>
      <c r="BE867" s="84"/>
      <c r="BF867" s="211"/>
      <c r="BG867" s="451"/>
    </row>
    <row r="868" spans="1:59" ht="12.75">
      <c r="A868" s="211"/>
      <c r="B868" s="449"/>
      <c r="C868" s="450"/>
      <c r="D868" s="211"/>
      <c r="E868" s="211"/>
      <c r="F868" s="211"/>
      <c r="G868" s="84"/>
      <c r="H868" s="211"/>
      <c r="I868" s="211"/>
      <c r="J868" s="211"/>
      <c r="K868" s="211"/>
      <c r="L868" s="84"/>
      <c r="M868" s="211"/>
      <c r="N868" s="211"/>
      <c r="O868" s="211"/>
      <c r="P868" s="211"/>
      <c r="Q868" s="84"/>
      <c r="R868" s="211"/>
      <c r="S868" s="211"/>
      <c r="T868" s="211"/>
      <c r="U868" s="211"/>
      <c r="V868" s="84"/>
      <c r="W868" s="211"/>
      <c r="X868" s="211"/>
      <c r="Y868" s="211"/>
      <c r="Z868" s="211"/>
      <c r="AA868" s="84"/>
      <c r="AB868" s="146"/>
      <c r="AC868" s="211"/>
      <c r="AD868" s="211"/>
      <c r="AE868" s="211"/>
      <c r="AF868" s="84"/>
      <c r="AG868" s="146"/>
      <c r="AH868" s="211"/>
      <c r="AI868" s="211"/>
      <c r="AJ868" s="211"/>
      <c r="AK868" s="84"/>
      <c r="AL868" s="146"/>
      <c r="AM868" s="211"/>
      <c r="AN868" s="211"/>
      <c r="AO868" s="211"/>
      <c r="AP868" s="436"/>
      <c r="AQ868" s="146"/>
      <c r="AR868" s="211"/>
      <c r="AS868" s="211"/>
      <c r="AT868" s="211"/>
      <c r="AU868" s="84"/>
      <c r="AV868" s="211"/>
      <c r="AW868" s="211"/>
      <c r="AX868" s="211"/>
      <c r="AY868" s="211"/>
      <c r="AZ868" s="84"/>
      <c r="BA868" s="211"/>
      <c r="BB868" s="211"/>
      <c r="BC868" s="211"/>
      <c r="BD868" s="211"/>
      <c r="BE868" s="84"/>
      <c r="BF868" s="211"/>
      <c r="BG868" s="451"/>
    </row>
    <row r="869" spans="1:59" ht="12.75">
      <c r="A869" s="211"/>
      <c r="B869" s="449"/>
      <c r="C869" s="450"/>
      <c r="D869" s="211"/>
      <c r="E869" s="211"/>
      <c r="F869" s="211"/>
      <c r="G869" s="84"/>
      <c r="H869" s="211"/>
      <c r="I869" s="211"/>
      <c r="J869" s="211"/>
      <c r="K869" s="211"/>
      <c r="L869" s="84"/>
      <c r="M869" s="211"/>
      <c r="N869" s="211"/>
      <c r="O869" s="211"/>
      <c r="P869" s="211"/>
      <c r="Q869" s="84"/>
      <c r="R869" s="211"/>
      <c r="S869" s="211"/>
      <c r="T869" s="211"/>
      <c r="U869" s="211"/>
      <c r="V869" s="84"/>
      <c r="W869" s="211"/>
      <c r="X869" s="211"/>
      <c r="Y869" s="211"/>
      <c r="Z869" s="211"/>
      <c r="AA869" s="84"/>
      <c r="AB869" s="146"/>
      <c r="AC869" s="211"/>
      <c r="AD869" s="211"/>
      <c r="AE869" s="211"/>
      <c r="AF869" s="84"/>
      <c r="AG869" s="146"/>
      <c r="AH869" s="211"/>
      <c r="AI869" s="211"/>
      <c r="AJ869" s="211"/>
      <c r="AK869" s="84"/>
      <c r="AL869" s="146"/>
      <c r="AM869" s="211"/>
      <c r="AN869" s="211"/>
      <c r="AO869" s="211"/>
      <c r="AP869" s="436"/>
      <c r="AQ869" s="146"/>
      <c r="AR869" s="211"/>
      <c r="AS869" s="211"/>
      <c r="AT869" s="211"/>
      <c r="AU869" s="84"/>
      <c r="AV869" s="211"/>
      <c r="AW869" s="211"/>
      <c r="AX869" s="211"/>
      <c r="AY869" s="211"/>
      <c r="AZ869" s="84"/>
      <c r="BA869" s="211"/>
      <c r="BB869" s="211"/>
      <c r="BC869" s="211"/>
      <c r="BD869" s="211"/>
      <c r="BE869" s="84"/>
      <c r="BF869" s="211"/>
      <c r="BG869" s="451"/>
    </row>
    <row r="870" spans="1:59" ht="12.75">
      <c r="A870" s="211"/>
      <c r="B870" s="449"/>
      <c r="C870" s="450"/>
      <c r="D870" s="211"/>
      <c r="E870" s="211"/>
      <c r="F870" s="211"/>
      <c r="G870" s="84"/>
      <c r="H870" s="211"/>
      <c r="I870" s="211"/>
      <c r="J870" s="211"/>
      <c r="K870" s="211"/>
      <c r="L870" s="84"/>
      <c r="M870" s="211"/>
      <c r="N870" s="211"/>
      <c r="O870" s="211"/>
      <c r="P870" s="211"/>
      <c r="Q870" s="84"/>
      <c r="R870" s="211"/>
      <c r="S870" s="211"/>
      <c r="T870" s="211"/>
      <c r="U870" s="211"/>
      <c r="V870" s="84"/>
      <c r="W870" s="211"/>
      <c r="X870" s="211"/>
      <c r="Y870" s="211"/>
      <c r="Z870" s="211"/>
      <c r="AA870" s="84"/>
      <c r="AB870" s="146"/>
      <c r="AC870" s="211"/>
      <c r="AD870" s="211"/>
      <c r="AE870" s="211"/>
      <c r="AF870" s="84"/>
      <c r="AG870" s="146"/>
      <c r="AH870" s="211"/>
      <c r="AI870" s="211"/>
      <c r="AJ870" s="211"/>
      <c r="AK870" s="84"/>
      <c r="AL870" s="146"/>
      <c r="AM870" s="211"/>
      <c r="AN870" s="211"/>
      <c r="AO870" s="211"/>
      <c r="AP870" s="436"/>
      <c r="AQ870" s="146"/>
      <c r="AR870" s="211"/>
      <c r="AS870" s="211"/>
      <c r="AT870" s="211"/>
      <c r="AU870" s="84"/>
      <c r="AV870" s="211"/>
      <c r="AW870" s="211"/>
      <c r="AX870" s="211"/>
      <c r="AY870" s="211"/>
      <c r="AZ870" s="84"/>
      <c r="BA870" s="211"/>
      <c r="BB870" s="211"/>
      <c r="BC870" s="211"/>
      <c r="BD870" s="211"/>
      <c r="BE870" s="84"/>
      <c r="BF870" s="211"/>
      <c r="BG870" s="451"/>
    </row>
    <row r="871" spans="1:59" ht="12.75">
      <c r="A871" s="211"/>
      <c r="B871" s="449"/>
      <c r="C871" s="450"/>
      <c r="D871" s="211"/>
      <c r="E871" s="211"/>
      <c r="F871" s="211"/>
      <c r="G871" s="84"/>
      <c r="H871" s="211"/>
      <c r="I871" s="211"/>
      <c r="J871" s="211"/>
      <c r="K871" s="211"/>
      <c r="L871" s="84"/>
      <c r="M871" s="211"/>
      <c r="N871" s="211"/>
      <c r="O871" s="211"/>
      <c r="P871" s="211"/>
      <c r="Q871" s="84"/>
      <c r="R871" s="211"/>
      <c r="S871" s="211"/>
      <c r="T871" s="211"/>
      <c r="U871" s="211"/>
      <c r="V871" s="84"/>
      <c r="W871" s="211"/>
      <c r="X871" s="211"/>
      <c r="Y871" s="211"/>
      <c r="Z871" s="211"/>
      <c r="AA871" s="84"/>
      <c r="AB871" s="146"/>
      <c r="AC871" s="211"/>
      <c r="AD871" s="211"/>
      <c r="AE871" s="211"/>
      <c r="AF871" s="84"/>
      <c r="AG871" s="146"/>
      <c r="AH871" s="211"/>
      <c r="AI871" s="211"/>
      <c r="AJ871" s="211"/>
      <c r="AK871" s="84"/>
      <c r="AL871" s="146"/>
      <c r="AM871" s="211"/>
      <c r="AN871" s="211"/>
      <c r="AO871" s="211"/>
      <c r="AP871" s="436"/>
      <c r="AQ871" s="146"/>
      <c r="AR871" s="211"/>
      <c r="AS871" s="211"/>
      <c r="AT871" s="211"/>
      <c r="AU871" s="84"/>
      <c r="AV871" s="211"/>
      <c r="AW871" s="211"/>
      <c r="AX871" s="211"/>
      <c r="AY871" s="211"/>
      <c r="AZ871" s="84"/>
      <c r="BA871" s="211"/>
      <c r="BB871" s="211"/>
      <c r="BC871" s="211"/>
      <c r="BD871" s="211"/>
      <c r="BE871" s="84"/>
      <c r="BF871" s="211"/>
      <c r="BG871" s="451"/>
    </row>
    <row r="872" spans="1:59" ht="12.75">
      <c r="A872" s="211"/>
      <c r="B872" s="449"/>
      <c r="C872" s="450"/>
      <c r="D872" s="211"/>
      <c r="E872" s="211"/>
      <c r="F872" s="211"/>
      <c r="G872" s="84"/>
      <c r="H872" s="211"/>
      <c r="I872" s="211"/>
      <c r="J872" s="211"/>
      <c r="K872" s="211"/>
      <c r="L872" s="84"/>
      <c r="M872" s="211"/>
      <c r="N872" s="211"/>
      <c r="O872" s="211"/>
      <c r="P872" s="211"/>
      <c r="Q872" s="84"/>
      <c r="R872" s="211"/>
      <c r="S872" s="211"/>
      <c r="T872" s="211"/>
      <c r="U872" s="211"/>
      <c r="V872" s="84"/>
      <c r="W872" s="211"/>
      <c r="X872" s="211"/>
      <c r="Y872" s="211"/>
      <c r="Z872" s="211"/>
      <c r="AA872" s="84"/>
      <c r="AB872" s="146"/>
      <c r="AC872" s="211"/>
      <c r="AD872" s="211"/>
      <c r="AE872" s="211"/>
      <c r="AF872" s="84"/>
      <c r="AG872" s="146"/>
      <c r="AH872" s="211"/>
      <c r="AI872" s="211"/>
      <c r="AJ872" s="211"/>
      <c r="AK872" s="84"/>
      <c r="AL872" s="146"/>
      <c r="AM872" s="211"/>
      <c r="AN872" s="211"/>
      <c r="AO872" s="211"/>
      <c r="AP872" s="436"/>
      <c r="AQ872" s="146"/>
      <c r="AR872" s="211"/>
      <c r="AS872" s="211"/>
      <c r="AT872" s="211"/>
      <c r="AU872" s="84"/>
      <c r="AV872" s="211"/>
      <c r="AW872" s="211"/>
      <c r="AX872" s="211"/>
      <c r="AY872" s="211"/>
      <c r="AZ872" s="84"/>
      <c r="BA872" s="211"/>
      <c r="BB872" s="211"/>
      <c r="BC872" s="211"/>
      <c r="BD872" s="211"/>
      <c r="BE872" s="84"/>
      <c r="BF872" s="211"/>
      <c r="BG872" s="451"/>
    </row>
    <row r="873" spans="1:59" ht="12.75">
      <c r="A873" s="211"/>
      <c r="B873" s="449"/>
      <c r="C873" s="450"/>
      <c r="D873" s="211"/>
      <c r="E873" s="211"/>
      <c r="F873" s="211"/>
      <c r="G873" s="84"/>
      <c r="H873" s="211"/>
      <c r="I873" s="211"/>
      <c r="J873" s="211"/>
      <c r="K873" s="211"/>
      <c r="L873" s="84"/>
      <c r="M873" s="211"/>
      <c r="N873" s="211"/>
      <c r="O873" s="211"/>
      <c r="P873" s="211"/>
      <c r="Q873" s="84"/>
      <c r="R873" s="211"/>
      <c r="S873" s="211"/>
      <c r="T873" s="211"/>
      <c r="U873" s="211"/>
      <c r="V873" s="84"/>
      <c r="W873" s="211"/>
      <c r="X873" s="211"/>
      <c r="Y873" s="211"/>
      <c r="Z873" s="211"/>
      <c r="AA873" s="84"/>
      <c r="AB873" s="146"/>
      <c r="AC873" s="211"/>
      <c r="AD873" s="211"/>
      <c r="AE873" s="211"/>
      <c r="AF873" s="84"/>
      <c r="AG873" s="146"/>
      <c r="AH873" s="211"/>
      <c r="AI873" s="211"/>
      <c r="AJ873" s="211"/>
      <c r="AK873" s="84"/>
      <c r="AL873" s="146"/>
      <c r="AM873" s="211"/>
      <c r="AN873" s="211"/>
      <c r="AO873" s="211"/>
      <c r="AP873" s="436"/>
      <c r="AQ873" s="146"/>
      <c r="AR873" s="211"/>
      <c r="AS873" s="211"/>
      <c r="AT873" s="211"/>
      <c r="AU873" s="84"/>
      <c r="AV873" s="211"/>
      <c r="AW873" s="211"/>
      <c r="AX873" s="211"/>
      <c r="AY873" s="211"/>
      <c r="AZ873" s="84"/>
      <c r="BA873" s="211"/>
      <c r="BB873" s="211"/>
      <c r="BC873" s="211"/>
      <c r="BD873" s="211"/>
      <c r="BE873" s="84"/>
      <c r="BF873" s="211"/>
      <c r="BG873" s="451"/>
    </row>
    <row r="874" spans="1:59" ht="12.75">
      <c r="A874" s="211"/>
      <c r="B874" s="449"/>
      <c r="C874" s="450"/>
      <c r="D874" s="211"/>
      <c r="E874" s="211"/>
      <c r="F874" s="211"/>
      <c r="G874" s="84"/>
      <c r="H874" s="211"/>
      <c r="I874" s="211"/>
      <c r="J874" s="211"/>
      <c r="K874" s="211"/>
      <c r="L874" s="84"/>
      <c r="M874" s="211"/>
      <c r="N874" s="211"/>
      <c r="O874" s="211"/>
      <c r="P874" s="211"/>
      <c r="Q874" s="84"/>
      <c r="R874" s="211"/>
      <c r="S874" s="211"/>
      <c r="T874" s="211"/>
      <c r="U874" s="211"/>
      <c r="V874" s="84"/>
      <c r="W874" s="211"/>
      <c r="X874" s="211"/>
      <c r="Y874" s="211"/>
      <c r="Z874" s="211"/>
      <c r="AA874" s="84"/>
      <c r="AB874" s="146"/>
      <c r="AC874" s="211"/>
      <c r="AD874" s="211"/>
      <c r="AE874" s="211"/>
      <c r="AF874" s="84"/>
      <c r="AG874" s="146"/>
      <c r="AH874" s="211"/>
      <c r="AI874" s="211"/>
      <c r="AJ874" s="211"/>
      <c r="AK874" s="84"/>
      <c r="AL874" s="146"/>
      <c r="AM874" s="211"/>
      <c r="AN874" s="211"/>
      <c r="AO874" s="211"/>
      <c r="AP874" s="436"/>
      <c r="AQ874" s="146"/>
      <c r="AR874" s="211"/>
      <c r="AS874" s="211"/>
      <c r="AT874" s="211"/>
      <c r="AU874" s="84"/>
      <c r="AV874" s="211"/>
      <c r="AW874" s="211"/>
      <c r="AX874" s="211"/>
      <c r="AY874" s="211"/>
      <c r="AZ874" s="84"/>
      <c r="BA874" s="211"/>
      <c r="BB874" s="211"/>
      <c r="BC874" s="211"/>
      <c r="BD874" s="211"/>
      <c r="BE874" s="84"/>
      <c r="BF874" s="211"/>
      <c r="BG874" s="451"/>
    </row>
    <row r="875" spans="1:59" ht="12.75">
      <c r="A875" s="211"/>
      <c r="B875" s="449"/>
      <c r="C875" s="450"/>
      <c r="D875" s="211"/>
      <c r="E875" s="211"/>
      <c r="F875" s="211"/>
      <c r="G875" s="84"/>
      <c r="H875" s="211"/>
      <c r="I875" s="211"/>
      <c r="J875" s="211"/>
      <c r="K875" s="211"/>
      <c r="L875" s="84"/>
      <c r="M875" s="211"/>
      <c r="N875" s="211"/>
      <c r="O875" s="211"/>
      <c r="P875" s="211"/>
      <c r="Q875" s="84"/>
      <c r="R875" s="211"/>
      <c r="S875" s="211"/>
      <c r="T875" s="211"/>
      <c r="U875" s="211"/>
      <c r="V875" s="84"/>
      <c r="W875" s="211"/>
      <c r="X875" s="211"/>
      <c r="Y875" s="211"/>
      <c r="Z875" s="211"/>
      <c r="AA875" s="84"/>
      <c r="AB875" s="146"/>
      <c r="AC875" s="211"/>
      <c r="AD875" s="211"/>
      <c r="AE875" s="211"/>
      <c r="AF875" s="84"/>
      <c r="AG875" s="146"/>
      <c r="AH875" s="211"/>
      <c r="AI875" s="211"/>
      <c r="AJ875" s="211"/>
      <c r="AK875" s="84"/>
      <c r="AL875" s="146"/>
      <c r="AM875" s="211"/>
      <c r="AN875" s="211"/>
      <c r="AO875" s="211"/>
      <c r="AP875" s="436"/>
      <c r="AQ875" s="146"/>
      <c r="AR875" s="211"/>
      <c r="AS875" s="211"/>
      <c r="AT875" s="211"/>
      <c r="AU875" s="84"/>
      <c r="AV875" s="211"/>
      <c r="AW875" s="211"/>
      <c r="AX875" s="211"/>
      <c r="AY875" s="211"/>
      <c r="AZ875" s="84"/>
      <c r="BA875" s="211"/>
      <c r="BB875" s="211"/>
      <c r="BC875" s="211"/>
      <c r="BD875" s="211"/>
      <c r="BE875" s="84"/>
      <c r="BF875" s="211"/>
      <c r="BG875" s="451"/>
    </row>
    <row r="876" spans="1:59" ht="12.75">
      <c r="A876" s="211"/>
      <c r="B876" s="449"/>
      <c r="C876" s="450"/>
      <c r="D876" s="211"/>
      <c r="E876" s="211"/>
      <c r="F876" s="211"/>
      <c r="G876" s="84"/>
      <c r="H876" s="211"/>
      <c r="I876" s="211"/>
      <c r="J876" s="211"/>
      <c r="K876" s="211"/>
      <c r="L876" s="84"/>
      <c r="M876" s="211"/>
      <c r="N876" s="211"/>
      <c r="O876" s="211"/>
      <c r="P876" s="211"/>
      <c r="Q876" s="84"/>
      <c r="R876" s="211"/>
      <c r="S876" s="211"/>
      <c r="T876" s="211"/>
      <c r="U876" s="211"/>
      <c r="V876" s="84"/>
      <c r="W876" s="211"/>
      <c r="X876" s="211"/>
      <c r="Y876" s="211"/>
      <c r="Z876" s="211"/>
      <c r="AA876" s="84"/>
      <c r="AB876" s="146"/>
      <c r="AC876" s="211"/>
      <c r="AD876" s="211"/>
      <c r="AE876" s="211"/>
      <c r="AF876" s="84"/>
      <c r="AG876" s="146"/>
      <c r="AH876" s="211"/>
      <c r="AI876" s="211"/>
      <c r="AJ876" s="211"/>
      <c r="AK876" s="84"/>
      <c r="AL876" s="146"/>
      <c r="AM876" s="211"/>
      <c r="AN876" s="211"/>
      <c r="AO876" s="211"/>
      <c r="AP876" s="436"/>
      <c r="AQ876" s="146"/>
      <c r="AR876" s="211"/>
      <c r="AS876" s="211"/>
      <c r="AT876" s="211"/>
      <c r="AU876" s="84"/>
      <c r="AV876" s="211"/>
      <c r="AW876" s="211"/>
      <c r="AX876" s="211"/>
      <c r="AY876" s="211"/>
      <c r="AZ876" s="84"/>
      <c r="BA876" s="211"/>
      <c r="BB876" s="211"/>
      <c r="BC876" s="211"/>
      <c r="BD876" s="211"/>
      <c r="BE876" s="84"/>
      <c r="BF876" s="211"/>
      <c r="BG876" s="451"/>
    </row>
    <row r="877" spans="1:59" ht="12.75">
      <c r="A877" s="211"/>
      <c r="B877" s="449"/>
      <c r="C877" s="450"/>
      <c r="D877" s="211"/>
      <c r="E877" s="211"/>
      <c r="F877" s="211"/>
      <c r="G877" s="84"/>
      <c r="H877" s="211"/>
      <c r="I877" s="211"/>
      <c r="J877" s="211"/>
      <c r="K877" s="211"/>
      <c r="L877" s="84"/>
      <c r="M877" s="211"/>
      <c r="N877" s="211"/>
      <c r="O877" s="211"/>
      <c r="P877" s="211"/>
      <c r="Q877" s="84"/>
      <c r="R877" s="211"/>
      <c r="S877" s="211"/>
      <c r="T877" s="211"/>
      <c r="U877" s="211"/>
      <c r="V877" s="84"/>
      <c r="W877" s="211"/>
      <c r="X877" s="211"/>
      <c r="Y877" s="211"/>
      <c r="Z877" s="211"/>
      <c r="AA877" s="84"/>
      <c r="AB877" s="146"/>
      <c r="AC877" s="211"/>
      <c r="AD877" s="211"/>
      <c r="AE877" s="211"/>
      <c r="AF877" s="84"/>
      <c r="AG877" s="146"/>
      <c r="AH877" s="211"/>
      <c r="AI877" s="211"/>
      <c r="AJ877" s="211"/>
      <c r="AK877" s="84"/>
      <c r="AL877" s="146"/>
      <c r="AM877" s="211"/>
      <c r="AN877" s="211"/>
      <c r="AO877" s="211"/>
      <c r="AP877" s="436"/>
      <c r="AQ877" s="146"/>
      <c r="AR877" s="211"/>
      <c r="AS877" s="211"/>
      <c r="AT877" s="211"/>
      <c r="AU877" s="84"/>
      <c r="AV877" s="211"/>
      <c r="AW877" s="211"/>
      <c r="AX877" s="211"/>
      <c r="AY877" s="211"/>
      <c r="AZ877" s="84"/>
      <c r="BA877" s="211"/>
      <c r="BB877" s="211"/>
      <c r="BC877" s="211"/>
      <c r="BD877" s="211"/>
      <c r="BE877" s="84"/>
      <c r="BF877" s="211"/>
      <c r="BG877" s="451"/>
    </row>
    <row r="878" spans="1:59" ht="12.75">
      <c r="A878" s="211"/>
      <c r="B878" s="449"/>
      <c r="C878" s="450"/>
      <c r="D878" s="211"/>
      <c r="E878" s="211"/>
      <c r="F878" s="211"/>
      <c r="G878" s="84"/>
      <c r="H878" s="211"/>
      <c r="I878" s="211"/>
      <c r="J878" s="211"/>
      <c r="K878" s="211"/>
      <c r="L878" s="84"/>
      <c r="M878" s="211"/>
      <c r="N878" s="211"/>
      <c r="O878" s="211"/>
      <c r="P878" s="211"/>
      <c r="Q878" s="84"/>
      <c r="R878" s="211"/>
      <c r="S878" s="211"/>
      <c r="T878" s="211"/>
      <c r="U878" s="211"/>
      <c r="V878" s="84"/>
      <c r="W878" s="211"/>
      <c r="X878" s="211"/>
      <c r="Y878" s="211"/>
      <c r="Z878" s="211"/>
      <c r="AA878" s="84"/>
      <c r="AB878" s="146"/>
      <c r="AC878" s="211"/>
      <c r="AD878" s="211"/>
      <c r="AE878" s="211"/>
      <c r="AF878" s="84"/>
      <c r="AG878" s="146"/>
      <c r="AH878" s="211"/>
      <c r="AI878" s="211"/>
      <c r="AJ878" s="211"/>
      <c r="AK878" s="84"/>
      <c r="AL878" s="146"/>
      <c r="AM878" s="211"/>
      <c r="AN878" s="211"/>
      <c r="AO878" s="211"/>
      <c r="AP878" s="436"/>
      <c r="AQ878" s="146"/>
      <c r="AR878" s="211"/>
      <c r="AS878" s="211"/>
      <c r="AT878" s="211"/>
      <c r="AU878" s="84"/>
      <c r="AV878" s="211"/>
      <c r="AW878" s="211"/>
      <c r="AX878" s="211"/>
      <c r="AY878" s="211"/>
      <c r="AZ878" s="84"/>
      <c r="BA878" s="211"/>
      <c r="BB878" s="211"/>
      <c r="BC878" s="211"/>
      <c r="BD878" s="211"/>
      <c r="BE878" s="84"/>
      <c r="BF878" s="211"/>
      <c r="BG878" s="451"/>
    </row>
    <row r="879" spans="1:59" ht="12.75">
      <c r="A879" s="211"/>
      <c r="B879" s="449"/>
      <c r="C879" s="450"/>
      <c r="D879" s="211"/>
      <c r="E879" s="211"/>
      <c r="F879" s="211"/>
      <c r="G879" s="84"/>
      <c r="H879" s="211"/>
      <c r="I879" s="211"/>
      <c r="J879" s="211"/>
      <c r="K879" s="211"/>
      <c r="L879" s="84"/>
      <c r="M879" s="211"/>
      <c r="N879" s="211"/>
      <c r="O879" s="211"/>
      <c r="P879" s="211"/>
      <c r="Q879" s="84"/>
      <c r="R879" s="211"/>
      <c r="S879" s="211"/>
      <c r="T879" s="211"/>
      <c r="U879" s="211"/>
      <c r="V879" s="84"/>
      <c r="W879" s="211"/>
      <c r="X879" s="211"/>
      <c r="Y879" s="211"/>
      <c r="Z879" s="211"/>
      <c r="AA879" s="84"/>
      <c r="AB879" s="146"/>
      <c r="AC879" s="211"/>
      <c r="AD879" s="211"/>
      <c r="AE879" s="211"/>
      <c r="AF879" s="84"/>
      <c r="AG879" s="146"/>
      <c r="AH879" s="211"/>
      <c r="AI879" s="211"/>
      <c r="AJ879" s="211"/>
      <c r="AK879" s="84"/>
      <c r="AL879" s="146"/>
      <c r="AM879" s="211"/>
      <c r="AN879" s="211"/>
      <c r="AO879" s="211"/>
      <c r="AP879" s="436"/>
      <c r="AQ879" s="146"/>
      <c r="AR879" s="211"/>
      <c r="AS879" s="211"/>
      <c r="AT879" s="211"/>
      <c r="AU879" s="84"/>
      <c r="AV879" s="211"/>
      <c r="AW879" s="211"/>
      <c r="AX879" s="211"/>
      <c r="AY879" s="211"/>
      <c r="AZ879" s="84"/>
      <c r="BA879" s="211"/>
      <c r="BB879" s="211"/>
      <c r="BC879" s="211"/>
      <c r="BD879" s="211"/>
      <c r="BE879" s="84"/>
      <c r="BF879" s="211"/>
      <c r="BG879" s="451"/>
    </row>
    <row r="880" spans="1:59" ht="12.75">
      <c r="A880" s="211"/>
      <c r="B880" s="449"/>
      <c r="C880" s="450"/>
      <c r="D880" s="211"/>
      <c r="E880" s="211"/>
      <c r="F880" s="211"/>
      <c r="G880" s="84"/>
      <c r="H880" s="211"/>
      <c r="I880" s="211"/>
      <c r="J880" s="211"/>
      <c r="K880" s="211"/>
      <c r="L880" s="84"/>
      <c r="M880" s="211"/>
      <c r="N880" s="211"/>
      <c r="O880" s="211"/>
      <c r="P880" s="211"/>
      <c r="Q880" s="84"/>
      <c r="R880" s="211"/>
      <c r="S880" s="211"/>
      <c r="T880" s="211"/>
      <c r="U880" s="211"/>
      <c r="V880" s="84"/>
      <c r="W880" s="211"/>
      <c r="X880" s="211"/>
      <c r="Y880" s="211"/>
      <c r="Z880" s="211"/>
      <c r="AA880" s="84"/>
      <c r="AB880" s="146"/>
      <c r="AC880" s="211"/>
      <c r="AD880" s="211"/>
      <c r="AE880" s="211"/>
      <c r="AF880" s="84"/>
      <c r="AG880" s="146"/>
      <c r="AH880" s="211"/>
      <c r="AI880" s="211"/>
      <c r="AJ880" s="211"/>
      <c r="AK880" s="84"/>
      <c r="AL880" s="146"/>
      <c r="AM880" s="211"/>
      <c r="AN880" s="211"/>
      <c r="AO880" s="211"/>
      <c r="AP880" s="436"/>
      <c r="AQ880" s="146"/>
      <c r="AR880" s="211"/>
      <c r="AS880" s="211"/>
      <c r="AT880" s="211"/>
      <c r="AU880" s="84"/>
      <c r="AV880" s="211"/>
      <c r="AW880" s="211"/>
      <c r="AX880" s="211"/>
      <c r="AY880" s="211"/>
      <c r="AZ880" s="84"/>
      <c r="BA880" s="211"/>
      <c r="BB880" s="211"/>
      <c r="BC880" s="211"/>
      <c r="BD880" s="211"/>
      <c r="BE880" s="84"/>
      <c r="BF880" s="211"/>
      <c r="BG880" s="451"/>
    </row>
    <row r="881" spans="1:59" ht="12.75">
      <c r="A881" s="211"/>
      <c r="B881" s="449"/>
      <c r="C881" s="450"/>
      <c r="D881" s="211"/>
      <c r="E881" s="211"/>
      <c r="F881" s="211"/>
      <c r="G881" s="84"/>
      <c r="H881" s="211"/>
      <c r="I881" s="211"/>
      <c r="J881" s="211"/>
      <c r="K881" s="211"/>
      <c r="L881" s="84"/>
      <c r="M881" s="211"/>
      <c r="N881" s="211"/>
      <c r="O881" s="211"/>
      <c r="P881" s="211"/>
      <c r="Q881" s="84"/>
      <c r="R881" s="211"/>
      <c r="S881" s="211"/>
      <c r="T881" s="211"/>
      <c r="U881" s="211"/>
      <c r="V881" s="84"/>
      <c r="W881" s="211"/>
      <c r="X881" s="211"/>
      <c r="Y881" s="211"/>
      <c r="Z881" s="211"/>
      <c r="AA881" s="84"/>
      <c r="AB881" s="146"/>
      <c r="AC881" s="211"/>
      <c r="AD881" s="211"/>
      <c r="AE881" s="211"/>
      <c r="AF881" s="84"/>
      <c r="AG881" s="146"/>
      <c r="AH881" s="211"/>
      <c r="AI881" s="211"/>
      <c r="AJ881" s="211"/>
      <c r="AK881" s="84"/>
      <c r="AL881" s="146"/>
      <c r="AM881" s="211"/>
      <c r="AN881" s="211"/>
      <c r="AO881" s="211"/>
      <c r="AP881" s="436"/>
      <c r="AQ881" s="146"/>
      <c r="AR881" s="211"/>
      <c r="AS881" s="211"/>
      <c r="AT881" s="211"/>
      <c r="AU881" s="84"/>
      <c r="AV881" s="211"/>
      <c r="AW881" s="211"/>
      <c r="AX881" s="211"/>
      <c r="AY881" s="211"/>
      <c r="AZ881" s="84"/>
      <c r="BA881" s="211"/>
      <c r="BB881" s="211"/>
      <c r="BC881" s="211"/>
      <c r="BD881" s="211"/>
      <c r="BE881" s="84"/>
      <c r="BF881" s="211"/>
      <c r="BG881" s="451"/>
    </row>
    <row r="882" spans="1:59" ht="12.75">
      <c r="A882" s="211"/>
      <c r="B882" s="449"/>
      <c r="C882" s="450"/>
      <c r="D882" s="211"/>
      <c r="E882" s="211"/>
      <c r="F882" s="211"/>
      <c r="G882" s="84"/>
      <c r="H882" s="211"/>
      <c r="I882" s="211"/>
      <c r="J882" s="211"/>
      <c r="K882" s="211"/>
      <c r="L882" s="84"/>
      <c r="M882" s="211"/>
      <c r="N882" s="211"/>
      <c r="O882" s="211"/>
      <c r="P882" s="211"/>
      <c r="Q882" s="84"/>
      <c r="R882" s="211"/>
      <c r="S882" s="211"/>
      <c r="T882" s="211"/>
      <c r="U882" s="211"/>
      <c r="V882" s="84"/>
      <c r="W882" s="211"/>
      <c r="X882" s="211"/>
      <c r="Y882" s="211"/>
      <c r="Z882" s="211"/>
      <c r="AA882" s="84"/>
      <c r="AB882" s="146"/>
      <c r="AC882" s="211"/>
      <c r="AD882" s="211"/>
      <c r="AE882" s="211"/>
      <c r="AF882" s="84"/>
      <c r="AG882" s="146"/>
      <c r="AH882" s="211"/>
      <c r="AI882" s="211"/>
      <c r="AJ882" s="211"/>
      <c r="AK882" s="84"/>
      <c r="AL882" s="146"/>
      <c r="AM882" s="211"/>
      <c r="AN882" s="211"/>
      <c r="AO882" s="211"/>
      <c r="AP882" s="436"/>
      <c r="AQ882" s="146"/>
      <c r="AR882" s="211"/>
      <c r="AS882" s="211"/>
      <c r="AT882" s="211"/>
      <c r="AU882" s="84"/>
      <c r="AV882" s="211"/>
      <c r="AW882" s="211"/>
      <c r="AX882" s="211"/>
      <c r="AY882" s="211"/>
      <c r="AZ882" s="84"/>
      <c r="BA882" s="211"/>
      <c r="BB882" s="211"/>
      <c r="BC882" s="211"/>
      <c r="BD882" s="211"/>
      <c r="BE882" s="84"/>
      <c r="BF882" s="211"/>
      <c r="BG882" s="451"/>
    </row>
    <row r="883" spans="1:59" ht="12.75">
      <c r="A883" s="211"/>
      <c r="B883" s="449"/>
      <c r="C883" s="450"/>
      <c r="D883" s="211"/>
      <c r="E883" s="211"/>
      <c r="F883" s="211"/>
      <c r="G883" s="84"/>
      <c r="H883" s="211"/>
      <c r="I883" s="211"/>
      <c r="J883" s="211"/>
      <c r="K883" s="211"/>
      <c r="L883" s="84"/>
      <c r="M883" s="211"/>
      <c r="N883" s="211"/>
      <c r="O883" s="211"/>
      <c r="P883" s="211"/>
      <c r="Q883" s="84"/>
      <c r="R883" s="211"/>
      <c r="S883" s="211"/>
      <c r="T883" s="211"/>
      <c r="U883" s="211"/>
      <c r="V883" s="84"/>
      <c r="W883" s="211"/>
      <c r="X883" s="211"/>
      <c r="Y883" s="211"/>
      <c r="Z883" s="211"/>
      <c r="AA883" s="84"/>
      <c r="AB883" s="146"/>
      <c r="AC883" s="211"/>
      <c r="AD883" s="211"/>
      <c r="AE883" s="211"/>
      <c r="AF883" s="84"/>
      <c r="AG883" s="146"/>
      <c r="AH883" s="211"/>
      <c r="AI883" s="211"/>
      <c r="AJ883" s="211"/>
      <c r="AK883" s="84"/>
      <c r="AL883" s="146"/>
      <c r="AM883" s="211"/>
      <c r="AN883" s="211"/>
      <c r="AO883" s="211"/>
      <c r="AP883" s="436"/>
      <c r="AQ883" s="146"/>
      <c r="AR883" s="211"/>
      <c r="AS883" s="211"/>
      <c r="AT883" s="211"/>
      <c r="AU883" s="84"/>
      <c r="AV883" s="211"/>
      <c r="AW883" s="211"/>
      <c r="AX883" s="211"/>
      <c r="AY883" s="211"/>
      <c r="AZ883" s="84"/>
      <c r="BA883" s="211"/>
      <c r="BB883" s="211"/>
      <c r="BC883" s="211"/>
      <c r="BD883" s="211"/>
      <c r="BE883" s="84"/>
      <c r="BF883" s="211"/>
      <c r="BG883" s="451"/>
    </row>
    <row r="884" spans="1:59" ht="12.75">
      <c r="A884" s="211"/>
      <c r="B884" s="449"/>
      <c r="C884" s="450"/>
      <c r="D884" s="211"/>
      <c r="E884" s="211"/>
      <c r="F884" s="211"/>
      <c r="G884" s="84"/>
      <c r="H884" s="211"/>
      <c r="I884" s="211"/>
      <c r="J884" s="211"/>
      <c r="K884" s="211"/>
      <c r="L884" s="84"/>
      <c r="M884" s="211"/>
      <c r="N884" s="211"/>
      <c r="O884" s="211"/>
      <c r="P884" s="211"/>
      <c r="Q884" s="84"/>
      <c r="R884" s="211"/>
      <c r="S884" s="211"/>
      <c r="T884" s="211"/>
      <c r="U884" s="211"/>
      <c r="V884" s="84"/>
      <c r="W884" s="211"/>
      <c r="X884" s="211"/>
      <c r="Y884" s="211"/>
      <c r="Z884" s="211"/>
      <c r="AA884" s="84"/>
      <c r="AB884" s="146"/>
      <c r="AC884" s="211"/>
      <c r="AD884" s="211"/>
      <c r="AE884" s="211"/>
      <c r="AF884" s="84"/>
      <c r="AG884" s="146"/>
      <c r="AH884" s="211"/>
      <c r="AI884" s="211"/>
      <c r="AJ884" s="211"/>
      <c r="AK884" s="84"/>
      <c r="AL884" s="146"/>
      <c r="AM884" s="211"/>
      <c r="AN884" s="211"/>
      <c r="AO884" s="211"/>
      <c r="AP884" s="436"/>
      <c r="AQ884" s="146"/>
      <c r="AR884" s="211"/>
      <c r="AS884" s="211"/>
      <c r="AT884" s="211"/>
      <c r="AU884" s="84"/>
      <c r="AV884" s="211"/>
      <c r="AW884" s="211"/>
      <c r="AX884" s="211"/>
      <c r="AY884" s="211"/>
      <c r="AZ884" s="84"/>
      <c r="BA884" s="211"/>
      <c r="BB884" s="211"/>
      <c r="BC884" s="211"/>
      <c r="BD884" s="211"/>
      <c r="BE884" s="84"/>
      <c r="BF884" s="211"/>
      <c r="BG884" s="451"/>
    </row>
    <row r="885" spans="1:59" ht="12.75">
      <c r="A885" s="211"/>
      <c r="B885" s="449"/>
      <c r="C885" s="450"/>
      <c r="D885" s="211"/>
      <c r="E885" s="211"/>
      <c r="F885" s="211"/>
      <c r="G885" s="84"/>
      <c r="H885" s="211"/>
      <c r="I885" s="211"/>
      <c r="J885" s="211"/>
      <c r="K885" s="211"/>
      <c r="L885" s="84"/>
      <c r="M885" s="211"/>
      <c r="N885" s="211"/>
      <c r="O885" s="211"/>
      <c r="P885" s="211"/>
      <c r="Q885" s="84"/>
      <c r="R885" s="211"/>
      <c r="S885" s="211"/>
      <c r="T885" s="211"/>
      <c r="U885" s="211"/>
      <c r="V885" s="84"/>
      <c r="W885" s="211"/>
      <c r="X885" s="211"/>
      <c r="Y885" s="211"/>
      <c r="Z885" s="211"/>
      <c r="AA885" s="84"/>
      <c r="AB885" s="146"/>
      <c r="AC885" s="211"/>
      <c r="AD885" s="211"/>
      <c r="AE885" s="211"/>
      <c r="AF885" s="84"/>
      <c r="AG885" s="146"/>
      <c r="AH885" s="211"/>
      <c r="AI885" s="211"/>
      <c r="AJ885" s="211"/>
      <c r="AK885" s="84"/>
      <c r="AL885" s="146"/>
      <c r="AM885" s="211"/>
      <c r="AN885" s="211"/>
      <c r="AO885" s="211"/>
      <c r="AP885" s="436"/>
      <c r="AQ885" s="146"/>
      <c r="AR885" s="211"/>
      <c r="AS885" s="211"/>
      <c r="AT885" s="211"/>
      <c r="AU885" s="84"/>
      <c r="AV885" s="211"/>
      <c r="AW885" s="211"/>
      <c r="AX885" s="211"/>
      <c r="AY885" s="211"/>
      <c r="AZ885" s="84"/>
      <c r="BA885" s="211"/>
      <c r="BB885" s="211"/>
      <c r="BC885" s="211"/>
      <c r="BD885" s="211"/>
      <c r="BE885" s="84"/>
      <c r="BF885" s="211"/>
      <c r="BG885" s="451"/>
    </row>
    <row r="886" spans="1:59" ht="12.75">
      <c r="A886" s="211"/>
      <c r="B886" s="449"/>
      <c r="C886" s="450"/>
      <c r="D886" s="211"/>
      <c r="E886" s="211"/>
      <c r="F886" s="211"/>
      <c r="G886" s="84"/>
      <c r="H886" s="211"/>
      <c r="I886" s="211"/>
      <c r="J886" s="211"/>
      <c r="K886" s="211"/>
      <c r="L886" s="84"/>
      <c r="M886" s="211"/>
      <c r="N886" s="211"/>
      <c r="O886" s="211"/>
      <c r="P886" s="211"/>
      <c r="Q886" s="84"/>
      <c r="R886" s="211"/>
      <c r="S886" s="211"/>
      <c r="T886" s="211"/>
      <c r="U886" s="211"/>
      <c r="V886" s="84"/>
      <c r="W886" s="211"/>
      <c r="X886" s="211"/>
      <c r="Y886" s="211"/>
      <c r="Z886" s="211"/>
      <c r="AA886" s="84"/>
      <c r="AB886" s="146"/>
      <c r="AC886" s="211"/>
      <c r="AD886" s="211"/>
      <c r="AE886" s="211"/>
      <c r="AF886" s="84"/>
      <c r="AG886" s="146"/>
      <c r="AH886" s="211"/>
      <c r="AI886" s="211"/>
      <c r="AJ886" s="211"/>
      <c r="AK886" s="84"/>
      <c r="AL886" s="146"/>
      <c r="AM886" s="211"/>
      <c r="AN886" s="211"/>
      <c r="AO886" s="211"/>
      <c r="AP886" s="436"/>
      <c r="AQ886" s="146"/>
      <c r="AR886" s="211"/>
      <c r="AS886" s="211"/>
      <c r="AT886" s="211"/>
      <c r="AU886" s="84"/>
      <c r="AV886" s="211"/>
      <c r="AW886" s="211"/>
      <c r="AX886" s="211"/>
      <c r="AY886" s="211"/>
      <c r="AZ886" s="84"/>
      <c r="BA886" s="211"/>
      <c r="BB886" s="211"/>
      <c r="BC886" s="211"/>
      <c r="BD886" s="211"/>
      <c r="BE886" s="84"/>
      <c r="BF886" s="211"/>
      <c r="BG886" s="451"/>
    </row>
    <row r="887" spans="1:59" ht="12.75">
      <c r="A887" s="211"/>
      <c r="B887" s="449"/>
      <c r="C887" s="450"/>
      <c r="D887" s="211"/>
      <c r="E887" s="211"/>
      <c r="F887" s="211"/>
      <c r="G887" s="84"/>
      <c r="H887" s="211"/>
      <c r="I887" s="211"/>
      <c r="J887" s="211"/>
      <c r="K887" s="211"/>
      <c r="L887" s="84"/>
      <c r="M887" s="211"/>
      <c r="N887" s="211"/>
      <c r="O887" s="211"/>
      <c r="P887" s="211"/>
      <c r="Q887" s="84"/>
      <c r="R887" s="211"/>
      <c r="S887" s="211"/>
      <c r="T887" s="211"/>
      <c r="U887" s="211"/>
      <c r="V887" s="84"/>
      <c r="W887" s="211"/>
      <c r="X887" s="211"/>
      <c r="Y887" s="211"/>
      <c r="Z887" s="211"/>
      <c r="AA887" s="84"/>
      <c r="AB887" s="146"/>
      <c r="AC887" s="211"/>
      <c r="AD887" s="211"/>
      <c r="AE887" s="211"/>
      <c r="AF887" s="84"/>
      <c r="AG887" s="146"/>
      <c r="AH887" s="211"/>
      <c r="AI887" s="211"/>
      <c r="AJ887" s="211"/>
      <c r="AK887" s="84"/>
      <c r="AL887" s="146"/>
      <c r="AM887" s="211"/>
      <c r="AN887" s="211"/>
      <c r="AO887" s="211"/>
      <c r="AP887" s="436"/>
      <c r="AQ887" s="146"/>
      <c r="AR887" s="211"/>
      <c r="AS887" s="211"/>
      <c r="AT887" s="211"/>
      <c r="AU887" s="84"/>
      <c r="AV887" s="211"/>
      <c r="AW887" s="211"/>
      <c r="AX887" s="211"/>
      <c r="AY887" s="211"/>
      <c r="AZ887" s="84"/>
      <c r="BA887" s="211"/>
      <c r="BB887" s="211"/>
      <c r="BC887" s="211"/>
      <c r="BD887" s="211"/>
      <c r="BE887" s="84"/>
      <c r="BF887" s="211"/>
      <c r="BG887" s="451"/>
    </row>
    <row r="888" spans="1:59" ht="12.75">
      <c r="A888" s="211"/>
      <c r="B888" s="449"/>
      <c r="C888" s="450"/>
      <c r="D888" s="211"/>
      <c r="E888" s="211"/>
      <c r="F888" s="211"/>
      <c r="G888" s="84"/>
      <c r="H888" s="211"/>
      <c r="I888" s="211"/>
      <c r="J888" s="211"/>
      <c r="K888" s="211"/>
      <c r="L888" s="84"/>
      <c r="M888" s="211"/>
      <c r="N888" s="211"/>
      <c r="O888" s="211"/>
      <c r="P888" s="211"/>
      <c r="Q888" s="84"/>
      <c r="R888" s="211"/>
      <c r="S888" s="211"/>
      <c r="T888" s="211"/>
      <c r="U888" s="211"/>
      <c r="V888" s="84"/>
      <c r="W888" s="211"/>
      <c r="X888" s="211"/>
      <c r="Y888" s="211"/>
      <c r="Z888" s="211"/>
      <c r="AA888" s="84"/>
      <c r="AB888" s="146"/>
      <c r="AC888" s="211"/>
      <c r="AD888" s="211"/>
      <c r="AE888" s="211"/>
      <c r="AF888" s="84"/>
      <c r="AG888" s="146"/>
      <c r="AH888" s="211"/>
      <c r="AI888" s="211"/>
      <c r="AJ888" s="211"/>
      <c r="AK888" s="84"/>
      <c r="AL888" s="146"/>
      <c r="AM888" s="211"/>
      <c r="AN888" s="211"/>
      <c r="AO888" s="211"/>
      <c r="AP888" s="436"/>
      <c r="AQ888" s="146"/>
      <c r="AR888" s="211"/>
      <c r="AS888" s="211"/>
      <c r="AT888" s="211"/>
      <c r="AU888" s="84"/>
      <c r="AV888" s="211"/>
      <c r="AW888" s="211"/>
      <c r="AX888" s="211"/>
      <c r="AY888" s="211"/>
      <c r="AZ888" s="84"/>
      <c r="BA888" s="211"/>
      <c r="BB888" s="211"/>
      <c r="BC888" s="211"/>
      <c r="BD888" s="211"/>
      <c r="BE888" s="84"/>
      <c r="BF888" s="211"/>
      <c r="BG888" s="451"/>
    </row>
    <row r="889" spans="1:59" ht="12.75">
      <c r="A889" s="211"/>
      <c r="B889" s="449"/>
      <c r="C889" s="450"/>
      <c r="D889" s="211"/>
      <c r="E889" s="211"/>
      <c r="F889" s="211"/>
      <c r="G889" s="84"/>
      <c r="H889" s="211"/>
      <c r="I889" s="211"/>
      <c r="J889" s="211"/>
      <c r="K889" s="211"/>
      <c r="L889" s="84"/>
      <c r="M889" s="211"/>
      <c r="N889" s="211"/>
      <c r="O889" s="211"/>
      <c r="P889" s="211"/>
      <c r="Q889" s="84"/>
      <c r="R889" s="211"/>
      <c r="S889" s="211"/>
      <c r="T889" s="211"/>
      <c r="U889" s="211"/>
      <c r="V889" s="84"/>
      <c r="W889" s="211"/>
      <c r="X889" s="211"/>
      <c r="Y889" s="211"/>
      <c r="Z889" s="211"/>
      <c r="AA889" s="84"/>
      <c r="AB889" s="146"/>
      <c r="AC889" s="211"/>
      <c r="AD889" s="211"/>
      <c r="AE889" s="211"/>
      <c r="AF889" s="84"/>
      <c r="AG889" s="146"/>
      <c r="AH889" s="211"/>
      <c r="AI889" s="211"/>
      <c r="AJ889" s="211"/>
      <c r="AK889" s="84"/>
      <c r="AL889" s="146"/>
      <c r="AM889" s="211"/>
      <c r="AN889" s="211"/>
      <c r="AO889" s="211"/>
      <c r="AP889" s="436"/>
      <c r="AQ889" s="146"/>
      <c r="AR889" s="211"/>
      <c r="AS889" s="211"/>
      <c r="AT889" s="211"/>
      <c r="AU889" s="84"/>
      <c r="AV889" s="211"/>
      <c r="AW889" s="211"/>
      <c r="AX889" s="211"/>
      <c r="AY889" s="211"/>
      <c r="AZ889" s="84"/>
      <c r="BA889" s="211"/>
      <c r="BB889" s="211"/>
      <c r="BC889" s="211"/>
      <c r="BD889" s="211"/>
      <c r="BE889" s="84"/>
      <c r="BF889" s="211"/>
      <c r="BG889" s="451"/>
    </row>
    <row r="890" spans="1:59" ht="12.75">
      <c r="A890" s="211"/>
      <c r="B890" s="449"/>
      <c r="C890" s="450"/>
      <c r="D890" s="211"/>
      <c r="E890" s="211"/>
      <c r="F890" s="211"/>
      <c r="G890" s="84"/>
      <c r="H890" s="211"/>
      <c r="I890" s="211"/>
      <c r="J890" s="211"/>
      <c r="K890" s="211"/>
      <c r="L890" s="84"/>
      <c r="M890" s="211"/>
      <c r="N890" s="211"/>
      <c r="O890" s="211"/>
      <c r="P890" s="211"/>
      <c r="Q890" s="84"/>
      <c r="R890" s="211"/>
      <c r="S890" s="211"/>
      <c r="T890" s="211"/>
      <c r="U890" s="211"/>
      <c r="V890" s="84"/>
      <c r="W890" s="211"/>
      <c r="X890" s="211"/>
      <c r="Y890" s="211"/>
      <c r="Z890" s="211"/>
      <c r="AA890" s="84"/>
      <c r="AB890" s="146"/>
      <c r="AC890" s="211"/>
      <c r="AD890" s="211"/>
      <c r="AE890" s="211"/>
      <c r="AF890" s="84"/>
      <c r="AG890" s="146"/>
      <c r="AH890" s="211"/>
      <c r="AI890" s="211"/>
      <c r="AJ890" s="211"/>
      <c r="AK890" s="84"/>
      <c r="AL890" s="146"/>
      <c r="AM890" s="211"/>
      <c r="AN890" s="211"/>
      <c r="AO890" s="211"/>
      <c r="AP890" s="436"/>
      <c r="AQ890" s="146"/>
      <c r="AR890" s="211"/>
      <c r="AS890" s="211"/>
      <c r="AT890" s="211"/>
      <c r="AU890" s="84"/>
      <c r="AV890" s="211"/>
      <c r="AW890" s="211"/>
      <c r="AX890" s="211"/>
      <c r="AY890" s="211"/>
      <c r="AZ890" s="84"/>
      <c r="BA890" s="211"/>
      <c r="BB890" s="211"/>
      <c r="BC890" s="211"/>
      <c r="BD890" s="211"/>
      <c r="BE890" s="84"/>
      <c r="BF890" s="211"/>
      <c r="BG890" s="451"/>
    </row>
    <row r="891" spans="1:59" ht="12.75">
      <c r="A891" s="211"/>
      <c r="B891" s="449"/>
      <c r="C891" s="450"/>
      <c r="D891" s="211"/>
      <c r="E891" s="211"/>
      <c r="F891" s="211"/>
      <c r="G891" s="84"/>
      <c r="H891" s="211"/>
      <c r="I891" s="211"/>
      <c r="J891" s="211"/>
      <c r="K891" s="211"/>
      <c r="L891" s="84"/>
      <c r="M891" s="211"/>
      <c r="N891" s="211"/>
      <c r="O891" s="211"/>
      <c r="P891" s="211"/>
      <c r="Q891" s="84"/>
      <c r="R891" s="211"/>
      <c r="S891" s="211"/>
      <c r="T891" s="211"/>
      <c r="U891" s="211"/>
      <c r="V891" s="84"/>
      <c r="W891" s="211"/>
      <c r="X891" s="211"/>
      <c r="Y891" s="211"/>
      <c r="Z891" s="211"/>
      <c r="AA891" s="84"/>
      <c r="AB891" s="146"/>
      <c r="AC891" s="211"/>
      <c r="AD891" s="211"/>
      <c r="AE891" s="211"/>
      <c r="AF891" s="84"/>
      <c r="AG891" s="146"/>
      <c r="AH891" s="211"/>
      <c r="AI891" s="211"/>
      <c r="AJ891" s="211"/>
      <c r="AK891" s="84"/>
      <c r="AL891" s="146"/>
      <c r="AM891" s="211"/>
      <c r="AN891" s="211"/>
      <c r="AO891" s="211"/>
      <c r="AP891" s="436"/>
      <c r="AQ891" s="146"/>
      <c r="AR891" s="211"/>
      <c r="AS891" s="211"/>
      <c r="AT891" s="211"/>
      <c r="AU891" s="84"/>
      <c r="AV891" s="211"/>
      <c r="AW891" s="211"/>
      <c r="AX891" s="211"/>
      <c r="AY891" s="211"/>
      <c r="AZ891" s="84"/>
      <c r="BA891" s="211"/>
      <c r="BB891" s="211"/>
      <c r="BC891" s="211"/>
      <c r="BD891" s="211"/>
      <c r="BE891" s="84"/>
      <c r="BF891" s="211"/>
      <c r="BG891" s="451"/>
    </row>
    <row r="892" spans="1:59" ht="12.75">
      <c r="A892" s="211"/>
      <c r="B892" s="449"/>
      <c r="C892" s="450"/>
      <c r="D892" s="211"/>
      <c r="E892" s="211"/>
      <c r="F892" s="211"/>
      <c r="G892" s="84"/>
      <c r="H892" s="211"/>
      <c r="I892" s="211"/>
      <c r="J892" s="211"/>
      <c r="K892" s="211"/>
      <c r="L892" s="84"/>
      <c r="M892" s="211"/>
      <c r="N892" s="211"/>
      <c r="O892" s="211"/>
      <c r="P892" s="211"/>
      <c r="Q892" s="84"/>
      <c r="R892" s="211"/>
      <c r="S892" s="211"/>
      <c r="T892" s="211"/>
      <c r="U892" s="211"/>
      <c r="V892" s="84"/>
      <c r="W892" s="211"/>
      <c r="X892" s="211"/>
      <c r="Y892" s="211"/>
      <c r="Z892" s="211"/>
      <c r="AA892" s="84"/>
      <c r="AB892" s="146"/>
      <c r="AC892" s="211"/>
      <c r="AD892" s="211"/>
      <c r="AE892" s="211"/>
      <c r="AF892" s="84"/>
      <c r="AG892" s="146"/>
      <c r="AH892" s="211"/>
      <c r="AI892" s="211"/>
      <c r="AJ892" s="211"/>
      <c r="AK892" s="84"/>
      <c r="AL892" s="146"/>
      <c r="AM892" s="211"/>
      <c r="AN892" s="211"/>
      <c r="AO892" s="211"/>
      <c r="AP892" s="436"/>
      <c r="AQ892" s="146"/>
      <c r="AR892" s="211"/>
      <c r="AS892" s="211"/>
      <c r="AT892" s="211"/>
      <c r="AU892" s="84"/>
      <c r="AV892" s="211"/>
      <c r="AW892" s="211"/>
      <c r="AX892" s="211"/>
      <c r="AY892" s="211"/>
      <c r="AZ892" s="84"/>
      <c r="BA892" s="211"/>
      <c r="BB892" s="211"/>
      <c r="BC892" s="211"/>
      <c r="BD892" s="211"/>
      <c r="BE892" s="84"/>
      <c r="BF892" s="211"/>
      <c r="BG892" s="451"/>
    </row>
    <row r="893" spans="1:59" ht="12.75">
      <c r="A893" s="211"/>
      <c r="B893" s="449"/>
      <c r="C893" s="450"/>
      <c r="D893" s="211"/>
      <c r="E893" s="211"/>
      <c r="F893" s="211"/>
      <c r="G893" s="84"/>
      <c r="H893" s="211"/>
      <c r="I893" s="211"/>
      <c r="J893" s="211"/>
      <c r="K893" s="211"/>
      <c r="L893" s="84"/>
      <c r="M893" s="211"/>
      <c r="N893" s="211"/>
      <c r="O893" s="211"/>
      <c r="P893" s="211"/>
      <c r="Q893" s="84"/>
      <c r="R893" s="211"/>
      <c r="S893" s="211"/>
      <c r="T893" s="211"/>
      <c r="U893" s="211"/>
      <c r="V893" s="84"/>
      <c r="W893" s="211"/>
      <c r="X893" s="211"/>
      <c r="Y893" s="211"/>
      <c r="Z893" s="211"/>
      <c r="AA893" s="84"/>
      <c r="AB893" s="146"/>
      <c r="AC893" s="211"/>
      <c r="AD893" s="211"/>
      <c r="AE893" s="211"/>
      <c r="AF893" s="84"/>
      <c r="AG893" s="146"/>
      <c r="AH893" s="211"/>
      <c r="AI893" s="211"/>
      <c r="AJ893" s="211"/>
      <c r="AK893" s="84"/>
      <c r="AL893" s="146"/>
      <c r="AM893" s="211"/>
      <c r="AN893" s="211"/>
      <c r="AO893" s="211"/>
      <c r="AP893" s="436"/>
      <c r="AQ893" s="146"/>
      <c r="AR893" s="211"/>
      <c r="AS893" s="211"/>
      <c r="AT893" s="211"/>
      <c r="AU893" s="84"/>
      <c r="AV893" s="211"/>
      <c r="AW893" s="211"/>
      <c r="AX893" s="211"/>
      <c r="AY893" s="211"/>
      <c r="AZ893" s="84"/>
      <c r="BA893" s="211"/>
      <c r="BB893" s="211"/>
      <c r="BC893" s="211"/>
      <c r="BD893" s="211"/>
      <c r="BE893" s="84"/>
      <c r="BF893" s="211"/>
      <c r="BG893" s="451"/>
    </row>
    <row r="894" spans="1:59" ht="12.75">
      <c r="A894" s="211"/>
      <c r="B894" s="449"/>
      <c r="C894" s="450"/>
      <c r="D894" s="211"/>
      <c r="E894" s="211"/>
      <c r="F894" s="211"/>
      <c r="G894" s="84"/>
      <c r="H894" s="211"/>
      <c r="I894" s="211"/>
      <c r="J894" s="211"/>
      <c r="K894" s="211"/>
      <c r="L894" s="84"/>
      <c r="M894" s="211"/>
      <c r="N894" s="211"/>
      <c r="O894" s="211"/>
      <c r="P894" s="211"/>
      <c r="Q894" s="84"/>
      <c r="R894" s="211"/>
      <c r="S894" s="211"/>
      <c r="T894" s="211"/>
      <c r="U894" s="211"/>
      <c r="V894" s="84"/>
      <c r="W894" s="211"/>
      <c r="X894" s="211"/>
      <c r="Y894" s="211"/>
      <c r="Z894" s="211"/>
      <c r="AA894" s="84"/>
      <c r="AB894" s="146"/>
      <c r="AC894" s="211"/>
      <c r="AD894" s="211"/>
      <c r="AE894" s="211"/>
      <c r="AF894" s="84"/>
      <c r="AG894" s="146"/>
      <c r="AH894" s="211"/>
      <c r="AI894" s="211"/>
      <c r="AJ894" s="211"/>
      <c r="AK894" s="84"/>
      <c r="AL894" s="146"/>
      <c r="AM894" s="211"/>
      <c r="AN894" s="211"/>
      <c r="AO894" s="211"/>
      <c r="AP894" s="436"/>
      <c r="AQ894" s="146"/>
      <c r="AR894" s="211"/>
      <c r="AS894" s="211"/>
      <c r="AT894" s="211"/>
      <c r="AU894" s="84"/>
      <c r="AV894" s="211"/>
      <c r="AW894" s="211"/>
      <c r="AX894" s="211"/>
      <c r="AY894" s="211"/>
      <c r="AZ894" s="84"/>
      <c r="BA894" s="211"/>
      <c r="BB894" s="211"/>
      <c r="BC894" s="211"/>
      <c r="BD894" s="211"/>
      <c r="BE894" s="84"/>
      <c r="BF894" s="211"/>
      <c r="BG894" s="451"/>
    </row>
    <row r="895" spans="1:59" ht="12.75">
      <c r="A895" s="211"/>
      <c r="B895" s="449"/>
      <c r="C895" s="450"/>
      <c r="D895" s="211"/>
      <c r="E895" s="211"/>
      <c r="F895" s="211"/>
      <c r="G895" s="84"/>
      <c r="H895" s="211"/>
      <c r="I895" s="211"/>
      <c r="J895" s="211"/>
      <c r="K895" s="211"/>
      <c r="L895" s="84"/>
      <c r="M895" s="211"/>
      <c r="N895" s="211"/>
      <c r="O895" s="211"/>
      <c r="P895" s="211"/>
      <c r="Q895" s="84"/>
      <c r="R895" s="211"/>
      <c r="S895" s="211"/>
      <c r="T895" s="211"/>
      <c r="U895" s="211"/>
      <c r="V895" s="84"/>
      <c r="W895" s="211"/>
      <c r="X895" s="211"/>
      <c r="Y895" s="211"/>
      <c r="Z895" s="211"/>
      <c r="AA895" s="84"/>
      <c r="AB895" s="146"/>
      <c r="AC895" s="211"/>
      <c r="AD895" s="211"/>
      <c r="AE895" s="211"/>
      <c r="AF895" s="84"/>
      <c r="AG895" s="146"/>
      <c r="AH895" s="211"/>
      <c r="AI895" s="211"/>
      <c r="AJ895" s="211"/>
      <c r="AK895" s="84"/>
      <c r="AL895" s="146"/>
      <c r="AM895" s="211"/>
      <c r="AN895" s="211"/>
      <c r="AO895" s="211"/>
      <c r="AP895" s="436"/>
      <c r="AQ895" s="146"/>
      <c r="AR895" s="211"/>
      <c r="AS895" s="211"/>
      <c r="AT895" s="211"/>
      <c r="AU895" s="84"/>
      <c r="AV895" s="211"/>
      <c r="AW895" s="211"/>
      <c r="AX895" s="211"/>
      <c r="AY895" s="211"/>
      <c r="AZ895" s="84"/>
      <c r="BA895" s="211"/>
      <c r="BB895" s="211"/>
      <c r="BC895" s="211"/>
      <c r="BD895" s="211"/>
      <c r="BE895" s="84"/>
      <c r="BF895" s="211"/>
      <c r="BG895" s="451"/>
    </row>
    <row r="896" spans="1:59" ht="12.75">
      <c r="A896" s="211"/>
      <c r="B896" s="449"/>
      <c r="C896" s="450"/>
      <c r="D896" s="211"/>
      <c r="E896" s="211"/>
      <c r="F896" s="211"/>
      <c r="G896" s="84"/>
      <c r="H896" s="211"/>
      <c r="I896" s="211"/>
      <c r="J896" s="211"/>
      <c r="K896" s="211"/>
      <c r="L896" s="84"/>
      <c r="M896" s="211"/>
      <c r="N896" s="211"/>
      <c r="O896" s="211"/>
      <c r="P896" s="211"/>
      <c r="Q896" s="84"/>
      <c r="R896" s="211"/>
      <c r="S896" s="211"/>
      <c r="T896" s="211"/>
      <c r="U896" s="211"/>
      <c r="V896" s="84"/>
      <c r="W896" s="211"/>
      <c r="X896" s="211"/>
      <c r="Y896" s="211"/>
      <c r="Z896" s="211"/>
      <c r="AA896" s="84"/>
      <c r="AB896" s="146"/>
      <c r="AC896" s="211"/>
      <c r="AD896" s="211"/>
      <c r="AE896" s="211"/>
      <c r="AF896" s="84"/>
      <c r="AG896" s="146"/>
      <c r="AH896" s="211"/>
      <c r="AI896" s="211"/>
      <c r="AJ896" s="211"/>
      <c r="AK896" s="84"/>
      <c r="AL896" s="146"/>
      <c r="AM896" s="211"/>
      <c r="AN896" s="211"/>
      <c r="AO896" s="211"/>
      <c r="AP896" s="436"/>
      <c r="AQ896" s="146"/>
      <c r="AR896" s="211"/>
      <c r="AS896" s="211"/>
      <c r="AT896" s="211"/>
      <c r="AU896" s="84"/>
      <c r="AV896" s="211"/>
      <c r="AW896" s="211"/>
      <c r="AX896" s="211"/>
      <c r="AY896" s="211"/>
      <c r="AZ896" s="84"/>
      <c r="BA896" s="211"/>
      <c r="BB896" s="211"/>
      <c r="BC896" s="211"/>
      <c r="BD896" s="211"/>
      <c r="BE896" s="84"/>
      <c r="BF896" s="211"/>
      <c r="BG896" s="451"/>
    </row>
    <row r="897" spans="1:59" ht="12.75">
      <c r="A897" s="211"/>
      <c r="B897" s="449"/>
      <c r="C897" s="450"/>
      <c r="D897" s="211"/>
      <c r="E897" s="211"/>
      <c r="F897" s="211"/>
      <c r="G897" s="84"/>
      <c r="H897" s="211"/>
      <c r="I897" s="211"/>
      <c r="J897" s="211"/>
      <c r="K897" s="211"/>
      <c r="L897" s="84"/>
      <c r="M897" s="211"/>
      <c r="N897" s="211"/>
      <c r="O897" s="211"/>
      <c r="P897" s="211"/>
      <c r="Q897" s="84"/>
      <c r="R897" s="211"/>
      <c r="S897" s="211"/>
      <c r="T897" s="211"/>
      <c r="U897" s="211"/>
      <c r="V897" s="84"/>
      <c r="W897" s="211"/>
      <c r="X897" s="211"/>
      <c r="Y897" s="211"/>
      <c r="Z897" s="211"/>
      <c r="AA897" s="84"/>
      <c r="AB897" s="146"/>
      <c r="AC897" s="211"/>
      <c r="AD897" s="211"/>
      <c r="AE897" s="211"/>
      <c r="AF897" s="84"/>
      <c r="AG897" s="146"/>
      <c r="AH897" s="211"/>
      <c r="AI897" s="211"/>
      <c r="AJ897" s="211"/>
      <c r="AK897" s="84"/>
      <c r="AL897" s="146"/>
      <c r="AM897" s="211"/>
      <c r="AN897" s="211"/>
      <c r="AO897" s="211"/>
      <c r="AP897" s="436"/>
      <c r="AQ897" s="146"/>
      <c r="AR897" s="211"/>
      <c r="AS897" s="211"/>
      <c r="AT897" s="211"/>
      <c r="AU897" s="84"/>
      <c r="AV897" s="211"/>
      <c r="AW897" s="211"/>
      <c r="AX897" s="211"/>
      <c r="AY897" s="211"/>
      <c r="AZ897" s="84"/>
      <c r="BA897" s="211"/>
      <c r="BB897" s="211"/>
      <c r="BC897" s="211"/>
      <c r="BD897" s="211"/>
      <c r="BE897" s="84"/>
      <c r="BF897" s="211"/>
      <c r="BG897" s="451"/>
    </row>
    <row r="898" spans="1:59" ht="12.75">
      <c r="A898" s="211"/>
      <c r="B898" s="449"/>
      <c r="C898" s="450"/>
      <c r="D898" s="211"/>
      <c r="E898" s="211"/>
      <c r="F898" s="211"/>
      <c r="G898" s="84"/>
      <c r="H898" s="211"/>
      <c r="I898" s="211"/>
      <c r="J898" s="211"/>
      <c r="K898" s="211"/>
      <c r="L898" s="84"/>
      <c r="M898" s="211"/>
      <c r="N898" s="211"/>
      <c r="O898" s="211"/>
      <c r="P898" s="211"/>
      <c r="Q898" s="84"/>
      <c r="R898" s="211"/>
      <c r="S898" s="211"/>
      <c r="T898" s="211"/>
      <c r="U898" s="211"/>
      <c r="V898" s="84"/>
      <c r="W898" s="211"/>
      <c r="X898" s="211"/>
      <c r="Y898" s="211"/>
      <c r="Z898" s="211"/>
      <c r="AA898" s="84"/>
      <c r="AB898" s="146"/>
      <c r="AC898" s="211"/>
      <c r="AD898" s="211"/>
      <c r="AE898" s="211"/>
      <c r="AF898" s="84"/>
      <c r="AG898" s="146"/>
      <c r="AH898" s="211"/>
      <c r="AI898" s="211"/>
      <c r="AJ898" s="211"/>
      <c r="AK898" s="84"/>
      <c r="AL898" s="146"/>
      <c r="AM898" s="211"/>
      <c r="AN898" s="211"/>
      <c r="AO898" s="211"/>
      <c r="AP898" s="436"/>
      <c r="AQ898" s="146"/>
      <c r="AR898" s="211"/>
      <c r="AS898" s="211"/>
      <c r="AT898" s="211"/>
      <c r="AU898" s="84"/>
      <c r="AV898" s="211"/>
      <c r="AW898" s="211"/>
      <c r="AX898" s="211"/>
      <c r="AY898" s="211"/>
      <c r="AZ898" s="84"/>
      <c r="BA898" s="211"/>
      <c r="BB898" s="211"/>
      <c r="BC898" s="211"/>
      <c r="BD898" s="211"/>
      <c r="BE898" s="84"/>
      <c r="BF898" s="211"/>
      <c r="BG898" s="451"/>
    </row>
    <row r="899" spans="1:59" ht="12.75">
      <c r="A899" s="211"/>
      <c r="B899" s="449"/>
      <c r="C899" s="450"/>
      <c r="D899" s="211"/>
      <c r="E899" s="211"/>
      <c r="F899" s="211"/>
      <c r="G899" s="84"/>
      <c r="H899" s="211"/>
      <c r="I899" s="211"/>
      <c r="J899" s="211"/>
      <c r="K899" s="211"/>
      <c r="L899" s="84"/>
      <c r="M899" s="211"/>
      <c r="N899" s="211"/>
      <c r="O899" s="211"/>
      <c r="P899" s="211"/>
      <c r="Q899" s="84"/>
      <c r="R899" s="211"/>
      <c r="S899" s="211"/>
      <c r="T899" s="211"/>
      <c r="U899" s="211"/>
      <c r="V899" s="84"/>
      <c r="W899" s="211"/>
      <c r="X899" s="211"/>
      <c r="Y899" s="211"/>
      <c r="Z899" s="211"/>
      <c r="AA899" s="84"/>
      <c r="AB899" s="146"/>
      <c r="AC899" s="211"/>
      <c r="AD899" s="211"/>
      <c r="AE899" s="211"/>
      <c r="AF899" s="84"/>
      <c r="AG899" s="146"/>
      <c r="AH899" s="211"/>
      <c r="AI899" s="211"/>
      <c r="AJ899" s="211"/>
      <c r="AK899" s="84"/>
      <c r="AL899" s="146"/>
      <c r="AM899" s="211"/>
      <c r="AN899" s="211"/>
      <c r="AO899" s="211"/>
      <c r="AP899" s="436"/>
      <c r="AQ899" s="146"/>
      <c r="AR899" s="211"/>
      <c r="AS899" s="211"/>
      <c r="AT899" s="211"/>
      <c r="AU899" s="84"/>
      <c r="AV899" s="211"/>
      <c r="AW899" s="211"/>
      <c r="AX899" s="211"/>
      <c r="AY899" s="211"/>
      <c r="AZ899" s="84"/>
      <c r="BA899" s="211"/>
      <c r="BB899" s="211"/>
      <c r="BC899" s="211"/>
      <c r="BD899" s="211"/>
      <c r="BE899" s="84"/>
      <c r="BF899" s="211"/>
      <c r="BG899" s="451"/>
    </row>
    <row r="900" spans="1:59" ht="12.75">
      <c r="A900" s="211"/>
      <c r="B900" s="449"/>
      <c r="C900" s="450"/>
      <c r="D900" s="211"/>
      <c r="E900" s="211"/>
      <c r="F900" s="211"/>
      <c r="G900" s="84"/>
      <c r="H900" s="211"/>
      <c r="I900" s="211"/>
      <c r="J900" s="211"/>
      <c r="K900" s="211"/>
      <c r="L900" s="84"/>
      <c r="M900" s="211"/>
      <c r="N900" s="211"/>
      <c r="O900" s="211"/>
      <c r="P900" s="211"/>
      <c r="Q900" s="84"/>
      <c r="R900" s="211"/>
      <c r="S900" s="211"/>
      <c r="T900" s="211"/>
      <c r="U900" s="211"/>
      <c r="V900" s="84"/>
      <c r="W900" s="211"/>
      <c r="X900" s="211"/>
      <c r="Y900" s="211"/>
      <c r="Z900" s="211"/>
      <c r="AA900" s="84"/>
      <c r="AB900" s="146"/>
      <c r="AC900" s="211"/>
      <c r="AD900" s="211"/>
      <c r="AE900" s="211"/>
      <c r="AF900" s="84"/>
      <c r="AG900" s="146"/>
      <c r="AH900" s="211"/>
      <c r="AI900" s="211"/>
      <c r="AJ900" s="211"/>
      <c r="AK900" s="84"/>
      <c r="AL900" s="146"/>
      <c r="AM900" s="211"/>
      <c r="AN900" s="211"/>
      <c r="AO900" s="211"/>
      <c r="AP900" s="436"/>
      <c r="AQ900" s="146"/>
      <c r="AR900" s="211"/>
      <c r="AS900" s="211"/>
      <c r="AT900" s="211"/>
      <c r="AU900" s="84"/>
      <c r="AV900" s="211"/>
      <c r="AW900" s="211"/>
      <c r="AX900" s="211"/>
      <c r="AY900" s="211"/>
      <c r="AZ900" s="84"/>
      <c r="BA900" s="211"/>
      <c r="BB900" s="211"/>
      <c r="BC900" s="211"/>
      <c r="BD900" s="211"/>
      <c r="BE900" s="84"/>
      <c r="BF900" s="211"/>
      <c r="BG900" s="451"/>
    </row>
    <row r="901" spans="1:59" ht="12.75">
      <c r="A901" s="211"/>
      <c r="B901" s="449"/>
      <c r="C901" s="450"/>
      <c r="D901" s="211"/>
      <c r="E901" s="211"/>
      <c r="F901" s="211"/>
      <c r="G901" s="84"/>
      <c r="H901" s="211"/>
      <c r="I901" s="211"/>
      <c r="J901" s="211"/>
      <c r="K901" s="211"/>
      <c r="L901" s="84"/>
      <c r="M901" s="211"/>
      <c r="N901" s="211"/>
      <c r="O901" s="211"/>
      <c r="P901" s="211"/>
      <c r="Q901" s="84"/>
      <c r="R901" s="211"/>
      <c r="S901" s="211"/>
      <c r="T901" s="211"/>
      <c r="U901" s="211"/>
      <c r="V901" s="84"/>
      <c r="W901" s="211"/>
      <c r="X901" s="211"/>
      <c r="Y901" s="211"/>
      <c r="Z901" s="211"/>
      <c r="AA901" s="84"/>
      <c r="AB901" s="146"/>
      <c r="AC901" s="211"/>
      <c r="AD901" s="211"/>
      <c r="AE901" s="211"/>
      <c r="AF901" s="84"/>
      <c r="AG901" s="146"/>
      <c r="AH901" s="211"/>
      <c r="AI901" s="211"/>
      <c r="AJ901" s="211"/>
      <c r="AK901" s="84"/>
      <c r="AL901" s="146"/>
      <c r="AM901" s="211"/>
      <c r="AN901" s="211"/>
      <c r="AO901" s="211"/>
      <c r="AP901" s="436"/>
      <c r="AQ901" s="146"/>
      <c r="AR901" s="211"/>
      <c r="AS901" s="211"/>
      <c r="AT901" s="211"/>
      <c r="AU901" s="84"/>
      <c r="AV901" s="211"/>
      <c r="AW901" s="211"/>
      <c r="AX901" s="211"/>
      <c r="AY901" s="211"/>
      <c r="AZ901" s="84"/>
      <c r="BA901" s="211"/>
      <c r="BB901" s="211"/>
      <c r="BC901" s="211"/>
      <c r="BD901" s="211"/>
      <c r="BE901" s="84"/>
      <c r="BF901" s="211"/>
      <c r="BG901" s="451"/>
    </row>
    <row r="902" spans="1:59" ht="12.75">
      <c r="A902" s="211"/>
      <c r="B902" s="449"/>
      <c r="C902" s="450"/>
      <c r="D902" s="211"/>
      <c r="E902" s="211"/>
      <c r="F902" s="211"/>
      <c r="G902" s="84"/>
      <c r="H902" s="211"/>
      <c r="I902" s="211"/>
      <c r="J902" s="211"/>
      <c r="K902" s="211"/>
      <c r="L902" s="84"/>
      <c r="M902" s="211"/>
      <c r="N902" s="211"/>
      <c r="O902" s="211"/>
      <c r="P902" s="211"/>
      <c r="Q902" s="84"/>
      <c r="R902" s="211"/>
      <c r="S902" s="211"/>
      <c r="T902" s="211"/>
      <c r="U902" s="211"/>
      <c r="V902" s="84"/>
      <c r="W902" s="211"/>
      <c r="X902" s="211"/>
      <c r="Y902" s="211"/>
      <c r="Z902" s="211"/>
      <c r="AA902" s="84"/>
      <c r="AB902" s="146"/>
      <c r="AC902" s="211"/>
      <c r="AD902" s="211"/>
      <c r="AE902" s="211"/>
      <c r="AF902" s="84"/>
      <c r="AG902" s="146"/>
      <c r="AH902" s="211"/>
      <c r="AI902" s="211"/>
      <c r="AJ902" s="211"/>
      <c r="AK902" s="84"/>
      <c r="AL902" s="146"/>
      <c r="AM902" s="211"/>
      <c r="AN902" s="211"/>
      <c r="AO902" s="211"/>
      <c r="AP902" s="436"/>
      <c r="AQ902" s="146"/>
      <c r="AR902" s="211"/>
      <c r="AS902" s="211"/>
      <c r="AT902" s="211"/>
      <c r="AU902" s="84"/>
      <c r="AV902" s="211"/>
      <c r="AW902" s="211"/>
      <c r="AX902" s="211"/>
      <c r="AY902" s="211"/>
      <c r="AZ902" s="84"/>
      <c r="BA902" s="211"/>
      <c r="BB902" s="211"/>
      <c r="BC902" s="211"/>
      <c r="BD902" s="211"/>
      <c r="BE902" s="84"/>
      <c r="BF902" s="211"/>
      <c r="BG902" s="451"/>
    </row>
    <row r="903" spans="1:59" ht="12.75">
      <c r="A903" s="211"/>
      <c r="B903" s="449"/>
      <c r="C903" s="450"/>
      <c r="D903" s="211"/>
      <c r="E903" s="211"/>
      <c r="F903" s="211"/>
      <c r="G903" s="84"/>
      <c r="H903" s="211"/>
      <c r="I903" s="211"/>
      <c r="J903" s="211"/>
      <c r="K903" s="211"/>
      <c r="L903" s="84"/>
      <c r="M903" s="211"/>
      <c r="N903" s="211"/>
      <c r="O903" s="211"/>
      <c r="P903" s="211"/>
      <c r="Q903" s="84"/>
      <c r="R903" s="211"/>
      <c r="S903" s="211"/>
      <c r="T903" s="211"/>
      <c r="U903" s="211"/>
      <c r="V903" s="84"/>
      <c r="W903" s="211"/>
      <c r="X903" s="211"/>
      <c r="Y903" s="211"/>
      <c r="Z903" s="211"/>
      <c r="AA903" s="84"/>
      <c r="AB903" s="146"/>
      <c r="AC903" s="211"/>
      <c r="AD903" s="211"/>
      <c r="AE903" s="211"/>
      <c r="AF903" s="84"/>
      <c r="AG903" s="146"/>
      <c r="AH903" s="211"/>
      <c r="AI903" s="211"/>
      <c r="AJ903" s="211"/>
      <c r="AK903" s="84"/>
      <c r="AL903" s="146"/>
      <c r="AM903" s="211"/>
      <c r="AN903" s="211"/>
      <c r="AO903" s="211"/>
      <c r="AP903" s="436"/>
      <c r="AQ903" s="146"/>
      <c r="AR903" s="211"/>
      <c r="AS903" s="211"/>
      <c r="AT903" s="211"/>
      <c r="AU903" s="84"/>
      <c r="AV903" s="211"/>
      <c r="AW903" s="211"/>
      <c r="AX903" s="211"/>
      <c r="AY903" s="211"/>
      <c r="AZ903" s="84"/>
      <c r="BA903" s="211"/>
      <c r="BB903" s="211"/>
      <c r="BC903" s="211"/>
      <c r="BD903" s="211"/>
      <c r="BE903" s="84"/>
      <c r="BF903" s="211"/>
      <c r="BG903" s="451"/>
    </row>
    <row r="904" spans="1:59" ht="12.75">
      <c r="A904" s="211"/>
      <c r="B904" s="449"/>
      <c r="C904" s="450"/>
      <c r="D904" s="211"/>
      <c r="E904" s="211"/>
      <c r="F904" s="211"/>
      <c r="G904" s="84"/>
      <c r="H904" s="211"/>
      <c r="I904" s="211"/>
      <c r="J904" s="211"/>
      <c r="K904" s="211"/>
      <c r="L904" s="84"/>
      <c r="M904" s="211"/>
      <c r="N904" s="211"/>
      <c r="O904" s="211"/>
      <c r="P904" s="211"/>
      <c r="Q904" s="84"/>
      <c r="R904" s="211"/>
      <c r="S904" s="211"/>
      <c r="T904" s="211"/>
      <c r="U904" s="211"/>
      <c r="V904" s="84"/>
      <c r="W904" s="211"/>
      <c r="X904" s="211"/>
      <c r="Y904" s="211"/>
      <c r="Z904" s="211"/>
      <c r="AA904" s="84"/>
      <c r="AB904" s="146"/>
      <c r="AC904" s="211"/>
      <c r="AD904" s="211"/>
      <c r="AE904" s="211"/>
      <c r="AF904" s="84"/>
      <c r="AG904" s="146"/>
      <c r="AH904" s="211"/>
      <c r="AI904" s="211"/>
      <c r="AJ904" s="211"/>
      <c r="AK904" s="84"/>
      <c r="AL904" s="146"/>
      <c r="AM904" s="211"/>
      <c r="AN904" s="211"/>
      <c r="AO904" s="211"/>
      <c r="AP904" s="436"/>
      <c r="AQ904" s="146"/>
      <c r="AR904" s="211"/>
      <c r="AS904" s="211"/>
      <c r="AT904" s="211"/>
      <c r="AU904" s="84"/>
      <c r="AV904" s="211"/>
      <c r="AW904" s="211"/>
      <c r="AX904" s="211"/>
      <c r="AY904" s="211"/>
      <c r="AZ904" s="84"/>
      <c r="BA904" s="211"/>
      <c r="BB904" s="211"/>
      <c r="BC904" s="211"/>
      <c r="BD904" s="211"/>
      <c r="BE904" s="84"/>
      <c r="BF904" s="211"/>
      <c r="BG904" s="451"/>
    </row>
    <row r="905" spans="1:59" ht="12.75">
      <c r="A905" s="211"/>
      <c r="B905" s="449"/>
      <c r="C905" s="450"/>
      <c r="D905" s="211"/>
      <c r="E905" s="211"/>
      <c r="F905" s="211"/>
      <c r="G905" s="84"/>
      <c r="H905" s="211"/>
      <c r="I905" s="211"/>
      <c r="J905" s="211"/>
      <c r="K905" s="211"/>
      <c r="L905" s="84"/>
      <c r="M905" s="211"/>
      <c r="N905" s="211"/>
      <c r="O905" s="211"/>
      <c r="P905" s="211"/>
      <c r="Q905" s="84"/>
      <c r="R905" s="211"/>
      <c r="S905" s="211"/>
      <c r="T905" s="211"/>
      <c r="U905" s="211"/>
      <c r="V905" s="84"/>
      <c r="W905" s="211"/>
      <c r="X905" s="211"/>
      <c r="Y905" s="211"/>
      <c r="Z905" s="211"/>
      <c r="AA905" s="84"/>
      <c r="AB905" s="146"/>
      <c r="AC905" s="211"/>
      <c r="AD905" s="211"/>
      <c r="AE905" s="211"/>
      <c r="AF905" s="84"/>
      <c r="AG905" s="146"/>
      <c r="AH905" s="211"/>
      <c r="AI905" s="211"/>
      <c r="AJ905" s="211"/>
      <c r="AK905" s="84"/>
      <c r="AL905" s="146"/>
      <c r="AM905" s="211"/>
      <c r="AN905" s="211"/>
      <c r="AO905" s="211"/>
      <c r="AP905" s="436"/>
      <c r="AQ905" s="146"/>
      <c r="AR905" s="211"/>
      <c r="AS905" s="211"/>
      <c r="AT905" s="211"/>
      <c r="AU905" s="84"/>
      <c r="AV905" s="211"/>
      <c r="AW905" s="211"/>
      <c r="AX905" s="211"/>
      <c r="AY905" s="211"/>
      <c r="AZ905" s="84"/>
      <c r="BA905" s="211"/>
      <c r="BB905" s="211"/>
      <c r="BC905" s="211"/>
      <c r="BD905" s="211"/>
      <c r="BE905" s="84"/>
      <c r="BF905" s="211"/>
      <c r="BG905" s="451"/>
    </row>
    <row r="906" spans="1:59" ht="12.75">
      <c r="A906" s="211"/>
      <c r="B906" s="449"/>
      <c r="C906" s="450"/>
      <c r="D906" s="211"/>
      <c r="E906" s="211"/>
      <c r="F906" s="211"/>
      <c r="G906" s="84"/>
      <c r="H906" s="211"/>
      <c r="I906" s="211"/>
      <c r="J906" s="211"/>
      <c r="K906" s="211"/>
      <c r="L906" s="84"/>
      <c r="M906" s="211"/>
      <c r="N906" s="211"/>
      <c r="O906" s="211"/>
      <c r="P906" s="211"/>
      <c r="Q906" s="84"/>
      <c r="R906" s="211"/>
      <c r="S906" s="211"/>
      <c r="T906" s="211"/>
      <c r="U906" s="211"/>
      <c r="V906" s="84"/>
      <c r="W906" s="211"/>
      <c r="X906" s="211"/>
      <c r="Y906" s="211"/>
      <c r="Z906" s="211"/>
      <c r="AA906" s="84"/>
      <c r="AB906" s="146"/>
      <c r="AC906" s="211"/>
      <c r="AD906" s="211"/>
      <c r="AE906" s="211"/>
      <c r="AF906" s="84"/>
      <c r="AG906" s="146"/>
      <c r="AH906" s="211"/>
      <c r="AI906" s="211"/>
      <c r="AJ906" s="211"/>
      <c r="AK906" s="84"/>
      <c r="AL906" s="146"/>
      <c r="AM906" s="211"/>
      <c r="AN906" s="211"/>
      <c r="AO906" s="211"/>
      <c r="AP906" s="436"/>
      <c r="AQ906" s="146"/>
      <c r="AR906" s="211"/>
      <c r="AS906" s="211"/>
      <c r="AT906" s="211"/>
      <c r="AU906" s="84"/>
      <c r="AV906" s="211"/>
      <c r="AW906" s="211"/>
      <c r="AX906" s="211"/>
      <c r="AY906" s="211"/>
      <c r="AZ906" s="84"/>
      <c r="BA906" s="211"/>
      <c r="BB906" s="211"/>
      <c r="BC906" s="211"/>
      <c r="BD906" s="211"/>
      <c r="BE906" s="84"/>
      <c r="BF906" s="211"/>
      <c r="BG906" s="451"/>
    </row>
    <row r="907" spans="1:59" ht="12.75">
      <c r="A907" s="211"/>
      <c r="B907" s="449"/>
      <c r="C907" s="450"/>
      <c r="D907" s="211"/>
      <c r="E907" s="211"/>
      <c r="F907" s="211"/>
      <c r="G907" s="84"/>
      <c r="H907" s="211"/>
      <c r="I907" s="211"/>
      <c r="J907" s="211"/>
      <c r="K907" s="211"/>
      <c r="L907" s="84"/>
      <c r="M907" s="211"/>
      <c r="N907" s="211"/>
      <c r="O907" s="211"/>
      <c r="P907" s="211"/>
      <c r="Q907" s="84"/>
      <c r="R907" s="211"/>
      <c r="S907" s="211"/>
      <c r="T907" s="211"/>
      <c r="U907" s="211"/>
      <c r="V907" s="84"/>
      <c r="W907" s="211"/>
      <c r="X907" s="211"/>
      <c r="Y907" s="211"/>
      <c r="Z907" s="211"/>
      <c r="AA907" s="84"/>
      <c r="AB907" s="146"/>
      <c r="AC907" s="211"/>
      <c r="AD907" s="211"/>
      <c r="AE907" s="211"/>
      <c r="AF907" s="84"/>
      <c r="AG907" s="146"/>
      <c r="AH907" s="211"/>
      <c r="AI907" s="211"/>
      <c r="AJ907" s="211"/>
      <c r="AK907" s="84"/>
      <c r="AL907" s="146"/>
      <c r="AM907" s="211"/>
      <c r="AN907" s="211"/>
      <c r="AO907" s="211"/>
      <c r="AP907" s="436"/>
      <c r="AQ907" s="146"/>
      <c r="AR907" s="211"/>
      <c r="AS907" s="211"/>
      <c r="AT907" s="211"/>
      <c r="AU907" s="84"/>
      <c r="AV907" s="211"/>
      <c r="AW907" s="211"/>
      <c r="AX907" s="211"/>
      <c r="AY907" s="211"/>
      <c r="AZ907" s="84"/>
      <c r="BA907" s="211"/>
      <c r="BB907" s="211"/>
      <c r="BC907" s="211"/>
      <c r="BD907" s="211"/>
      <c r="BE907" s="84"/>
      <c r="BF907" s="211"/>
      <c r="BG907" s="451"/>
    </row>
    <row r="908" spans="1:59" ht="12.75">
      <c r="A908" s="211"/>
      <c r="B908" s="449"/>
      <c r="C908" s="450"/>
      <c r="D908" s="211"/>
      <c r="E908" s="211"/>
      <c r="F908" s="211"/>
      <c r="G908" s="84"/>
      <c r="H908" s="211"/>
      <c r="I908" s="211"/>
      <c r="J908" s="211"/>
      <c r="K908" s="211"/>
      <c r="L908" s="84"/>
      <c r="M908" s="211"/>
      <c r="N908" s="211"/>
      <c r="O908" s="211"/>
      <c r="P908" s="211"/>
      <c r="Q908" s="84"/>
      <c r="R908" s="211"/>
      <c r="S908" s="211"/>
      <c r="T908" s="211"/>
      <c r="U908" s="211"/>
      <c r="V908" s="84"/>
      <c r="W908" s="211"/>
      <c r="X908" s="211"/>
      <c r="Y908" s="211"/>
      <c r="Z908" s="211"/>
      <c r="AA908" s="84"/>
      <c r="AB908" s="146"/>
      <c r="AC908" s="211"/>
      <c r="AD908" s="211"/>
      <c r="AE908" s="211"/>
      <c r="AF908" s="84"/>
      <c r="AG908" s="146"/>
      <c r="AH908" s="211"/>
      <c r="AI908" s="211"/>
      <c r="AJ908" s="211"/>
      <c r="AK908" s="84"/>
      <c r="AL908" s="146"/>
      <c r="AM908" s="211"/>
      <c r="AN908" s="211"/>
      <c r="AO908" s="211"/>
      <c r="AP908" s="436"/>
      <c r="AQ908" s="146"/>
      <c r="AR908" s="211"/>
      <c r="AS908" s="211"/>
      <c r="AT908" s="211"/>
      <c r="AU908" s="84"/>
      <c r="AV908" s="211"/>
      <c r="AW908" s="211"/>
      <c r="AX908" s="211"/>
      <c r="AY908" s="211"/>
      <c r="AZ908" s="84"/>
      <c r="BA908" s="211"/>
      <c r="BB908" s="211"/>
      <c r="BC908" s="211"/>
      <c r="BD908" s="211"/>
      <c r="BE908" s="84"/>
      <c r="BF908" s="211"/>
      <c r="BG908" s="451"/>
    </row>
    <row r="909" spans="1:59" ht="12.75">
      <c r="A909" s="211"/>
      <c r="B909" s="449"/>
      <c r="C909" s="450"/>
      <c r="D909" s="211"/>
      <c r="E909" s="211"/>
      <c r="F909" s="211"/>
      <c r="G909" s="84"/>
      <c r="H909" s="211"/>
      <c r="I909" s="211"/>
      <c r="J909" s="211"/>
      <c r="K909" s="211"/>
      <c r="L909" s="84"/>
      <c r="M909" s="211"/>
      <c r="N909" s="211"/>
      <c r="O909" s="211"/>
      <c r="P909" s="211"/>
      <c r="Q909" s="84"/>
      <c r="R909" s="211"/>
      <c r="S909" s="211"/>
      <c r="T909" s="211"/>
      <c r="U909" s="211"/>
      <c r="V909" s="84"/>
      <c r="W909" s="211"/>
      <c r="X909" s="211"/>
      <c r="Y909" s="211"/>
      <c r="Z909" s="211"/>
      <c r="AA909" s="84"/>
      <c r="AB909" s="146"/>
      <c r="AC909" s="211"/>
      <c r="AD909" s="211"/>
      <c r="AE909" s="211"/>
      <c r="AF909" s="84"/>
      <c r="AG909" s="146"/>
      <c r="AH909" s="211"/>
      <c r="AI909" s="211"/>
      <c r="AJ909" s="211"/>
      <c r="AK909" s="84"/>
      <c r="AL909" s="146"/>
      <c r="AM909" s="211"/>
      <c r="AN909" s="211"/>
      <c r="AO909" s="211"/>
      <c r="AP909" s="436"/>
      <c r="AQ909" s="146"/>
      <c r="AR909" s="211"/>
      <c r="AS909" s="211"/>
      <c r="AT909" s="211"/>
      <c r="AU909" s="84"/>
      <c r="AV909" s="211"/>
      <c r="AW909" s="211"/>
      <c r="AX909" s="211"/>
      <c r="AY909" s="211"/>
      <c r="AZ909" s="84"/>
      <c r="BA909" s="211"/>
      <c r="BB909" s="211"/>
      <c r="BC909" s="211"/>
      <c r="BD909" s="211"/>
      <c r="BE909" s="84"/>
      <c r="BF909" s="211"/>
      <c r="BG909" s="451"/>
    </row>
    <row r="910" spans="1:59" ht="12.75">
      <c r="A910" s="211"/>
      <c r="B910" s="449"/>
      <c r="C910" s="450"/>
      <c r="D910" s="211"/>
      <c r="E910" s="211"/>
      <c r="F910" s="211"/>
      <c r="G910" s="84"/>
      <c r="H910" s="211"/>
      <c r="I910" s="211"/>
      <c r="J910" s="211"/>
      <c r="K910" s="211"/>
      <c r="L910" s="84"/>
      <c r="M910" s="211"/>
      <c r="N910" s="211"/>
      <c r="O910" s="211"/>
      <c r="P910" s="211"/>
      <c r="Q910" s="84"/>
      <c r="R910" s="211"/>
      <c r="S910" s="211"/>
      <c r="T910" s="211"/>
      <c r="U910" s="211"/>
      <c r="V910" s="84"/>
      <c r="W910" s="211"/>
      <c r="X910" s="211"/>
      <c r="Y910" s="211"/>
      <c r="Z910" s="211"/>
      <c r="AA910" s="84"/>
      <c r="AB910" s="146"/>
      <c r="AC910" s="211"/>
      <c r="AD910" s="211"/>
      <c r="AE910" s="211"/>
      <c r="AF910" s="84"/>
      <c r="AG910" s="146"/>
      <c r="AH910" s="211"/>
      <c r="AI910" s="211"/>
      <c r="AJ910" s="211"/>
      <c r="AK910" s="84"/>
      <c r="AL910" s="146"/>
      <c r="AM910" s="211"/>
      <c r="AN910" s="211"/>
      <c r="AO910" s="211"/>
      <c r="AP910" s="436"/>
      <c r="AQ910" s="146"/>
      <c r="AR910" s="211"/>
      <c r="AS910" s="211"/>
      <c r="AT910" s="211"/>
      <c r="AU910" s="84"/>
      <c r="AV910" s="211"/>
      <c r="AW910" s="211"/>
      <c r="AX910" s="211"/>
      <c r="AY910" s="211"/>
      <c r="AZ910" s="84"/>
      <c r="BA910" s="211"/>
      <c r="BB910" s="211"/>
      <c r="BC910" s="211"/>
      <c r="BD910" s="211"/>
      <c r="BE910" s="84"/>
      <c r="BF910" s="211"/>
      <c r="BG910" s="451"/>
    </row>
    <row r="911" spans="1:59" ht="12.75">
      <c r="A911" s="211"/>
      <c r="B911" s="449"/>
      <c r="C911" s="450"/>
      <c r="D911" s="211"/>
      <c r="E911" s="211"/>
      <c r="F911" s="211"/>
      <c r="G911" s="84"/>
      <c r="H911" s="211"/>
      <c r="I911" s="211"/>
      <c r="J911" s="211"/>
      <c r="K911" s="211"/>
      <c r="L911" s="84"/>
      <c r="M911" s="211"/>
      <c r="N911" s="211"/>
      <c r="O911" s="211"/>
      <c r="P911" s="211"/>
      <c r="Q911" s="84"/>
      <c r="R911" s="211"/>
      <c r="S911" s="211"/>
      <c r="T911" s="211"/>
      <c r="U911" s="211"/>
      <c r="V911" s="84"/>
      <c r="W911" s="211"/>
      <c r="X911" s="211"/>
      <c r="Y911" s="211"/>
      <c r="Z911" s="211"/>
      <c r="AA911" s="84"/>
      <c r="AB911" s="146"/>
      <c r="AC911" s="211"/>
      <c r="AD911" s="211"/>
      <c r="AE911" s="211"/>
      <c r="AF911" s="84"/>
      <c r="AG911" s="146"/>
      <c r="AH911" s="211"/>
      <c r="AI911" s="211"/>
      <c r="AJ911" s="211"/>
      <c r="AK911" s="84"/>
      <c r="AL911" s="146"/>
      <c r="AM911" s="211"/>
      <c r="AN911" s="211"/>
      <c r="AO911" s="211"/>
      <c r="AP911" s="436"/>
      <c r="AQ911" s="146"/>
      <c r="AR911" s="211"/>
      <c r="AS911" s="211"/>
      <c r="AT911" s="211"/>
      <c r="AU911" s="84"/>
      <c r="AV911" s="211"/>
      <c r="AW911" s="211"/>
      <c r="AX911" s="211"/>
      <c r="AY911" s="211"/>
      <c r="AZ911" s="84"/>
      <c r="BA911" s="211"/>
      <c r="BB911" s="211"/>
      <c r="BC911" s="211"/>
      <c r="BD911" s="211"/>
      <c r="BE911" s="84"/>
      <c r="BF911" s="211"/>
      <c r="BG911" s="451"/>
    </row>
    <row r="912" spans="1:59" ht="12.75">
      <c r="A912" s="211"/>
      <c r="B912" s="449"/>
      <c r="C912" s="450"/>
      <c r="D912" s="211"/>
      <c r="E912" s="211"/>
      <c r="F912" s="211"/>
      <c r="G912" s="84"/>
      <c r="H912" s="211"/>
      <c r="I912" s="211"/>
      <c r="J912" s="211"/>
      <c r="K912" s="211"/>
      <c r="L912" s="84"/>
      <c r="M912" s="211"/>
      <c r="N912" s="211"/>
      <c r="O912" s="211"/>
      <c r="P912" s="211"/>
      <c r="Q912" s="84"/>
      <c r="R912" s="211"/>
      <c r="S912" s="211"/>
      <c r="T912" s="211"/>
      <c r="U912" s="211"/>
      <c r="V912" s="84"/>
      <c r="W912" s="211"/>
      <c r="X912" s="211"/>
      <c r="Y912" s="211"/>
      <c r="Z912" s="211"/>
      <c r="AA912" s="84"/>
      <c r="AB912" s="146"/>
      <c r="AC912" s="211"/>
      <c r="AD912" s="211"/>
      <c r="AE912" s="211"/>
      <c r="AF912" s="84"/>
      <c r="AG912" s="146"/>
      <c r="AH912" s="211"/>
      <c r="AI912" s="211"/>
      <c r="AJ912" s="211"/>
      <c r="AK912" s="84"/>
      <c r="AL912" s="146"/>
      <c r="AM912" s="211"/>
      <c r="AN912" s="211"/>
      <c r="AO912" s="211"/>
      <c r="AP912" s="436"/>
      <c r="AQ912" s="146"/>
      <c r="AR912" s="211"/>
      <c r="AS912" s="211"/>
      <c r="AT912" s="211"/>
      <c r="AU912" s="84"/>
      <c r="AV912" s="211"/>
      <c r="AW912" s="211"/>
      <c r="AX912" s="211"/>
      <c r="AY912" s="211"/>
      <c r="AZ912" s="84"/>
      <c r="BA912" s="211"/>
      <c r="BB912" s="211"/>
      <c r="BC912" s="211"/>
      <c r="BD912" s="211"/>
      <c r="BE912" s="84"/>
      <c r="BF912" s="211"/>
      <c r="BG912" s="451"/>
    </row>
    <row r="913" spans="1:59" ht="12.75">
      <c r="A913" s="211"/>
      <c r="B913" s="449"/>
      <c r="C913" s="450"/>
      <c r="D913" s="211"/>
      <c r="E913" s="211"/>
      <c r="F913" s="211"/>
      <c r="G913" s="84"/>
      <c r="H913" s="211"/>
      <c r="I913" s="211"/>
      <c r="J913" s="211"/>
      <c r="K913" s="211"/>
      <c r="L913" s="84"/>
      <c r="M913" s="211"/>
      <c r="N913" s="211"/>
      <c r="O913" s="211"/>
      <c r="P913" s="211"/>
      <c r="Q913" s="84"/>
      <c r="R913" s="211"/>
      <c r="S913" s="211"/>
      <c r="T913" s="211"/>
      <c r="U913" s="211"/>
      <c r="V913" s="84"/>
      <c r="W913" s="211"/>
      <c r="X913" s="211"/>
      <c r="Y913" s="211"/>
      <c r="Z913" s="211"/>
      <c r="AA913" s="84"/>
      <c r="AB913" s="146"/>
      <c r="AC913" s="211"/>
      <c r="AD913" s="211"/>
      <c r="AE913" s="211"/>
      <c r="AF913" s="84"/>
      <c r="AG913" s="146"/>
      <c r="AH913" s="211"/>
      <c r="AI913" s="211"/>
      <c r="AJ913" s="211"/>
      <c r="AK913" s="84"/>
      <c r="AL913" s="146"/>
      <c r="AM913" s="211"/>
      <c r="AN913" s="211"/>
      <c r="AO913" s="211"/>
      <c r="AP913" s="436"/>
      <c r="AQ913" s="146"/>
      <c r="AR913" s="211"/>
      <c r="AS913" s="211"/>
      <c r="AT913" s="211"/>
      <c r="AU913" s="84"/>
      <c r="AV913" s="211"/>
      <c r="AW913" s="211"/>
      <c r="AX913" s="211"/>
      <c r="AY913" s="211"/>
      <c r="AZ913" s="84"/>
      <c r="BA913" s="211"/>
      <c r="BB913" s="211"/>
      <c r="BC913" s="211"/>
      <c r="BD913" s="211"/>
      <c r="BE913" s="84"/>
      <c r="BF913" s="211"/>
      <c r="BG913" s="451"/>
    </row>
    <row r="914" spans="1:59" ht="12.75">
      <c r="A914" s="211"/>
      <c r="B914" s="449"/>
      <c r="C914" s="450"/>
      <c r="D914" s="211"/>
      <c r="E914" s="211"/>
      <c r="F914" s="211"/>
      <c r="G914" s="84"/>
      <c r="H914" s="211"/>
      <c r="I914" s="211"/>
      <c r="J914" s="211"/>
      <c r="K914" s="211"/>
      <c r="L914" s="84"/>
      <c r="M914" s="211"/>
      <c r="N914" s="211"/>
      <c r="O914" s="211"/>
      <c r="P914" s="211"/>
      <c r="Q914" s="84"/>
      <c r="R914" s="211"/>
      <c r="S914" s="211"/>
      <c r="T914" s="211"/>
      <c r="U914" s="211"/>
      <c r="V914" s="84"/>
      <c r="W914" s="211"/>
      <c r="X914" s="211"/>
      <c r="Y914" s="211"/>
      <c r="Z914" s="211"/>
      <c r="AA914" s="84"/>
      <c r="AB914" s="146"/>
      <c r="AC914" s="211"/>
      <c r="AD914" s="211"/>
      <c r="AE914" s="211"/>
      <c r="AF914" s="84"/>
      <c r="AG914" s="146"/>
      <c r="AH914" s="211"/>
      <c r="AI914" s="211"/>
      <c r="AJ914" s="211"/>
      <c r="AK914" s="84"/>
      <c r="AL914" s="146"/>
      <c r="AM914" s="211"/>
      <c r="AN914" s="211"/>
      <c r="AO914" s="211"/>
      <c r="AP914" s="436"/>
      <c r="AQ914" s="146"/>
      <c r="AR914" s="211"/>
      <c r="AS914" s="211"/>
      <c r="AT914" s="211"/>
      <c r="AU914" s="84"/>
      <c r="AV914" s="211"/>
      <c r="AW914" s="211"/>
      <c r="AX914" s="211"/>
      <c r="AY914" s="211"/>
      <c r="AZ914" s="84"/>
      <c r="BA914" s="211"/>
      <c r="BB914" s="211"/>
      <c r="BC914" s="211"/>
      <c r="BD914" s="211"/>
      <c r="BE914" s="84"/>
      <c r="BF914" s="211"/>
      <c r="BG914" s="451"/>
    </row>
    <row r="915" spans="1:59" ht="12.75">
      <c r="A915" s="211"/>
      <c r="B915" s="449"/>
      <c r="C915" s="450"/>
      <c r="D915" s="211"/>
      <c r="E915" s="211"/>
      <c r="F915" s="211"/>
      <c r="G915" s="84"/>
      <c r="H915" s="211"/>
      <c r="I915" s="211"/>
      <c r="J915" s="211"/>
      <c r="K915" s="211"/>
      <c r="L915" s="84"/>
      <c r="M915" s="211"/>
      <c r="N915" s="211"/>
      <c r="O915" s="211"/>
      <c r="P915" s="211"/>
      <c r="Q915" s="84"/>
      <c r="R915" s="211"/>
      <c r="S915" s="211"/>
      <c r="T915" s="211"/>
      <c r="U915" s="211"/>
      <c r="V915" s="84"/>
      <c r="W915" s="211"/>
      <c r="X915" s="211"/>
      <c r="Y915" s="211"/>
      <c r="Z915" s="211"/>
      <c r="AA915" s="84"/>
      <c r="AB915" s="146"/>
      <c r="AC915" s="211"/>
      <c r="AD915" s="211"/>
      <c r="AE915" s="211"/>
      <c r="AF915" s="84"/>
      <c r="AG915" s="146"/>
      <c r="AH915" s="211"/>
      <c r="AI915" s="211"/>
      <c r="AJ915" s="211"/>
      <c r="AK915" s="84"/>
      <c r="AL915" s="146"/>
      <c r="AM915" s="211"/>
      <c r="AN915" s="211"/>
      <c r="AO915" s="211"/>
      <c r="AP915" s="436"/>
      <c r="AQ915" s="146"/>
      <c r="AR915" s="211"/>
      <c r="AS915" s="211"/>
      <c r="AT915" s="211"/>
      <c r="AU915" s="84"/>
      <c r="AV915" s="211"/>
      <c r="AW915" s="211"/>
      <c r="AX915" s="211"/>
      <c r="AY915" s="211"/>
      <c r="AZ915" s="84"/>
      <c r="BA915" s="211"/>
      <c r="BB915" s="211"/>
      <c r="BC915" s="211"/>
      <c r="BD915" s="211"/>
      <c r="BE915" s="84"/>
      <c r="BF915" s="211"/>
      <c r="BG915" s="451"/>
    </row>
    <row r="916" spans="1:59" ht="12.75">
      <c r="A916" s="211"/>
      <c r="B916" s="449"/>
      <c r="C916" s="450"/>
      <c r="D916" s="211"/>
      <c r="E916" s="211"/>
      <c r="F916" s="211"/>
      <c r="G916" s="84"/>
      <c r="H916" s="211"/>
      <c r="I916" s="211"/>
      <c r="J916" s="211"/>
      <c r="K916" s="211"/>
      <c r="L916" s="84"/>
      <c r="M916" s="211"/>
      <c r="N916" s="211"/>
      <c r="O916" s="211"/>
      <c r="P916" s="211"/>
      <c r="Q916" s="84"/>
      <c r="R916" s="211"/>
      <c r="S916" s="211"/>
      <c r="T916" s="211"/>
      <c r="U916" s="211"/>
      <c r="V916" s="84"/>
      <c r="W916" s="211"/>
      <c r="X916" s="211"/>
      <c r="Y916" s="211"/>
      <c r="Z916" s="211"/>
      <c r="AA916" s="84"/>
      <c r="AB916" s="146"/>
      <c r="AC916" s="211"/>
      <c r="AD916" s="211"/>
      <c r="AE916" s="211"/>
      <c r="AF916" s="84"/>
      <c r="AG916" s="146"/>
      <c r="AH916" s="211"/>
      <c r="AI916" s="211"/>
      <c r="AJ916" s="211"/>
      <c r="AK916" s="84"/>
      <c r="AL916" s="146"/>
      <c r="AM916" s="211"/>
      <c r="AN916" s="211"/>
      <c r="AO916" s="211"/>
      <c r="AP916" s="436"/>
      <c r="AQ916" s="146"/>
      <c r="AR916" s="211"/>
      <c r="AS916" s="211"/>
      <c r="AT916" s="211"/>
      <c r="AU916" s="84"/>
      <c r="AV916" s="211"/>
      <c r="AW916" s="211"/>
      <c r="AX916" s="211"/>
      <c r="AY916" s="211"/>
      <c r="AZ916" s="84"/>
      <c r="BA916" s="211"/>
      <c r="BB916" s="211"/>
      <c r="BC916" s="211"/>
      <c r="BD916" s="211"/>
      <c r="BE916" s="84"/>
      <c r="BF916" s="211"/>
      <c r="BG916" s="451"/>
    </row>
    <row r="917" spans="1:59" ht="12.75">
      <c r="A917" s="211"/>
      <c r="B917" s="449"/>
      <c r="C917" s="450"/>
      <c r="D917" s="211"/>
      <c r="E917" s="211"/>
      <c r="F917" s="211"/>
      <c r="G917" s="84"/>
      <c r="H917" s="211"/>
      <c r="I917" s="211"/>
      <c r="J917" s="211"/>
      <c r="K917" s="211"/>
      <c r="L917" s="84"/>
      <c r="M917" s="211"/>
      <c r="N917" s="211"/>
      <c r="O917" s="211"/>
      <c r="P917" s="211"/>
      <c r="Q917" s="84"/>
      <c r="R917" s="211"/>
      <c r="S917" s="211"/>
      <c r="T917" s="211"/>
      <c r="U917" s="211"/>
      <c r="V917" s="84"/>
      <c r="W917" s="211"/>
      <c r="X917" s="211"/>
      <c r="Y917" s="211"/>
      <c r="Z917" s="211"/>
      <c r="AA917" s="84"/>
      <c r="AB917" s="146"/>
      <c r="AC917" s="211"/>
      <c r="AD917" s="211"/>
      <c r="AE917" s="211"/>
      <c r="AF917" s="84"/>
      <c r="AG917" s="146"/>
      <c r="AH917" s="211"/>
      <c r="AI917" s="211"/>
      <c r="AJ917" s="211"/>
      <c r="AK917" s="84"/>
      <c r="AL917" s="146"/>
      <c r="AM917" s="211"/>
      <c r="AN917" s="211"/>
      <c r="AO917" s="211"/>
      <c r="AP917" s="436"/>
      <c r="AQ917" s="146"/>
      <c r="AR917" s="211"/>
      <c r="AS917" s="211"/>
      <c r="AT917" s="211"/>
      <c r="AU917" s="84"/>
      <c r="AV917" s="211"/>
      <c r="AW917" s="211"/>
      <c r="AX917" s="211"/>
      <c r="AY917" s="211"/>
      <c r="AZ917" s="84"/>
      <c r="BA917" s="211"/>
      <c r="BB917" s="211"/>
      <c r="BC917" s="211"/>
      <c r="BD917" s="211"/>
      <c r="BE917" s="84"/>
      <c r="BF917" s="211"/>
      <c r="BG917" s="451"/>
    </row>
    <row r="918" spans="1:59" ht="12.75">
      <c r="A918" s="211"/>
      <c r="B918" s="449"/>
      <c r="C918" s="450"/>
      <c r="D918" s="211"/>
      <c r="E918" s="211"/>
      <c r="F918" s="211"/>
      <c r="G918" s="84"/>
      <c r="H918" s="211"/>
      <c r="I918" s="211"/>
      <c r="J918" s="211"/>
      <c r="K918" s="211"/>
      <c r="L918" s="84"/>
      <c r="M918" s="211"/>
      <c r="N918" s="211"/>
      <c r="O918" s="211"/>
      <c r="P918" s="211"/>
      <c r="Q918" s="84"/>
      <c r="R918" s="211"/>
      <c r="S918" s="211"/>
      <c r="T918" s="211"/>
      <c r="U918" s="211"/>
      <c r="V918" s="84"/>
      <c r="W918" s="211"/>
      <c r="X918" s="211"/>
      <c r="Y918" s="211"/>
      <c r="Z918" s="211"/>
      <c r="AA918" s="84"/>
      <c r="AB918" s="146"/>
      <c r="AC918" s="211"/>
      <c r="AD918" s="211"/>
      <c r="AE918" s="211"/>
      <c r="AF918" s="84"/>
      <c r="AG918" s="146"/>
      <c r="AH918" s="211"/>
      <c r="AI918" s="211"/>
      <c r="AJ918" s="211"/>
      <c r="AK918" s="84"/>
      <c r="AL918" s="146"/>
      <c r="AM918" s="211"/>
      <c r="AN918" s="211"/>
      <c r="AO918" s="211"/>
      <c r="AP918" s="436"/>
      <c r="AQ918" s="146"/>
      <c r="AR918" s="211"/>
      <c r="AS918" s="211"/>
      <c r="AT918" s="211"/>
      <c r="AU918" s="84"/>
      <c r="AV918" s="211"/>
      <c r="AW918" s="211"/>
      <c r="AX918" s="211"/>
      <c r="AY918" s="211"/>
      <c r="AZ918" s="84"/>
      <c r="BA918" s="211"/>
      <c r="BB918" s="211"/>
      <c r="BC918" s="211"/>
      <c r="BD918" s="211"/>
      <c r="BE918" s="84"/>
      <c r="BF918" s="211"/>
      <c r="BG918" s="451"/>
    </row>
    <row r="919" spans="1:59" ht="12.75">
      <c r="A919" s="211"/>
      <c r="B919" s="449"/>
      <c r="C919" s="450"/>
      <c r="D919" s="211"/>
      <c r="E919" s="211"/>
      <c r="F919" s="211"/>
      <c r="G919" s="84"/>
      <c r="H919" s="211"/>
      <c r="I919" s="211"/>
      <c r="J919" s="211"/>
      <c r="K919" s="211"/>
      <c r="L919" s="84"/>
      <c r="M919" s="211"/>
      <c r="N919" s="211"/>
      <c r="O919" s="211"/>
      <c r="P919" s="211"/>
      <c r="Q919" s="84"/>
      <c r="R919" s="211"/>
      <c r="S919" s="211"/>
      <c r="T919" s="211"/>
      <c r="U919" s="211"/>
      <c r="V919" s="84"/>
      <c r="W919" s="211"/>
      <c r="X919" s="211"/>
      <c r="Y919" s="211"/>
      <c r="Z919" s="211"/>
      <c r="AA919" s="84"/>
      <c r="AB919" s="146"/>
      <c r="AC919" s="211"/>
      <c r="AD919" s="211"/>
      <c r="AE919" s="211"/>
      <c r="AF919" s="84"/>
      <c r="AG919" s="146"/>
      <c r="AH919" s="211"/>
      <c r="AI919" s="211"/>
      <c r="AJ919" s="211"/>
      <c r="AK919" s="84"/>
      <c r="AL919" s="146"/>
      <c r="AM919" s="211"/>
      <c r="AN919" s="211"/>
      <c r="AO919" s="211"/>
      <c r="AP919" s="436"/>
      <c r="AQ919" s="146"/>
      <c r="AR919" s="211"/>
      <c r="AS919" s="211"/>
      <c r="AT919" s="211"/>
      <c r="AU919" s="84"/>
      <c r="AV919" s="211"/>
      <c r="AW919" s="211"/>
      <c r="AX919" s="211"/>
      <c r="AY919" s="211"/>
      <c r="AZ919" s="84"/>
      <c r="BA919" s="211"/>
      <c r="BB919" s="211"/>
      <c r="BC919" s="211"/>
      <c r="BD919" s="211"/>
      <c r="BE919" s="84"/>
      <c r="BF919" s="211"/>
      <c r="BG919" s="451"/>
    </row>
    <row r="920" spans="1:59" ht="12.75">
      <c r="A920" s="211"/>
      <c r="B920" s="449"/>
      <c r="C920" s="450"/>
      <c r="D920" s="211"/>
      <c r="E920" s="211"/>
      <c r="F920" s="211"/>
      <c r="G920" s="84"/>
      <c r="H920" s="211"/>
      <c r="I920" s="211"/>
      <c r="J920" s="211"/>
      <c r="K920" s="211"/>
      <c r="L920" s="84"/>
      <c r="M920" s="211"/>
      <c r="N920" s="211"/>
      <c r="O920" s="211"/>
      <c r="P920" s="211"/>
      <c r="Q920" s="84"/>
      <c r="R920" s="211"/>
      <c r="S920" s="211"/>
      <c r="T920" s="211"/>
      <c r="U920" s="211"/>
      <c r="V920" s="84"/>
      <c r="W920" s="211"/>
      <c r="X920" s="211"/>
      <c r="Y920" s="211"/>
      <c r="Z920" s="211"/>
      <c r="AA920" s="84"/>
      <c r="AB920" s="146"/>
      <c r="AC920" s="211"/>
      <c r="AD920" s="211"/>
      <c r="AE920" s="211"/>
      <c r="AF920" s="84"/>
      <c r="AG920" s="146"/>
      <c r="AH920" s="211"/>
      <c r="AI920" s="211"/>
      <c r="AJ920" s="211"/>
      <c r="AK920" s="84"/>
      <c r="AL920" s="146"/>
      <c r="AM920" s="211"/>
      <c r="AN920" s="211"/>
      <c r="AO920" s="211"/>
      <c r="AP920" s="436"/>
      <c r="AQ920" s="146"/>
      <c r="AR920" s="211"/>
      <c r="AS920" s="211"/>
      <c r="AT920" s="211"/>
      <c r="AU920" s="84"/>
      <c r="AV920" s="211"/>
      <c r="AW920" s="211"/>
      <c r="AX920" s="211"/>
      <c r="AY920" s="211"/>
      <c r="AZ920" s="84"/>
      <c r="BA920" s="211"/>
      <c r="BB920" s="211"/>
      <c r="BC920" s="211"/>
      <c r="BD920" s="211"/>
      <c r="BE920" s="84"/>
      <c r="BF920" s="211"/>
      <c r="BG920" s="451"/>
    </row>
    <row r="921" spans="1:59" ht="12.75">
      <c r="A921" s="211"/>
      <c r="B921" s="449"/>
      <c r="C921" s="450"/>
      <c r="D921" s="211"/>
      <c r="E921" s="211"/>
      <c r="F921" s="211"/>
      <c r="G921" s="84"/>
      <c r="H921" s="211"/>
      <c r="I921" s="211"/>
      <c r="J921" s="211"/>
      <c r="K921" s="211"/>
      <c r="L921" s="84"/>
      <c r="M921" s="211"/>
      <c r="N921" s="211"/>
      <c r="O921" s="211"/>
      <c r="P921" s="211"/>
      <c r="Q921" s="84"/>
      <c r="R921" s="211"/>
      <c r="S921" s="211"/>
      <c r="T921" s="211"/>
      <c r="U921" s="211"/>
      <c r="V921" s="84"/>
      <c r="W921" s="211"/>
      <c r="X921" s="211"/>
      <c r="Y921" s="211"/>
      <c r="Z921" s="211"/>
      <c r="AA921" s="84"/>
      <c r="AB921" s="146"/>
      <c r="AC921" s="211"/>
      <c r="AD921" s="211"/>
      <c r="AE921" s="211"/>
      <c r="AF921" s="84"/>
      <c r="AG921" s="146"/>
      <c r="AH921" s="211"/>
      <c r="AI921" s="211"/>
      <c r="AJ921" s="211"/>
      <c r="AK921" s="84"/>
      <c r="AL921" s="146"/>
      <c r="AM921" s="211"/>
      <c r="AN921" s="211"/>
      <c r="AO921" s="211"/>
      <c r="AP921" s="436"/>
      <c r="AQ921" s="146"/>
      <c r="AR921" s="211"/>
      <c r="AS921" s="211"/>
      <c r="AT921" s="211"/>
      <c r="AU921" s="84"/>
      <c r="AV921" s="211"/>
      <c r="AW921" s="211"/>
      <c r="AX921" s="211"/>
      <c r="AY921" s="211"/>
      <c r="AZ921" s="84"/>
      <c r="BA921" s="211"/>
      <c r="BB921" s="211"/>
      <c r="BC921" s="211"/>
      <c r="BD921" s="211"/>
      <c r="BE921" s="84"/>
      <c r="BF921" s="211"/>
      <c r="BG921" s="451"/>
    </row>
    <row r="922" spans="1:59" ht="12.75">
      <c r="A922" s="211"/>
      <c r="B922" s="449"/>
      <c r="C922" s="450"/>
      <c r="D922" s="211"/>
      <c r="E922" s="211"/>
      <c r="F922" s="211"/>
      <c r="G922" s="84"/>
      <c r="H922" s="211"/>
      <c r="I922" s="211"/>
      <c r="J922" s="211"/>
      <c r="K922" s="211"/>
      <c r="L922" s="84"/>
      <c r="M922" s="211"/>
      <c r="N922" s="211"/>
      <c r="O922" s="211"/>
      <c r="P922" s="211"/>
      <c r="Q922" s="84"/>
      <c r="R922" s="211"/>
      <c r="S922" s="211"/>
      <c r="T922" s="211"/>
      <c r="U922" s="211"/>
      <c r="V922" s="84"/>
      <c r="W922" s="211"/>
      <c r="X922" s="211"/>
      <c r="Y922" s="211"/>
      <c r="Z922" s="211"/>
      <c r="AA922" s="84"/>
      <c r="AB922" s="146"/>
      <c r="AC922" s="211"/>
      <c r="AD922" s="211"/>
      <c r="AE922" s="211"/>
      <c r="AF922" s="84"/>
      <c r="AG922" s="146"/>
      <c r="AH922" s="211"/>
      <c r="AI922" s="211"/>
      <c r="AJ922" s="211"/>
      <c r="AK922" s="84"/>
      <c r="AL922" s="146"/>
      <c r="AM922" s="211"/>
      <c r="AN922" s="211"/>
      <c r="AO922" s="211"/>
      <c r="AP922" s="436"/>
      <c r="AQ922" s="146"/>
      <c r="AR922" s="211"/>
      <c r="AS922" s="211"/>
      <c r="AT922" s="211"/>
      <c r="AU922" s="84"/>
      <c r="AV922" s="211"/>
      <c r="AW922" s="211"/>
      <c r="AX922" s="211"/>
      <c r="AY922" s="211"/>
      <c r="AZ922" s="84"/>
      <c r="BA922" s="211"/>
      <c r="BB922" s="211"/>
      <c r="BC922" s="211"/>
      <c r="BD922" s="211"/>
      <c r="BE922" s="84"/>
      <c r="BF922" s="211"/>
      <c r="BG922" s="451"/>
    </row>
    <row r="923" spans="1:59" ht="12.75">
      <c r="A923" s="211"/>
      <c r="B923" s="449"/>
      <c r="C923" s="450"/>
      <c r="D923" s="211"/>
      <c r="E923" s="211"/>
      <c r="F923" s="211"/>
      <c r="G923" s="84"/>
      <c r="H923" s="211"/>
      <c r="I923" s="211"/>
      <c r="J923" s="211"/>
      <c r="K923" s="211"/>
      <c r="L923" s="84"/>
      <c r="M923" s="211"/>
      <c r="N923" s="211"/>
      <c r="O923" s="211"/>
      <c r="P923" s="211"/>
      <c r="Q923" s="84"/>
      <c r="R923" s="211"/>
      <c r="S923" s="211"/>
      <c r="T923" s="211"/>
      <c r="U923" s="211"/>
      <c r="V923" s="84"/>
      <c r="W923" s="211"/>
      <c r="X923" s="211"/>
      <c r="Y923" s="211"/>
      <c r="Z923" s="211"/>
      <c r="AA923" s="84"/>
      <c r="AB923" s="146"/>
      <c r="AC923" s="211"/>
      <c r="AD923" s="211"/>
      <c r="AE923" s="211"/>
      <c r="AF923" s="84"/>
      <c r="AG923" s="146"/>
      <c r="AH923" s="211"/>
      <c r="AI923" s="211"/>
      <c r="AJ923" s="211"/>
      <c r="AK923" s="84"/>
      <c r="AL923" s="146"/>
      <c r="AM923" s="211"/>
      <c r="AN923" s="211"/>
      <c r="AO923" s="211"/>
      <c r="AP923" s="436"/>
      <c r="AQ923" s="146"/>
      <c r="AR923" s="211"/>
      <c r="AS923" s="211"/>
      <c r="AT923" s="211"/>
      <c r="AU923" s="84"/>
      <c r="AV923" s="211"/>
      <c r="AW923" s="211"/>
      <c r="AX923" s="211"/>
      <c r="AY923" s="211"/>
      <c r="AZ923" s="84"/>
      <c r="BA923" s="211"/>
      <c r="BB923" s="211"/>
      <c r="BC923" s="211"/>
      <c r="BD923" s="211"/>
      <c r="BE923" s="84"/>
      <c r="BF923" s="211"/>
      <c r="BG923" s="451"/>
    </row>
    <row r="924" spans="1:59" ht="12.75">
      <c r="A924" s="211"/>
      <c r="B924" s="449"/>
      <c r="C924" s="450"/>
      <c r="D924" s="211"/>
      <c r="E924" s="211"/>
      <c r="F924" s="211"/>
      <c r="G924" s="84"/>
      <c r="H924" s="211"/>
      <c r="I924" s="211"/>
      <c r="J924" s="211"/>
      <c r="K924" s="211"/>
      <c r="L924" s="84"/>
      <c r="M924" s="211"/>
      <c r="N924" s="211"/>
      <c r="O924" s="211"/>
      <c r="P924" s="211"/>
      <c r="Q924" s="84"/>
      <c r="R924" s="211"/>
      <c r="S924" s="211"/>
      <c r="T924" s="211"/>
      <c r="U924" s="211"/>
      <c r="V924" s="84"/>
      <c r="W924" s="211"/>
      <c r="X924" s="211"/>
      <c r="Y924" s="211"/>
      <c r="Z924" s="211"/>
      <c r="AA924" s="84"/>
      <c r="AB924" s="146"/>
      <c r="AC924" s="211"/>
      <c r="AD924" s="211"/>
      <c r="AE924" s="211"/>
      <c r="AF924" s="84"/>
      <c r="AG924" s="146"/>
      <c r="AH924" s="211"/>
      <c r="AI924" s="211"/>
      <c r="AJ924" s="211"/>
      <c r="AK924" s="84"/>
      <c r="AL924" s="146"/>
      <c r="AM924" s="211"/>
      <c r="AN924" s="211"/>
      <c r="AO924" s="211"/>
      <c r="AP924" s="436"/>
      <c r="AQ924" s="146"/>
      <c r="AR924" s="211"/>
      <c r="AS924" s="211"/>
      <c r="AT924" s="211"/>
      <c r="AU924" s="84"/>
      <c r="AV924" s="211"/>
      <c r="AW924" s="211"/>
      <c r="AX924" s="211"/>
      <c r="AY924" s="211"/>
      <c r="AZ924" s="84"/>
      <c r="BA924" s="211"/>
      <c r="BB924" s="211"/>
      <c r="BC924" s="211"/>
      <c r="BD924" s="211"/>
      <c r="BE924" s="84"/>
      <c r="BF924" s="211"/>
      <c r="BG924" s="451"/>
    </row>
    <row r="925" spans="1:59" ht="12.75">
      <c r="A925" s="211"/>
      <c r="B925" s="449"/>
      <c r="C925" s="450"/>
      <c r="D925" s="211"/>
      <c r="E925" s="211"/>
      <c r="F925" s="211"/>
      <c r="G925" s="84"/>
      <c r="H925" s="211"/>
      <c r="I925" s="211"/>
      <c r="J925" s="211"/>
      <c r="K925" s="211"/>
      <c r="L925" s="84"/>
      <c r="M925" s="211"/>
      <c r="N925" s="211"/>
      <c r="O925" s="211"/>
      <c r="P925" s="211"/>
      <c r="Q925" s="84"/>
      <c r="R925" s="211"/>
      <c r="S925" s="211"/>
      <c r="T925" s="211"/>
      <c r="U925" s="211"/>
      <c r="V925" s="84"/>
      <c r="W925" s="211"/>
      <c r="X925" s="211"/>
      <c r="Y925" s="211"/>
      <c r="Z925" s="211"/>
      <c r="AA925" s="84"/>
      <c r="AB925" s="146"/>
      <c r="AC925" s="211"/>
      <c r="AD925" s="211"/>
      <c r="AE925" s="211"/>
      <c r="AF925" s="84"/>
      <c r="AG925" s="146"/>
      <c r="AH925" s="211"/>
      <c r="AI925" s="211"/>
      <c r="AJ925" s="211"/>
      <c r="AK925" s="84"/>
      <c r="AL925" s="146"/>
      <c r="AM925" s="211"/>
      <c r="AN925" s="211"/>
      <c r="AO925" s="211"/>
      <c r="AP925" s="436"/>
      <c r="AQ925" s="146"/>
      <c r="AR925" s="211"/>
      <c r="AS925" s="211"/>
      <c r="AT925" s="211"/>
      <c r="AU925" s="84"/>
      <c r="AV925" s="211"/>
      <c r="AW925" s="211"/>
      <c r="AX925" s="211"/>
      <c r="AY925" s="211"/>
      <c r="AZ925" s="84"/>
      <c r="BA925" s="211"/>
      <c r="BB925" s="211"/>
      <c r="BC925" s="211"/>
      <c r="BD925" s="211"/>
      <c r="BE925" s="84"/>
      <c r="BF925" s="211"/>
      <c r="BG925" s="451"/>
    </row>
    <row r="926" spans="1:59" ht="12.75">
      <c r="A926" s="211"/>
      <c r="B926" s="449"/>
      <c r="C926" s="450"/>
      <c r="D926" s="211"/>
      <c r="E926" s="211"/>
      <c r="F926" s="211"/>
      <c r="G926" s="84"/>
      <c r="H926" s="211"/>
      <c r="I926" s="211"/>
      <c r="J926" s="211"/>
      <c r="K926" s="211"/>
      <c r="L926" s="84"/>
      <c r="M926" s="211"/>
      <c r="N926" s="211"/>
      <c r="O926" s="211"/>
      <c r="P926" s="211"/>
      <c r="Q926" s="84"/>
      <c r="R926" s="211"/>
      <c r="S926" s="211"/>
      <c r="T926" s="211"/>
      <c r="U926" s="211"/>
      <c r="V926" s="84"/>
      <c r="W926" s="211"/>
      <c r="X926" s="211"/>
      <c r="Y926" s="211"/>
      <c r="Z926" s="211"/>
      <c r="AA926" s="84"/>
      <c r="AB926" s="146"/>
      <c r="AC926" s="211"/>
      <c r="AD926" s="211"/>
      <c r="AE926" s="211"/>
      <c r="AF926" s="84"/>
      <c r="AG926" s="146"/>
      <c r="AH926" s="211"/>
      <c r="AI926" s="211"/>
      <c r="AJ926" s="211"/>
      <c r="AK926" s="84"/>
      <c r="AL926" s="146"/>
      <c r="AM926" s="211"/>
      <c r="AN926" s="211"/>
      <c r="AO926" s="211"/>
      <c r="AP926" s="436"/>
      <c r="AQ926" s="146"/>
      <c r="AR926" s="211"/>
      <c r="AS926" s="211"/>
      <c r="AT926" s="211"/>
      <c r="AU926" s="84"/>
      <c r="AV926" s="211"/>
      <c r="AW926" s="211"/>
      <c r="AX926" s="211"/>
      <c r="AY926" s="211"/>
      <c r="AZ926" s="84"/>
      <c r="BA926" s="211"/>
      <c r="BB926" s="211"/>
      <c r="BC926" s="211"/>
      <c r="BD926" s="211"/>
      <c r="BE926" s="84"/>
      <c r="BF926" s="211"/>
      <c r="BG926" s="451"/>
    </row>
    <row r="927" spans="1:59" ht="12.75">
      <c r="A927" s="211"/>
      <c r="B927" s="449"/>
      <c r="C927" s="450"/>
      <c r="D927" s="211"/>
      <c r="E927" s="211"/>
      <c r="F927" s="211"/>
      <c r="G927" s="84"/>
      <c r="H927" s="211"/>
      <c r="I927" s="211"/>
      <c r="J927" s="211"/>
      <c r="K927" s="211"/>
      <c r="L927" s="84"/>
      <c r="M927" s="211"/>
      <c r="N927" s="211"/>
      <c r="O927" s="211"/>
      <c r="P927" s="211"/>
      <c r="Q927" s="84"/>
      <c r="R927" s="211"/>
      <c r="S927" s="211"/>
      <c r="T927" s="211"/>
      <c r="U927" s="211"/>
      <c r="V927" s="84"/>
      <c r="W927" s="211"/>
      <c r="X927" s="211"/>
      <c r="Y927" s="211"/>
      <c r="Z927" s="211"/>
      <c r="AA927" s="84"/>
      <c r="AB927" s="146"/>
      <c r="AC927" s="211"/>
      <c r="AD927" s="211"/>
      <c r="AE927" s="211"/>
      <c r="AF927" s="84"/>
      <c r="AG927" s="146"/>
      <c r="AH927" s="211"/>
      <c r="AI927" s="211"/>
      <c r="AJ927" s="211"/>
      <c r="AK927" s="84"/>
      <c r="AL927" s="146"/>
      <c r="AM927" s="211"/>
      <c r="AN927" s="211"/>
      <c r="AO927" s="211"/>
      <c r="AP927" s="436"/>
      <c r="AQ927" s="146"/>
      <c r="AR927" s="211"/>
      <c r="AS927" s="211"/>
      <c r="AT927" s="211"/>
      <c r="AU927" s="84"/>
      <c r="AV927" s="211"/>
      <c r="AW927" s="211"/>
      <c r="AX927" s="211"/>
      <c r="AY927" s="211"/>
      <c r="AZ927" s="84"/>
      <c r="BA927" s="211"/>
      <c r="BB927" s="211"/>
      <c r="BC927" s="211"/>
      <c r="BD927" s="211"/>
      <c r="BE927" s="84"/>
      <c r="BF927" s="211"/>
      <c r="BG927" s="451"/>
    </row>
    <row r="928" spans="1:59" ht="12.75">
      <c r="A928" s="211"/>
      <c r="B928" s="449"/>
      <c r="C928" s="450"/>
      <c r="D928" s="211"/>
      <c r="E928" s="211"/>
      <c r="F928" s="211"/>
      <c r="G928" s="84"/>
      <c r="H928" s="211"/>
      <c r="I928" s="211"/>
      <c r="J928" s="211"/>
      <c r="K928" s="211"/>
      <c r="L928" s="84"/>
      <c r="M928" s="211"/>
      <c r="N928" s="211"/>
      <c r="O928" s="211"/>
      <c r="P928" s="211"/>
      <c r="Q928" s="84"/>
      <c r="R928" s="211"/>
      <c r="S928" s="211"/>
      <c r="T928" s="211"/>
      <c r="U928" s="211"/>
      <c r="V928" s="84"/>
      <c r="W928" s="211"/>
      <c r="X928" s="211"/>
      <c r="Y928" s="211"/>
      <c r="Z928" s="211"/>
      <c r="AA928" s="84"/>
      <c r="AB928" s="146"/>
      <c r="AC928" s="211"/>
      <c r="AD928" s="211"/>
      <c r="AE928" s="211"/>
      <c r="AF928" s="84"/>
      <c r="AG928" s="146"/>
      <c r="AH928" s="211"/>
      <c r="AI928" s="211"/>
      <c r="AJ928" s="211"/>
      <c r="AK928" s="84"/>
      <c r="AL928" s="146"/>
      <c r="AM928" s="211"/>
      <c r="AN928" s="211"/>
      <c r="AO928" s="211"/>
      <c r="AP928" s="436"/>
      <c r="AQ928" s="146"/>
      <c r="AR928" s="211"/>
      <c r="AS928" s="211"/>
      <c r="AT928" s="211"/>
      <c r="AU928" s="84"/>
      <c r="AV928" s="211"/>
      <c r="AW928" s="211"/>
      <c r="AX928" s="211"/>
      <c r="AY928" s="211"/>
      <c r="AZ928" s="84"/>
      <c r="BA928" s="211"/>
      <c r="BB928" s="211"/>
      <c r="BC928" s="211"/>
      <c r="BD928" s="211"/>
      <c r="BE928" s="84"/>
      <c r="BF928" s="211"/>
      <c r="BG928" s="451"/>
    </row>
    <row r="929" spans="1:59" ht="12.75">
      <c r="A929" s="211"/>
      <c r="B929" s="449"/>
      <c r="C929" s="450"/>
      <c r="D929" s="211"/>
      <c r="E929" s="211"/>
      <c r="F929" s="211"/>
      <c r="G929" s="84"/>
      <c r="H929" s="211"/>
      <c r="I929" s="211"/>
      <c r="J929" s="211"/>
      <c r="K929" s="211"/>
      <c r="L929" s="84"/>
      <c r="M929" s="211"/>
      <c r="N929" s="211"/>
      <c r="O929" s="211"/>
      <c r="P929" s="211"/>
      <c r="Q929" s="84"/>
      <c r="R929" s="211"/>
      <c r="S929" s="211"/>
      <c r="T929" s="211"/>
      <c r="U929" s="211"/>
      <c r="V929" s="84"/>
      <c r="W929" s="211"/>
      <c r="X929" s="211"/>
      <c r="Y929" s="211"/>
      <c r="Z929" s="211"/>
      <c r="AA929" s="84"/>
      <c r="AB929" s="146"/>
      <c r="AC929" s="211"/>
      <c r="AD929" s="211"/>
      <c r="AE929" s="211"/>
      <c r="AF929" s="84"/>
      <c r="AG929" s="146"/>
      <c r="AH929" s="211"/>
      <c r="AI929" s="211"/>
      <c r="AJ929" s="211"/>
      <c r="AK929" s="84"/>
      <c r="AL929" s="146"/>
      <c r="AM929" s="211"/>
      <c r="AN929" s="211"/>
      <c r="AO929" s="211"/>
      <c r="AP929" s="436"/>
      <c r="AQ929" s="146"/>
      <c r="AR929" s="211"/>
      <c r="AS929" s="211"/>
      <c r="AT929" s="211"/>
      <c r="AU929" s="84"/>
      <c r="AV929" s="211"/>
      <c r="AW929" s="211"/>
      <c r="AX929" s="211"/>
      <c r="AY929" s="211"/>
      <c r="AZ929" s="84"/>
      <c r="BA929" s="211"/>
      <c r="BB929" s="211"/>
      <c r="BC929" s="211"/>
      <c r="BD929" s="211"/>
      <c r="BE929" s="84"/>
      <c r="BF929" s="211"/>
      <c r="BG929" s="451"/>
    </row>
    <row r="930" spans="1:59" ht="12.75">
      <c r="A930" s="211"/>
      <c r="B930" s="449"/>
      <c r="C930" s="450"/>
      <c r="D930" s="211"/>
      <c r="E930" s="211"/>
      <c r="F930" s="211"/>
      <c r="G930" s="84"/>
      <c r="H930" s="211"/>
      <c r="I930" s="211"/>
      <c r="J930" s="211"/>
      <c r="K930" s="211"/>
      <c r="L930" s="84"/>
      <c r="M930" s="211"/>
      <c r="N930" s="211"/>
      <c r="O930" s="211"/>
      <c r="P930" s="211"/>
      <c r="Q930" s="84"/>
      <c r="R930" s="211"/>
      <c r="S930" s="211"/>
      <c r="T930" s="211"/>
      <c r="U930" s="211"/>
      <c r="V930" s="84"/>
      <c r="W930" s="211"/>
      <c r="X930" s="211"/>
      <c r="Y930" s="211"/>
      <c r="Z930" s="211"/>
      <c r="AA930" s="84"/>
      <c r="AB930" s="146"/>
      <c r="AC930" s="211"/>
      <c r="AD930" s="211"/>
      <c r="AE930" s="211"/>
      <c r="AF930" s="84"/>
      <c r="AG930" s="146"/>
      <c r="AH930" s="211"/>
      <c r="AI930" s="211"/>
      <c r="AJ930" s="211"/>
      <c r="AK930" s="84"/>
      <c r="AL930" s="146"/>
      <c r="AM930" s="211"/>
      <c r="AN930" s="211"/>
      <c r="AO930" s="211"/>
      <c r="AP930" s="436"/>
      <c r="AQ930" s="146"/>
      <c r="AR930" s="211"/>
      <c r="AS930" s="211"/>
      <c r="AT930" s="211"/>
      <c r="AU930" s="84"/>
      <c r="AV930" s="211"/>
      <c r="AW930" s="211"/>
      <c r="AX930" s="211"/>
      <c r="AY930" s="211"/>
      <c r="AZ930" s="84"/>
      <c r="BA930" s="211"/>
      <c r="BB930" s="211"/>
      <c r="BC930" s="211"/>
      <c r="BD930" s="211"/>
      <c r="BE930" s="84"/>
      <c r="BF930" s="211"/>
      <c r="BG930" s="451"/>
    </row>
    <row r="931" spans="1:59" ht="12.75">
      <c r="A931" s="211"/>
      <c r="B931" s="449"/>
      <c r="C931" s="450"/>
      <c r="D931" s="211"/>
      <c r="E931" s="211"/>
      <c r="F931" s="211"/>
      <c r="G931" s="84"/>
      <c r="H931" s="211"/>
      <c r="I931" s="211"/>
      <c r="J931" s="211"/>
      <c r="K931" s="211"/>
      <c r="L931" s="84"/>
      <c r="M931" s="211"/>
      <c r="N931" s="211"/>
      <c r="O931" s="211"/>
      <c r="P931" s="211"/>
      <c r="Q931" s="84"/>
      <c r="R931" s="211"/>
      <c r="S931" s="211"/>
      <c r="T931" s="211"/>
      <c r="U931" s="211"/>
      <c r="V931" s="84"/>
      <c r="W931" s="211"/>
      <c r="X931" s="211"/>
      <c r="Y931" s="211"/>
      <c r="Z931" s="211"/>
      <c r="AA931" s="84"/>
      <c r="AB931" s="146"/>
      <c r="AC931" s="211"/>
      <c r="AD931" s="211"/>
      <c r="AE931" s="211"/>
      <c r="AF931" s="84"/>
      <c r="AG931" s="146"/>
      <c r="AH931" s="211"/>
      <c r="AI931" s="211"/>
      <c r="AJ931" s="211"/>
      <c r="AK931" s="84"/>
      <c r="AL931" s="146"/>
      <c r="AM931" s="211"/>
      <c r="AN931" s="211"/>
      <c r="AO931" s="211"/>
      <c r="AP931" s="436"/>
      <c r="AQ931" s="146"/>
      <c r="AR931" s="211"/>
      <c r="AS931" s="211"/>
      <c r="AT931" s="211"/>
      <c r="AU931" s="84"/>
      <c r="AV931" s="211"/>
      <c r="AW931" s="211"/>
      <c r="AX931" s="211"/>
      <c r="AY931" s="211"/>
      <c r="AZ931" s="84"/>
      <c r="BA931" s="211"/>
      <c r="BB931" s="211"/>
      <c r="BC931" s="211"/>
      <c r="BD931" s="211"/>
      <c r="BE931" s="84"/>
      <c r="BF931" s="211"/>
      <c r="BG931" s="451"/>
    </row>
    <row r="932" spans="1:59" ht="12.75">
      <c r="A932" s="211"/>
      <c r="B932" s="449"/>
      <c r="C932" s="450"/>
      <c r="D932" s="211"/>
      <c r="E932" s="211"/>
      <c r="F932" s="211"/>
      <c r="G932" s="84"/>
      <c r="H932" s="211"/>
      <c r="I932" s="211"/>
      <c r="J932" s="211"/>
      <c r="K932" s="211"/>
      <c r="L932" s="84"/>
      <c r="M932" s="211"/>
      <c r="N932" s="211"/>
      <c r="O932" s="211"/>
      <c r="P932" s="211"/>
      <c r="Q932" s="84"/>
      <c r="R932" s="211"/>
      <c r="S932" s="211"/>
      <c r="T932" s="211"/>
      <c r="U932" s="211"/>
      <c r="V932" s="84"/>
      <c r="W932" s="211"/>
      <c r="X932" s="211"/>
      <c r="Y932" s="211"/>
      <c r="Z932" s="211"/>
      <c r="AA932" s="84"/>
      <c r="AB932" s="146"/>
      <c r="AC932" s="211"/>
      <c r="AD932" s="211"/>
      <c r="AE932" s="211"/>
      <c r="AF932" s="84"/>
      <c r="AG932" s="146"/>
      <c r="AH932" s="211"/>
      <c r="AI932" s="211"/>
      <c r="AJ932" s="211"/>
      <c r="AK932" s="84"/>
      <c r="AL932" s="146"/>
      <c r="AM932" s="211"/>
      <c r="AN932" s="211"/>
      <c r="AO932" s="211"/>
      <c r="AP932" s="436"/>
      <c r="AQ932" s="146"/>
      <c r="AR932" s="211"/>
      <c r="AS932" s="211"/>
      <c r="AT932" s="211"/>
      <c r="AU932" s="84"/>
      <c r="AV932" s="211"/>
      <c r="AW932" s="211"/>
      <c r="AX932" s="211"/>
      <c r="AY932" s="211"/>
      <c r="AZ932" s="84"/>
      <c r="BA932" s="211"/>
      <c r="BB932" s="211"/>
      <c r="BC932" s="211"/>
      <c r="BD932" s="211"/>
      <c r="BE932" s="84"/>
      <c r="BF932" s="211"/>
      <c r="BG932" s="451"/>
    </row>
    <row r="933" spans="1:59" ht="12.75">
      <c r="A933" s="211"/>
      <c r="B933" s="449"/>
      <c r="C933" s="450"/>
      <c r="D933" s="211"/>
      <c r="E933" s="211"/>
      <c r="F933" s="211"/>
      <c r="G933" s="84"/>
      <c r="H933" s="211"/>
      <c r="I933" s="211"/>
      <c r="J933" s="211"/>
      <c r="K933" s="211"/>
      <c r="L933" s="84"/>
      <c r="M933" s="211"/>
      <c r="N933" s="211"/>
      <c r="O933" s="211"/>
      <c r="P933" s="211"/>
      <c r="Q933" s="84"/>
      <c r="R933" s="211"/>
      <c r="S933" s="211"/>
      <c r="T933" s="211"/>
      <c r="U933" s="211"/>
      <c r="V933" s="84"/>
      <c r="W933" s="211"/>
      <c r="X933" s="211"/>
      <c r="Y933" s="211"/>
      <c r="Z933" s="211"/>
      <c r="AA933" s="84"/>
      <c r="AB933" s="146"/>
      <c r="AC933" s="211"/>
      <c r="AD933" s="211"/>
      <c r="AE933" s="211"/>
      <c r="AF933" s="84"/>
      <c r="AG933" s="146"/>
      <c r="AH933" s="211"/>
      <c r="AI933" s="211"/>
      <c r="AJ933" s="211"/>
      <c r="AK933" s="84"/>
      <c r="AL933" s="146"/>
      <c r="AM933" s="211"/>
      <c r="AN933" s="211"/>
      <c r="AO933" s="211"/>
      <c r="AP933" s="436"/>
      <c r="AQ933" s="146"/>
      <c r="AR933" s="211"/>
      <c r="AS933" s="211"/>
      <c r="AT933" s="211"/>
      <c r="AU933" s="84"/>
      <c r="AV933" s="211"/>
      <c r="AW933" s="211"/>
      <c r="AX933" s="211"/>
      <c r="AY933" s="211"/>
      <c r="AZ933" s="84"/>
      <c r="BA933" s="211"/>
      <c r="BB933" s="211"/>
      <c r="BC933" s="211"/>
      <c r="BD933" s="211"/>
      <c r="BE933" s="84"/>
      <c r="BF933" s="211"/>
      <c r="BG933" s="451"/>
    </row>
    <row r="934" spans="1:59" ht="12.75">
      <c r="A934" s="211"/>
      <c r="B934" s="449"/>
      <c r="C934" s="450"/>
      <c r="D934" s="211"/>
      <c r="E934" s="211"/>
      <c r="F934" s="211"/>
      <c r="G934" s="84"/>
      <c r="H934" s="211"/>
      <c r="I934" s="211"/>
      <c r="J934" s="211"/>
      <c r="K934" s="211"/>
      <c r="L934" s="84"/>
      <c r="M934" s="211"/>
      <c r="N934" s="211"/>
      <c r="O934" s="211"/>
      <c r="P934" s="211"/>
      <c r="Q934" s="84"/>
      <c r="R934" s="211"/>
      <c r="S934" s="211"/>
      <c r="T934" s="211"/>
      <c r="U934" s="211"/>
      <c r="V934" s="84"/>
      <c r="W934" s="211"/>
      <c r="X934" s="211"/>
      <c r="Y934" s="211"/>
      <c r="Z934" s="211"/>
      <c r="AA934" s="84"/>
      <c r="AB934" s="146"/>
      <c r="AC934" s="211"/>
      <c r="AD934" s="211"/>
      <c r="AE934" s="211"/>
      <c r="AF934" s="84"/>
      <c r="AG934" s="146"/>
      <c r="AH934" s="211"/>
      <c r="AI934" s="211"/>
      <c r="AJ934" s="211"/>
      <c r="AK934" s="84"/>
      <c r="AL934" s="146"/>
      <c r="AM934" s="211"/>
      <c r="AN934" s="211"/>
      <c r="AO934" s="211"/>
      <c r="AP934" s="436"/>
      <c r="AQ934" s="146"/>
      <c r="AR934" s="211"/>
      <c r="AS934" s="211"/>
      <c r="AT934" s="211"/>
      <c r="AU934" s="84"/>
      <c r="AV934" s="211"/>
      <c r="AW934" s="211"/>
      <c r="AX934" s="211"/>
      <c r="AY934" s="211"/>
      <c r="AZ934" s="84"/>
      <c r="BA934" s="211"/>
      <c r="BB934" s="211"/>
      <c r="BC934" s="211"/>
      <c r="BD934" s="211"/>
      <c r="BE934" s="84"/>
      <c r="BF934" s="211"/>
      <c r="BG934" s="451"/>
    </row>
    <row r="935" spans="1:59" ht="12.75">
      <c r="A935" s="211"/>
      <c r="B935" s="449"/>
      <c r="C935" s="450"/>
      <c r="D935" s="211"/>
      <c r="E935" s="211"/>
      <c r="F935" s="211"/>
      <c r="G935" s="84"/>
      <c r="H935" s="211"/>
      <c r="I935" s="211"/>
      <c r="J935" s="211"/>
      <c r="K935" s="211"/>
      <c r="L935" s="84"/>
      <c r="M935" s="211"/>
      <c r="N935" s="211"/>
      <c r="O935" s="211"/>
      <c r="P935" s="211"/>
      <c r="Q935" s="84"/>
      <c r="R935" s="211"/>
      <c r="S935" s="211"/>
      <c r="T935" s="211"/>
      <c r="U935" s="211"/>
      <c r="V935" s="84"/>
      <c r="W935" s="211"/>
      <c r="X935" s="211"/>
      <c r="Y935" s="211"/>
      <c r="Z935" s="211"/>
      <c r="AA935" s="84"/>
      <c r="AB935" s="146"/>
      <c r="AC935" s="211"/>
      <c r="AD935" s="211"/>
      <c r="AE935" s="211"/>
      <c r="AF935" s="84"/>
      <c r="AG935" s="146"/>
      <c r="AH935" s="211"/>
      <c r="AI935" s="211"/>
      <c r="AJ935" s="211"/>
      <c r="AK935" s="84"/>
      <c r="AL935" s="146"/>
      <c r="AM935" s="211"/>
      <c r="AN935" s="211"/>
      <c r="AO935" s="211"/>
      <c r="AP935" s="436"/>
      <c r="AQ935" s="146"/>
      <c r="AR935" s="211"/>
      <c r="AS935" s="211"/>
      <c r="AT935" s="211"/>
      <c r="AU935" s="84"/>
      <c r="AV935" s="211"/>
      <c r="AW935" s="211"/>
      <c r="AX935" s="211"/>
      <c r="AY935" s="211"/>
      <c r="AZ935" s="84"/>
      <c r="BA935" s="211"/>
      <c r="BB935" s="211"/>
      <c r="BC935" s="211"/>
      <c r="BD935" s="211"/>
      <c r="BE935" s="84"/>
      <c r="BF935" s="211"/>
      <c r="BG935" s="451"/>
    </row>
    <row r="936" spans="1:59" ht="12.75">
      <c r="A936" s="211"/>
      <c r="B936" s="449"/>
      <c r="C936" s="450"/>
      <c r="D936" s="211"/>
      <c r="E936" s="211"/>
      <c r="F936" s="211"/>
      <c r="G936" s="84"/>
      <c r="H936" s="211"/>
      <c r="I936" s="211"/>
      <c r="J936" s="211"/>
      <c r="K936" s="211"/>
      <c r="L936" s="84"/>
      <c r="M936" s="211"/>
      <c r="N936" s="211"/>
      <c r="O936" s="211"/>
      <c r="P936" s="211"/>
      <c r="Q936" s="84"/>
      <c r="R936" s="211"/>
      <c r="S936" s="211"/>
      <c r="T936" s="211"/>
      <c r="U936" s="211"/>
      <c r="V936" s="84"/>
      <c r="W936" s="211"/>
      <c r="X936" s="211"/>
      <c r="Y936" s="211"/>
      <c r="Z936" s="211"/>
      <c r="AA936" s="84"/>
      <c r="AB936" s="146"/>
      <c r="AC936" s="211"/>
      <c r="AD936" s="211"/>
      <c r="AE936" s="211"/>
      <c r="AF936" s="84"/>
      <c r="AG936" s="146"/>
      <c r="AH936" s="211"/>
      <c r="AI936" s="211"/>
      <c r="AJ936" s="211"/>
      <c r="AK936" s="84"/>
      <c r="AL936" s="146"/>
      <c r="AM936" s="211"/>
      <c r="AN936" s="211"/>
      <c r="AO936" s="211"/>
      <c r="AP936" s="436"/>
      <c r="AQ936" s="146"/>
      <c r="AR936" s="211"/>
      <c r="AS936" s="211"/>
      <c r="AT936" s="211"/>
      <c r="AU936" s="84"/>
      <c r="AV936" s="211"/>
      <c r="AW936" s="211"/>
      <c r="AX936" s="211"/>
      <c r="AY936" s="211"/>
      <c r="AZ936" s="84"/>
      <c r="BA936" s="211"/>
      <c r="BB936" s="211"/>
      <c r="BC936" s="211"/>
      <c r="BD936" s="211"/>
      <c r="BE936" s="84"/>
      <c r="BF936" s="211"/>
      <c r="BG936" s="451"/>
    </row>
    <row r="937" spans="1:59" ht="12.75">
      <c r="A937" s="211"/>
      <c r="B937" s="449"/>
      <c r="C937" s="450"/>
      <c r="D937" s="211"/>
      <c r="E937" s="211"/>
      <c r="F937" s="211"/>
      <c r="G937" s="84"/>
      <c r="H937" s="211"/>
      <c r="I937" s="211"/>
      <c r="J937" s="211"/>
      <c r="K937" s="211"/>
      <c r="L937" s="84"/>
      <c r="M937" s="211"/>
      <c r="N937" s="211"/>
      <c r="O937" s="211"/>
      <c r="P937" s="211"/>
      <c r="Q937" s="84"/>
      <c r="R937" s="211"/>
      <c r="S937" s="211"/>
      <c r="T937" s="211"/>
      <c r="U937" s="211"/>
      <c r="V937" s="84"/>
      <c r="W937" s="211"/>
      <c r="X937" s="211"/>
      <c r="Y937" s="211"/>
      <c r="Z937" s="211"/>
      <c r="AA937" s="84"/>
      <c r="AB937" s="146"/>
      <c r="AC937" s="211"/>
      <c r="AD937" s="211"/>
      <c r="AE937" s="211"/>
      <c r="AF937" s="84"/>
      <c r="AG937" s="146"/>
      <c r="AH937" s="211"/>
      <c r="AI937" s="211"/>
      <c r="AJ937" s="211"/>
      <c r="AK937" s="84"/>
      <c r="AL937" s="146"/>
      <c r="AM937" s="211"/>
      <c r="AN937" s="211"/>
      <c r="AO937" s="211"/>
      <c r="AP937" s="436"/>
      <c r="AQ937" s="146"/>
      <c r="AR937" s="211"/>
      <c r="AS937" s="211"/>
      <c r="AT937" s="211"/>
      <c r="AU937" s="84"/>
      <c r="AV937" s="211"/>
      <c r="AW937" s="211"/>
      <c r="AX937" s="211"/>
      <c r="AY937" s="211"/>
      <c r="AZ937" s="84"/>
      <c r="BA937" s="211"/>
      <c r="BB937" s="211"/>
      <c r="BC937" s="211"/>
      <c r="BD937" s="211"/>
      <c r="BE937" s="84"/>
      <c r="BF937" s="211"/>
      <c r="BG937" s="451"/>
    </row>
    <row r="938" spans="1:59" ht="12.75">
      <c r="A938" s="211"/>
      <c r="B938" s="449"/>
      <c r="C938" s="450"/>
      <c r="D938" s="211"/>
      <c r="E938" s="211"/>
      <c r="F938" s="211"/>
      <c r="G938" s="84"/>
      <c r="H938" s="211"/>
      <c r="I938" s="211"/>
      <c r="J938" s="211"/>
      <c r="K938" s="211"/>
      <c r="L938" s="84"/>
      <c r="M938" s="211"/>
      <c r="N938" s="211"/>
      <c r="O938" s="211"/>
      <c r="P938" s="211"/>
      <c r="Q938" s="84"/>
      <c r="R938" s="211"/>
      <c r="S938" s="211"/>
      <c r="T938" s="211"/>
      <c r="U938" s="211"/>
      <c r="V938" s="84"/>
      <c r="W938" s="211"/>
      <c r="X938" s="211"/>
      <c r="Y938" s="211"/>
      <c r="Z938" s="211"/>
      <c r="AA938" s="84"/>
      <c r="AB938" s="146"/>
      <c r="AC938" s="211"/>
      <c r="AD938" s="211"/>
      <c r="AE938" s="211"/>
      <c r="AF938" s="84"/>
      <c r="AG938" s="146"/>
      <c r="AH938" s="211"/>
      <c r="AI938" s="211"/>
      <c r="AJ938" s="211"/>
      <c r="AK938" s="84"/>
      <c r="AL938" s="146"/>
      <c r="AM938" s="211"/>
      <c r="AN938" s="211"/>
      <c r="AO938" s="211"/>
      <c r="AP938" s="436"/>
      <c r="AQ938" s="146"/>
      <c r="AR938" s="211"/>
      <c r="AS938" s="211"/>
      <c r="AT938" s="211"/>
      <c r="AU938" s="84"/>
      <c r="AV938" s="211"/>
      <c r="AW938" s="211"/>
      <c r="AX938" s="211"/>
      <c r="AY938" s="211"/>
      <c r="AZ938" s="84"/>
      <c r="BA938" s="211"/>
      <c r="BB938" s="211"/>
      <c r="BC938" s="211"/>
      <c r="BD938" s="211"/>
      <c r="BE938" s="84"/>
      <c r="BF938" s="211"/>
      <c r="BG938" s="451"/>
    </row>
    <row r="939" spans="1:59" ht="12.75">
      <c r="A939" s="211"/>
      <c r="B939" s="449"/>
      <c r="C939" s="450"/>
      <c r="D939" s="211"/>
      <c r="E939" s="211"/>
      <c r="F939" s="211"/>
      <c r="G939" s="84"/>
      <c r="H939" s="211"/>
      <c r="I939" s="211"/>
      <c r="J939" s="211"/>
      <c r="K939" s="211"/>
      <c r="L939" s="84"/>
      <c r="M939" s="211"/>
      <c r="N939" s="211"/>
      <c r="O939" s="211"/>
      <c r="P939" s="211"/>
      <c r="Q939" s="84"/>
      <c r="R939" s="211"/>
      <c r="S939" s="211"/>
      <c r="T939" s="211"/>
      <c r="U939" s="211"/>
      <c r="V939" s="84"/>
      <c r="W939" s="211"/>
      <c r="X939" s="211"/>
      <c r="Y939" s="211"/>
      <c r="Z939" s="211"/>
      <c r="AA939" s="84"/>
      <c r="AB939" s="146"/>
      <c r="AC939" s="211"/>
      <c r="AD939" s="211"/>
      <c r="AE939" s="211"/>
      <c r="AF939" s="84"/>
      <c r="AG939" s="146"/>
      <c r="AH939" s="211"/>
      <c r="AI939" s="211"/>
      <c r="AJ939" s="211"/>
      <c r="AK939" s="84"/>
      <c r="AL939" s="146"/>
      <c r="AM939" s="211"/>
      <c r="AN939" s="211"/>
      <c r="AO939" s="211"/>
      <c r="AP939" s="436"/>
      <c r="AQ939" s="146"/>
      <c r="AR939" s="211"/>
      <c r="AS939" s="211"/>
      <c r="AT939" s="211"/>
      <c r="AU939" s="84"/>
      <c r="AV939" s="211"/>
      <c r="AW939" s="211"/>
      <c r="AX939" s="211"/>
      <c r="AY939" s="211"/>
      <c r="AZ939" s="84"/>
      <c r="BA939" s="211"/>
      <c r="BB939" s="211"/>
      <c r="BC939" s="211"/>
      <c r="BD939" s="211"/>
      <c r="BE939" s="84"/>
      <c r="BF939" s="211"/>
      <c r="BG939" s="451"/>
    </row>
    <row r="940" spans="1:59" ht="12.75">
      <c r="A940" s="211"/>
      <c r="B940" s="449"/>
      <c r="C940" s="450"/>
      <c r="D940" s="211"/>
      <c r="E940" s="211"/>
      <c r="F940" s="211"/>
      <c r="G940" s="84"/>
      <c r="H940" s="211"/>
      <c r="I940" s="211"/>
      <c r="J940" s="211"/>
      <c r="K940" s="211"/>
      <c r="L940" s="84"/>
      <c r="M940" s="211"/>
      <c r="N940" s="211"/>
      <c r="O940" s="211"/>
      <c r="P940" s="211"/>
      <c r="Q940" s="84"/>
      <c r="R940" s="211"/>
      <c r="S940" s="211"/>
      <c r="T940" s="211"/>
      <c r="U940" s="211"/>
      <c r="V940" s="84"/>
      <c r="W940" s="211"/>
      <c r="X940" s="211"/>
      <c r="Y940" s="211"/>
      <c r="Z940" s="211"/>
      <c r="AA940" s="84"/>
      <c r="AB940" s="146"/>
      <c r="AC940" s="211"/>
      <c r="AD940" s="211"/>
      <c r="AE940" s="211"/>
      <c r="AF940" s="84"/>
      <c r="AG940" s="146"/>
      <c r="AH940" s="211"/>
      <c r="AI940" s="211"/>
      <c r="AJ940" s="211"/>
      <c r="AK940" s="84"/>
      <c r="AL940" s="146"/>
      <c r="AM940" s="211"/>
      <c r="AN940" s="211"/>
      <c r="AO940" s="211"/>
      <c r="AP940" s="436"/>
      <c r="AQ940" s="146"/>
      <c r="AR940" s="211"/>
      <c r="AS940" s="211"/>
      <c r="AT940" s="211"/>
      <c r="AU940" s="84"/>
      <c r="AV940" s="211"/>
      <c r="AW940" s="211"/>
      <c r="AX940" s="211"/>
      <c r="AY940" s="211"/>
      <c r="AZ940" s="84"/>
      <c r="BA940" s="211"/>
      <c r="BB940" s="211"/>
      <c r="BC940" s="211"/>
      <c r="BD940" s="211"/>
      <c r="BE940" s="84"/>
      <c r="BF940" s="211"/>
      <c r="BG940" s="451"/>
    </row>
    <row r="941" spans="1:59" ht="12.75">
      <c r="A941" s="211"/>
      <c r="B941" s="449"/>
      <c r="C941" s="450"/>
      <c r="D941" s="211"/>
      <c r="E941" s="211"/>
      <c r="F941" s="211"/>
      <c r="G941" s="84"/>
      <c r="H941" s="211"/>
      <c r="I941" s="211"/>
      <c r="J941" s="211"/>
      <c r="K941" s="211"/>
      <c r="L941" s="84"/>
      <c r="M941" s="211"/>
      <c r="N941" s="211"/>
      <c r="O941" s="211"/>
      <c r="P941" s="211"/>
      <c r="Q941" s="84"/>
      <c r="R941" s="211"/>
      <c r="S941" s="211"/>
      <c r="T941" s="211"/>
      <c r="U941" s="211"/>
      <c r="V941" s="84"/>
      <c r="W941" s="211"/>
      <c r="X941" s="211"/>
      <c r="Y941" s="211"/>
      <c r="Z941" s="211"/>
      <c r="AA941" s="84"/>
      <c r="AB941" s="146"/>
      <c r="AC941" s="211"/>
      <c r="AD941" s="211"/>
      <c r="AE941" s="211"/>
      <c r="AF941" s="84"/>
      <c r="AG941" s="146"/>
      <c r="AH941" s="211"/>
      <c r="AI941" s="211"/>
      <c r="AJ941" s="211"/>
      <c r="AK941" s="84"/>
      <c r="AL941" s="146"/>
      <c r="AM941" s="211"/>
      <c r="AN941" s="211"/>
      <c r="AO941" s="211"/>
      <c r="AP941" s="436"/>
      <c r="AQ941" s="146"/>
      <c r="AR941" s="211"/>
      <c r="AS941" s="211"/>
      <c r="AT941" s="211"/>
      <c r="AU941" s="84"/>
      <c r="AV941" s="211"/>
      <c r="AW941" s="211"/>
      <c r="AX941" s="211"/>
      <c r="AY941" s="211"/>
      <c r="AZ941" s="84"/>
      <c r="BA941" s="211"/>
      <c r="BB941" s="211"/>
      <c r="BC941" s="211"/>
      <c r="BD941" s="211"/>
      <c r="BE941" s="84"/>
      <c r="BF941" s="211"/>
      <c r="BG941" s="451"/>
    </row>
    <row r="942" spans="1:59" ht="12.75">
      <c r="A942" s="211"/>
      <c r="B942" s="449"/>
      <c r="C942" s="450"/>
      <c r="D942" s="211"/>
      <c r="E942" s="211"/>
      <c r="F942" s="211"/>
      <c r="G942" s="84"/>
      <c r="H942" s="211"/>
      <c r="I942" s="211"/>
      <c r="J942" s="211"/>
      <c r="K942" s="211"/>
      <c r="L942" s="84"/>
      <c r="M942" s="211"/>
      <c r="N942" s="211"/>
      <c r="O942" s="211"/>
      <c r="P942" s="211"/>
      <c r="Q942" s="84"/>
      <c r="R942" s="211"/>
      <c r="S942" s="211"/>
      <c r="T942" s="211"/>
      <c r="U942" s="211"/>
      <c r="V942" s="84"/>
      <c r="W942" s="211"/>
      <c r="X942" s="211"/>
      <c r="Y942" s="211"/>
      <c r="Z942" s="211"/>
      <c r="AA942" s="84"/>
      <c r="AB942" s="146"/>
      <c r="AC942" s="211"/>
      <c r="AD942" s="211"/>
      <c r="AE942" s="211"/>
      <c r="AF942" s="84"/>
      <c r="AG942" s="146"/>
      <c r="AH942" s="211"/>
      <c r="AI942" s="211"/>
      <c r="AJ942" s="211"/>
      <c r="AK942" s="84"/>
      <c r="AL942" s="146"/>
      <c r="AM942" s="211"/>
      <c r="AN942" s="211"/>
      <c r="AO942" s="211"/>
      <c r="AP942" s="436"/>
      <c r="AQ942" s="146"/>
      <c r="AR942" s="211"/>
      <c r="AS942" s="211"/>
      <c r="AT942" s="211"/>
      <c r="AU942" s="84"/>
      <c r="AV942" s="211"/>
      <c r="AW942" s="211"/>
      <c r="AX942" s="211"/>
      <c r="AY942" s="211"/>
      <c r="AZ942" s="84"/>
      <c r="BA942" s="211"/>
      <c r="BB942" s="211"/>
      <c r="BC942" s="211"/>
      <c r="BD942" s="211"/>
      <c r="BE942" s="84"/>
      <c r="BF942" s="211"/>
      <c r="BG942" s="451"/>
    </row>
    <row r="943" spans="1:59" ht="12.75">
      <c r="A943" s="211"/>
      <c r="B943" s="449"/>
      <c r="C943" s="450"/>
      <c r="D943" s="211"/>
      <c r="E943" s="211"/>
      <c r="F943" s="211"/>
      <c r="G943" s="84"/>
      <c r="H943" s="211"/>
      <c r="I943" s="211"/>
      <c r="J943" s="211"/>
      <c r="K943" s="211"/>
      <c r="L943" s="84"/>
      <c r="M943" s="211"/>
      <c r="N943" s="211"/>
      <c r="O943" s="211"/>
      <c r="P943" s="211"/>
      <c r="Q943" s="84"/>
      <c r="R943" s="211"/>
      <c r="S943" s="211"/>
      <c r="T943" s="211"/>
      <c r="U943" s="211"/>
      <c r="V943" s="84"/>
      <c r="W943" s="211"/>
      <c r="X943" s="211"/>
      <c r="Y943" s="211"/>
      <c r="Z943" s="211"/>
      <c r="AA943" s="84"/>
      <c r="AB943" s="146"/>
      <c r="AC943" s="211"/>
      <c r="AD943" s="211"/>
      <c r="AE943" s="211"/>
      <c r="AF943" s="84"/>
      <c r="AG943" s="146"/>
      <c r="AH943" s="211"/>
      <c r="AI943" s="211"/>
      <c r="AJ943" s="211"/>
      <c r="AK943" s="84"/>
      <c r="AL943" s="146"/>
      <c r="AM943" s="211"/>
      <c r="AN943" s="211"/>
      <c r="AO943" s="211"/>
      <c r="AP943" s="436"/>
      <c r="AQ943" s="146"/>
      <c r="AR943" s="211"/>
      <c r="AS943" s="211"/>
      <c r="AT943" s="211"/>
      <c r="AU943" s="84"/>
      <c r="AV943" s="211"/>
      <c r="AW943" s="211"/>
      <c r="AX943" s="211"/>
      <c r="AY943" s="211"/>
      <c r="AZ943" s="84"/>
      <c r="BA943" s="211"/>
      <c r="BB943" s="211"/>
      <c r="BC943" s="211"/>
      <c r="BD943" s="211"/>
      <c r="BE943" s="84"/>
      <c r="BF943" s="211"/>
      <c r="BG943" s="451"/>
    </row>
    <row r="944" spans="1:59" ht="12.75">
      <c r="A944" s="211"/>
      <c r="B944" s="449"/>
      <c r="C944" s="450"/>
      <c r="D944" s="211"/>
      <c r="E944" s="211"/>
      <c r="F944" s="211"/>
      <c r="G944" s="84"/>
      <c r="H944" s="211"/>
      <c r="I944" s="211"/>
      <c r="J944" s="211"/>
      <c r="K944" s="211"/>
      <c r="L944" s="84"/>
      <c r="M944" s="211"/>
      <c r="N944" s="211"/>
      <c r="O944" s="211"/>
      <c r="P944" s="211"/>
      <c r="Q944" s="84"/>
      <c r="R944" s="211"/>
      <c r="S944" s="211"/>
      <c r="T944" s="211"/>
      <c r="U944" s="211"/>
      <c r="V944" s="84"/>
      <c r="W944" s="211"/>
      <c r="X944" s="211"/>
      <c r="Y944" s="211"/>
      <c r="Z944" s="211"/>
      <c r="AA944" s="84"/>
      <c r="AB944" s="146"/>
      <c r="AC944" s="211"/>
      <c r="AD944" s="211"/>
      <c r="AE944" s="211"/>
      <c r="AF944" s="84"/>
      <c r="AG944" s="146"/>
      <c r="AH944" s="211"/>
      <c r="AI944" s="211"/>
      <c r="AJ944" s="211"/>
      <c r="AK944" s="84"/>
      <c r="AL944" s="146"/>
      <c r="AM944" s="211"/>
      <c r="AN944" s="211"/>
      <c r="AO944" s="211"/>
      <c r="AP944" s="436"/>
      <c r="AQ944" s="146"/>
      <c r="AR944" s="211"/>
      <c r="AS944" s="211"/>
      <c r="AT944" s="211"/>
      <c r="AU944" s="84"/>
      <c r="AV944" s="211"/>
      <c r="AW944" s="211"/>
      <c r="AX944" s="211"/>
      <c r="AY944" s="211"/>
      <c r="AZ944" s="84"/>
      <c r="BA944" s="211"/>
      <c r="BB944" s="211"/>
      <c r="BC944" s="211"/>
      <c r="BD944" s="211"/>
      <c r="BE944" s="84"/>
      <c r="BF944" s="211"/>
      <c r="BG944" s="451"/>
    </row>
    <row r="945" spans="1:59" ht="12.75">
      <c r="A945" s="211"/>
      <c r="B945" s="449"/>
      <c r="C945" s="450"/>
      <c r="D945" s="211"/>
      <c r="E945" s="211"/>
      <c r="F945" s="211"/>
      <c r="G945" s="84"/>
      <c r="H945" s="211"/>
      <c r="I945" s="211"/>
      <c r="J945" s="211"/>
      <c r="K945" s="211"/>
      <c r="L945" s="84"/>
      <c r="M945" s="211"/>
      <c r="N945" s="211"/>
      <c r="O945" s="211"/>
      <c r="P945" s="211"/>
      <c r="Q945" s="84"/>
      <c r="R945" s="211"/>
      <c r="S945" s="211"/>
      <c r="T945" s="211"/>
      <c r="U945" s="211"/>
      <c r="V945" s="84"/>
      <c r="W945" s="211"/>
      <c r="X945" s="211"/>
      <c r="Y945" s="211"/>
      <c r="Z945" s="211"/>
      <c r="AA945" s="84"/>
      <c r="AB945" s="146"/>
      <c r="AC945" s="211"/>
      <c r="AD945" s="211"/>
      <c r="AE945" s="211"/>
      <c r="AF945" s="84"/>
      <c r="AG945" s="146"/>
      <c r="AH945" s="211"/>
      <c r="AI945" s="211"/>
      <c r="AJ945" s="211"/>
      <c r="AK945" s="84"/>
      <c r="AL945" s="146"/>
      <c r="AM945" s="211"/>
      <c r="AN945" s="211"/>
      <c r="AO945" s="211"/>
      <c r="AP945" s="436"/>
      <c r="AQ945" s="146"/>
      <c r="AR945" s="211"/>
      <c r="AS945" s="211"/>
      <c r="AT945" s="211"/>
      <c r="AU945" s="84"/>
      <c r="AV945" s="211"/>
      <c r="AW945" s="211"/>
      <c r="AX945" s="211"/>
      <c r="AY945" s="211"/>
      <c r="AZ945" s="84"/>
      <c r="BA945" s="211"/>
      <c r="BB945" s="211"/>
      <c r="BC945" s="211"/>
      <c r="BD945" s="211"/>
      <c r="BE945" s="84"/>
      <c r="BF945" s="211"/>
      <c r="BG945" s="451"/>
    </row>
    <row r="946" spans="1:59" ht="12.75">
      <c r="A946" s="211"/>
      <c r="B946" s="449"/>
      <c r="C946" s="450"/>
      <c r="D946" s="211"/>
      <c r="E946" s="211"/>
      <c r="F946" s="211"/>
      <c r="G946" s="84"/>
      <c r="H946" s="211"/>
      <c r="I946" s="211"/>
      <c r="J946" s="211"/>
      <c r="K946" s="211"/>
      <c r="L946" s="84"/>
      <c r="M946" s="211"/>
      <c r="N946" s="211"/>
      <c r="O946" s="211"/>
      <c r="P946" s="211"/>
      <c r="Q946" s="84"/>
      <c r="R946" s="211"/>
      <c r="S946" s="211"/>
      <c r="T946" s="211"/>
      <c r="U946" s="211"/>
      <c r="V946" s="84"/>
      <c r="W946" s="211"/>
      <c r="X946" s="211"/>
      <c r="Y946" s="211"/>
      <c r="Z946" s="211"/>
      <c r="AA946" s="84"/>
      <c r="AB946" s="146"/>
      <c r="AC946" s="211"/>
      <c r="AD946" s="211"/>
      <c r="AE946" s="211"/>
      <c r="AF946" s="84"/>
      <c r="AG946" s="146"/>
      <c r="AH946" s="211"/>
      <c r="AI946" s="211"/>
      <c r="AJ946" s="211"/>
      <c r="AK946" s="84"/>
      <c r="AL946" s="146"/>
      <c r="AM946" s="211"/>
      <c r="AN946" s="211"/>
      <c r="AO946" s="211"/>
      <c r="AP946" s="436"/>
      <c r="AQ946" s="146"/>
      <c r="AR946" s="211"/>
      <c r="AS946" s="211"/>
      <c r="AT946" s="211"/>
      <c r="AU946" s="84"/>
      <c r="AV946" s="211"/>
      <c r="AW946" s="211"/>
      <c r="AX946" s="211"/>
      <c r="AY946" s="211"/>
      <c r="AZ946" s="84"/>
      <c r="BA946" s="211"/>
      <c r="BB946" s="211"/>
      <c r="BC946" s="211"/>
      <c r="BD946" s="211"/>
      <c r="BE946" s="84"/>
      <c r="BF946" s="211"/>
      <c r="BG946" s="451"/>
    </row>
    <row r="947" spans="1:59" ht="12.75">
      <c r="A947" s="211"/>
      <c r="B947" s="449"/>
      <c r="C947" s="450"/>
      <c r="D947" s="211"/>
      <c r="E947" s="211"/>
      <c r="F947" s="211"/>
      <c r="G947" s="84"/>
      <c r="H947" s="211"/>
      <c r="I947" s="211"/>
      <c r="J947" s="211"/>
      <c r="K947" s="211"/>
      <c r="L947" s="84"/>
      <c r="M947" s="211"/>
      <c r="N947" s="211"/>
      <c r="O947" s="211"/>
      <c r="P947" s="211"/>
      <c r="Q947" s="84"/>
      <c r="R947" s="211"/>
      <c r="S947" s="211"/>
      <c r="T947" s="211"/>
      <c r="U947" s="211"/>
      <c r="V947" s="84"/>
      <c r="W947" s="211"/>
      <c r="X947" s="211"/>
      <c r="Y947" s="211"/>
      <c r="Z947" s="211"/>
      <c r="AA947" s="84"/>
      <c r="AB947" s="146"/>
      <c r="AC947" s="211"/>
      <c r="AD947" s="211"/>
      <c r="AE947" s="211"/>
      <c r="AF947" s="84"/>
      <c r="AG947" s="146"/>
      <c r="AH947" s="211"/>
      <c r="AI947" s="211"/>
      <c r="AJ947" s="211"/>
      <c r="AK947" s="84"/>
      <c r="AL947" s="146"/>
      <c r="AM947" s="211"/>
      <c r="AN947" s="211"/>
      <c r="AO947" s="211"/>
      <c r="AP947" s="436"/>
      <c r="AQ947" s="146"/>
      <c r="AR947" s="211"/>
      <c r="AS947" s="211"/>
      <c r="AT947" s="211"/>
      <c r="AU947" s="84"/>
      <c r="AV947" s="211"/>
      <c r="AW947" s="211"/>
      <c r="AX947" s="211"/>
      <c r="AY947" s="211"/>
      <c r="AZ947" s="84"/>
      <c r="BA947" s="211"/>
      <c r="BB947" s="211"/>
      <c r="BC947" s="211"/>
      <c r="BD947" s="211"/>
      <c r="BE947" s="84"/>
      <c r="BF947" s="211"/>
      <c r="BG947" s="451"/>
    </row>
    <row r="948" spans="1:59" ht="12.75">
      <c r="A948" s="211"/>
      <c r="B948" s="449"/>
      <c r="C948" s="450"/>
      <c r="D948" s="211"/>
      <c r="E948" s="211"/>
      <c r="F948" s="211"/>
      <c r="G948" s="84"/>
      <c r="H948" s="211"/>
      <c r="I948" s="211"/>
      <c r="J948" s="211"/>
      <c r="K948" s="211"/>
      <c r="L948" s="84"/>
      <c r="M948" s="211"/>
      <c r="N948" s="211"/>
      <c r="O948" s="211"/>
      <c r="P948" s="211"/>
      <c r="Q948" s="84"/>
      <c r="R948" s="211"/>
      <c r="S948" s="211"/>
      <c r="T948" s="211"/>
      <c r="U948" s="211"/>
      <c r="V948" s="84"/>
      <c r="W948" s="211"/>
      <c r="X948" s="211"/>
      <c r="Y948" s="211"/>
      <c r="Z948" s="211"/>
      <c r="AA948" s="84"/>
      <c r="AB948" s="146"/>
      <c r="AC948" s="211"/>
      <c r="AD948" s="211"/>
      <c r="AE948" s="211"/>
      <c r="AF948" s="84"/>
      <c r="AG948" s="146"/>
      <c r="AH948" s="211"/>
      <c r="AI948" s="211"/>
      <c r="AJ948" s="211"/>
      <c r="AK948" s="84"/>
      <c r="AL948" s="146"/>
      <c r="AM948" s="211"/>
      <c r="AN948" s="211"/>
      <c r="AO948" s="211"/>
      <c r="AP948" s="436"/>
      <c r="AQ948" s="146"/>
      <c r="AR948" s="211"/>
      <c r="AS948" s="211"/>
      <c r="AT948" s="211"/>
      <c r="AU948" s="84"/>
      <c r="AV948" s="211"/>
      <c r="AW948" s="211"/>
      <c r="AX948" s="211"/>
      <c r="AY948" s="211"/>
      <c r="AZ948" s="84"/>
      <c r="BA948" s="211"/>
      <c r="BB948" s="211"/>
      <c r="BC948" s="211"/>
      <c r="BD948" s="211"/>
      <c r="BE948" s="84"/>
      <c r="BF948" s="211"/>
      <c r="BG948" s="451"/>
    </row>
    <row r="949" spans="1:59" ht="12.75">
      <c r="A949" s="211"/>
      <c r="B949" s="449"/>
      <c r="C949" s="450"/>
      <c r="D949" s="211"/>
      <c r="E949" s="211"/>
      <c r="F949" s="211"/>
      <c r="G949" s="84"/>
      <c r="H949" s="211"/>
      <c r="I949" s="211"/>
      <c r="J949" s="211"/>
      <c r="K949" s="211"/>
      <c r="L949" s="84"/>
      <c r="M949" s="211"/>
      <c r="N949" s="211"/>
      <c r="O949" s="211"/>
      <c r="P949" s="211"/>
      <c r="Q949" s="84"/>
      <c r="R949" s="211"/>
      <c r="S949" s="211"/>
      <c r="T949" s="211"/>
      <c r="U949" s="211"/>
      <c r="V949" s="84"/>
      <c r="W949" s="211"/>
      <c r="X949" s="211"/>
      <c r="Y949" s="211"/>
      <c r="Z949" s="211"/>
      <c r="AA949" s="84"/>
      <c r="AB949" s="146"/>
      <c r="AC949" s="211"/>
      <c r="AD949" s="211"/>
      <c r="AE949" s="211"/>
      <c r="AF949" s="84"/>
      <c r="AG949" s="146"/>
      <c r="AH949" s="211"/>
      <c r="AI949" s="211"/>
      <c r="AJ949" s="211"/>
      <c r="AK949" s="84"/>
      <c r="AL949" s="146"/>
      <c r="AM949" s="211"/>
      <c r="AN949" s="211"/>
      <c r="AO949" s="211"/>
      <c r="AP949" s="436"/>
      <c r="AQ949" s="146"/>
      <c r="AR949" s="211"/>
      <c r="AS949" s="211"/>
      <c r="AT949" s="211"/>
      <c r="AU949" s="84"/>
      <c r="AV949" s="211"/>
      <c r="AW949" s="211"/>
      <c r="AX949" s="211"/>
      <c r="AY949" s="211"/>
      <c r="AZ949" s="84"/>
      <c r="BA949" s="211"/>
      <c r="BB949" s="211"/>
      <c r="BC949" s="211"/>
      <c r="BD949" s="211"/>
      <c r="BE949" s="84"/>
      <c r="BF949" s="211"/>
      <c r="BG949" s="451"/>
    </row>
    <row r="950" spans="1:59" ht="12.75">
      <c r="A950" s="211"/>
      <c r="B950" s="449"/>
      <c r="C950" s="450"/>
      <c r="D950" s="211"/>
      <c r="E950" s="211"/>
      <c r="F950" s="211"/>
      <c r="G950" s="84"/>
      <c r="H950" s="211"/>
      <c r="I950" s="211"/>
      <c r="J950" s="211"/>
      <c r="K950" s="211"/>
      <c r="L950" s="84"/>
      <c r="M950" s="211"/>
      <c r="N950" s="211"/>
      <c r="O950" s="211"/>
      <c r="P950" s="211"/>
      <c r="Q950" s="84"/>
      <c r="R950" s="211"/>
      <c r="S950" s="211"/>
      <c r="T950" s="211"/>
      <c r="U950" s="211"/>
      <c r="V950" s="84"/>
      <c r="W950" s="211"/>
      <c r="X950" s="211"/>
      <c r="Y950" s="211"/>
      <c r="Z950" s="211"/>
      <c r="AA950" s="84"/>
      <c r="AB950" s="146"/>
      <c r="AC950" s="211"/>
      <c r="AD950" s="211"/>
      <c r="AE950" s="211"/>
      <c r="AF950" s="84"/>
      <c r="AG950" s="146"/>
      <c r="AH950" s="211"/>
      <c r="AI950" s="211"/>
      <c r="AJ950" s="211"/>
      <c r="AK950" s="84"/>
      <c r="AL950" s="146"/>
      <c r="AM950" s="211"/>
      <c r="AN950" s="211"/>
      <c r="AO950" s="211"/>
      <c r="AP950" s="436"/>
      <c r="AQ950" s="146"/>
      <c r="AR950" s="211"/>
      <c r="AS950" s="211"/>
      <c r="AT950" s="211"/>
      <c r="AU950" s="84"/>
      <c r="AV950" s="211"/>
      <c r="AW950" s="211"/>
      <c r="AX950" s="211"/>
      <c r="AY950" s="211"/>
      <c r="AZ950" s="84"/>
      <c r="BA950" s="211"/>
      <c r="BB950" s="211"/>
      <c r="BC950" s="211"/>
      <c r="BD950" s="211"/>
      <c r="BE950" s="84"/>
      <c r="BF950" s="211"/>
      <c r="BG950" s="451"/>
    </row>
    <row r="951" spans="1:59" ht="12.75">
      <c r="A951" s="211"/>
      <c r="B951" s="449"/>
      <c r="C951" s="450"/>
      <c r="D951" s="211"/>
      <c r="E951" s="211"/>
      <c r="F951" s="211"/>
      <c r="G951" s="84"/>
      <c r="H951" s="211"/>
      <c r="I951" s="211"/>
      <c r="J951" s="211"/>
      <c r="K951" s="211"/>
      <c r="L951" s="84"/>
      <c r="M951" s="211"/>
      <c r="N951" s="211"/>
      <c r="O951" s="211"/>
      <c r="P951" s="211"/>
      <c r="Q951" s="84"/>
      <c r="R951" s="211"/>
      <c r="S951" s="211"/>
      <c r="T951" s="211"/>
      <c r="U951" s="211"/>
      <c r="V951" s="84"/>
      <c r="W951" s="211"/>
      <c r="X951" s="211"/>
      <c r="Y951" s="211"/>
      <c r="Z951" s="211"/>
      <c r="AA951" s="84"/>
      <c r="AB951" s="146"/>
      <c r="AC951" s="211"/>
      <c r="AD951" s="211"/>
      <c r="AE951" s="211"/>
      <c r="AF951" s="84"/>
      <c r="AG951" s="146"/>
      <c r="AH951" s="211"/>
      <c r="AI951" s="211"/>
      <c r="AJ951" s="211"/>
      <c r="AK951" s="84"/>
      <c r="AL951" s="146"/>
      <c r="AM951" s="211"/>
      <c r="AN951" s="211"/>
      <c r="AO951" s="211"/>
      <c r="AP951" s="436"/>
      <c r="AQ951" s="146"/>
      <c r="AR951" s="211"/>
      <c r="AS951" s="211"/>
      <c r="AT951" s="211"/>
      <c r="AU951" s="84"/>
      <c r="AV951" s="211"/>
      <c r="AW951" s="211"/>
      <c r="AX951" s="211"/>
      <c r="AY951" s="211"/>
      <c r="AZ951" s="84"/>
      <c r="BA951" s="211"/>
      <c r="BB951" s="211"/>
      <c r="BC951" s="211"/>
      <c r="BD951" s="211"/>
      <c r="BE951" s="84"/>
      <c r="BF951" s="211"/>
      <c r="BG951" s="451"/>
    </row>
    <row r="952" spans="1:59" ht="12.75">
      <c r="A952" s="211"/>
      <c r="B952" s="449"/>
      <c r="C952" s="450"/>
      <c r="D952" s="211"/>
      <c r="E952" s="211"/>
      <c r="F952" s="211"/>
      <c r="G952" s="84"/>
      <c r="H952" s="211"/>
      <c r="I952" s="211"/>
      <c r="J952" s="211"/>
      <c r="K952" s="211"/>
      <c r="L952" s="84"/>
      <c r="M952" s="211"/>
      <c r="N952" s="211"/>
      <c r="O952" s="211"/>
      <c r="P952" s="211"/>
      <c r="Q952" s="84"/>
      <c r="R952" s="211"/>
      <c r="S952" s="211"/>
      <c r="T952" s="211"/>
      <c r="U952" s="211"/>
      <c r="V952" s="84"/>
      <c r="W952" s="211"/>
      <c r="X952" s="211"/>
      <c r="Y952" s="211"/>
      <c r="Z952" s="211"/>
      <c r="AA952" s="84"/>
      <c r="AB952" s="146"/>
      <c r="AC952" s="211"/>
      <c r="AD952" s="211"/>
      <c r="AE952" s="211"/>
      <c r="AF952" s="84"/>
      <c r="AG952" s="146"/>
      <c r="AH952" s="211"/>
      <c r="AI952" s="211"/>
      <c r="AJ952" s="211"/>
      <c r="AK952" s="84"/>
      <c r="AL952" s="146"/>
      <c r="AM952" s="211"/>
      <c r="AN952" s="211"/>
      <c r="AO952" s="211"/>
      <c r="AP952" s="436"/>
      <c r="AQ952" s="146"/>
      <c r="AR952" s="211"/>
      <c r="AS952" s="211"/>
      <c r="AT952" s="211"/>
      <c r="AU952" s="84"/>
      <c r="AV952" s="211"/>
      <c r="AW952" s="211"/>
      <c r="AX952" s="211"/>
      <c r="AY952" s="211"/>
      <c r="AZ952" s="84"/>
      <c r="BA952" s="211"/>
      <c r="BB952" s="211"/>
      <c r="BC952" s="211"/>
      <c r="BD952" s="211"/>
      <c r="BE952" s="84"/>
      <c r="BF952" s="211"/>
      <c r="BG952" s="451"/>
    </row>
    <row r="953" spans="1:59" ht="12.75">
      <c r="A953" s="211"/>
      <c r="B953" s="449"/>
      <c r="C953" s="450"/>
      <c r="D953" s="211"/>
      <c r="E953" s="211"/>
      <c r="F953" s="211"/>
      <c r="G953" s="84"/>
      <c r="H953" s="211"/>
      <c r="I953" s="211"/>
      <c r="J953" s="211"/>
      <c r="K953" s="211"/>
      <c r="L953" s="84"/>
      <c r="M953" s="211"/>
      <c r="N953" s="211"/>
      <c r="O953" s="211"/>
      <c r="P953" s="211"/>
      <c r="Q953" s="84"/>
      <c r="R953" s="211"/>
      <c r="S953" s="211"/>
      <c r="T953" s="211"/>
      <c r="U953" s="211"/>
      <c r="V953" s="84"/>
      <c r="W953" s="211"/>
      <c r="X953" s="211"/>
      <c r="Y953" s="211"/>
      <c r="Z953" s="211"/>
      <c r="AA953" s="84"/>
      <c r="AB953" s="146"/>
      <c r="AC953" s="211"/>
      <c r="AD953" s="211"/>
      <c r="AE953" s="211"/>
      <c r="AF953" s="84"/>
      <c r="AG953" s="146"/>
      <c r="AH953" s="211"/>
      <c r="AI953" s="211"/>
      <c r="AJ953" s="211"/>
      <c r="AK953" s="84"/>
      <c r="AL953" s="146"/>
      <c r="AM953" s="211"/>
      <c r="AN953" s="211"/>
      <c r="AO953" s="211"/>
      <c r="AP953" s="436"/>
      <c r="AQ953" s="146"/>
      <c r="AR953" s="211"/>
      <c r="AS953" s="211"/>
      <c r="AT953" s="211"/>
      <c r="AU953" s="84"/>
      <c r="AV953" s="211"/>
      <c r="AW953" s="211"/>
      <c r="AX953" s="211"/>
      <c r="AY953" s="211"/>
      <c r="AZ953" s="84"/>
      <c r="BA953" s="211"/>
      <c r="BB953" s="211"/>
      <c r="BC953" s="211"/>
      <c r="BD953" s="211"/>
      <c r="BE953" s="84"/>
      <c r="BF953" s="211"/>
      <c r="BG953" s="451"/>
    </row>
    <row r="954" spans="1:59" ht="12.75">
      <c r="A954" s="211"/>
      <c r="B954" s="449"/>
      <c r="C954" s="450"/>
      <c r="D954" s="211"/>
      <c r="E954" s="211"/>
      <c r="F954" s="211"/>
      <c r="G954" s="84"/>
      <c r="H954" s="211"/>
      <c r="I954" s="211"/>
      <c r="J954" s="211"/>
      <c r="K954" s="211"/>
      <c r="L954" s="84"/>
      <c r="M954" s="211"/>
      <c r="N954" s="211"/>
      <c r="O954" s="211"/>
      <c r="P954" s="211"/>
      <c r="Q954" s="84"/>
      <c r="R954" s="211"/>
      <c r="S954" s="211"/>
      <c r="T954" s="211"/>
      <c r="U954" s="211"/>
      <c r="V954" s="84"/>
      <c r="W954" s="211"/>
      <c r="X954" s="211"/>
      <c r="Y954" s="211"/>
      <c r="Z954" s="211"/>
      <c r="AA954" s="84"/>
      <c r="AB954" s="146"/>
      <c r="AC954" s="211"/>
      <c r="AD954" s="211"/>
      <c r="AE954" s="211"/>
      <c r="AF954" s="84"/>
      <c r="AG954" s="146"/>
      <c r="AH954" s="211"/>
      <c r="AI954" s="211"/>
      <c r="AJ954" s="211"/>
      <c r="AK954" s="84"/>
      <c r="AL954" s="146"/>
      <c r="AM954" s="211"/>
      <c r="AN954" s="211"/>
      <c r="AO954" s="211"/>
      <c r="AP954" s="436"/>
      <c r="AQ954" s="146"/>
      <c r="AR954" s="211"/>
      <c r="AS954" s="211"/>
      <c r="AT954" s="211"/>
      <c r="AU954" s="84"/>
      <c r="AV954" s="211"/>
      <c r="AW954" s="211"/>
      <c r="AX954" s="211"/>
      <c r="AY954" s="211"/>
      <c r="AZ954" s="84"/>
      <c r="BA954" s="211"/>
      <c r="BB954" s="211"/>
      <c r="BC954" s="211"/>
      <c r="BD954" s="211"/>
      <c r="BE954" s="84"/>
      <c r="BF954" s="211"/>
      <c r="BG954" s="451"/>
    </row>
    <row r="955" spans="1:59" ht="12.75">
      <c r="A955" s="211"/>
      <c r="B955" s="449"/>
      <c r="C955" s="450"/>
      <c r="D955" s="211"/>
      <c r="E955" s="211"/>
      <c r="F955" s="211"/>
      <c r="G955" s="84"/>
      <c r="H955" s="211"/>
      <c r="I955" s="211"/>
      <c r="J955" s="211"/>
      <c r="K955" s="211"/>
      <c r="L955" s="84"/>
      <c r="M955" s="211"/>
      <c r="N955" s="211"/>
      <c r="O955" s="211"/>
      <c r="P955" s="211"/>
      <c r="Q955" s="84"/>
      <c r="R955" s="211"/>
      <c r="S955" s="211"/>
      <c r="T955" s="211"/>
      <c r="U955" s="211"/>
      <c r="V955" s="84"/>
      <c r="W955" s="211"/>
      <c r="X955" s="211"/>
      <c r="Y955" s="211"/>
      <c r="Z955" s="211"/>
      <c r="AA955" s="84"/>
      <c r="AB955" s="146"/>
      <c r="AC955" s="211"/>
      <c r="AD955" s="211"/>
      <c r="AE955" s="211"/>
      <c r="AF955" s="84"/>
      <c r="AG955" s="146"/>
      <c r="AH955" s="211"/>
      <c r="AI955" s="211"/>
      <c r="AJ955" s="211"/>
      <c r="AK955" s="84"/>
      <c r="AL955" s="146"/>
      <c r="AM955" s="211"/>
      <c r="AN955" s="211"/>
      <c r="AO955" s="211"/>
      <c r="AP955" s="436"/>
      <c r="AQ955" s="146"/>
      <c r="AR955" s="211"/>
      <c r="AS955" s="211"/>
      <c r="AT955" s="211"/>
      <c r="AU955" s="84"/>
      <c r="AV955" s="211"/>
      <c r="AW955" s="211"/>
      <c r="AX955" s="211"/>
      <c r="AY955" s="211"/>
      <c r="AZ955" s="84"/>
      <c r="BA955" s="211"/>
      <c r="BB955" s="211"/>
      <c r="BC955" s="211"/>
      <c r="BD955" s="211"/>
      <c r="BE955" s="84"/>
      <c r="BF955" s="211"/>
      <c r="BG955" s="451"/>
    </row>
    <row r="956" spans="1:59" ht="12.75">
      <c r="A956" s="211"/>
      <c r="B956" s="449"/>
      <c r="C956" s="450"/>
      <c r="D956" s="211"/>
      <c r="E956" s="211"/>
      <c r="F956" s="211"/>
      <c r="G956" s="84"/>
      <c r="H956" s="211"/>
      <c r="I956" s="211"/>
      <c r="J956" s="211"/>
      <c r="K956" s="211"/>
      <c r="L956" s="84"/>
      <c r="M956" s="211"/>
      <c r="N956" s="211"/>
      <c r="O956" s="211"/>
      <c r="P956" s="211"/>
      <c r="Q956" s="84"/>
      <c r="R956" s="211"/>
      <c r="S956" s="211"/>
      <c r="T956" s="211"/>
      <c r="U956" s="211"/>
      <c r="V956" s="84"/>
      <c r="W956" s="211"/>
      <c r="X956" s="211"/>
      <c r="Y956" s="211"/>
      <c r="Z956" s="211"/>
      <c r="AA956" s="84"/>
      <c r="AB956" s="146"/>
      <c r="AC956" s="211"/>
      <c r="AD956" s="211"/>
      <c r="AE956" s="211"/>
      <c r="AF956" s="84"/>
      <c r="AG956" s="146"/>
      <c r="AH956" s="211"/>
      <c r="AI956" s="211"/>
      <c r="AJ956" s="211"/>
      <c r="AK956" s="84"/>
      <c r="AL956" s="146"/>
      <c r="AM956" s="211"/>
      <c r="AN956" s="211"/>
      <c r="AO956" s="211"/>
      <c r="AP956" s="436"/>
      <c r="AQ956" s="146"/>
      <c r="AR956" s="211"/>
      <c r="AS956" s="211"/>
      <c r="AT956" s="211"/>
      <c r="AU956" s="84"/>
      <c r="AV956" s="211"/>
      <c r="AW956" s="211"/>
      <c r="AX956" s="211"/>
      <c r="AY956" s="211"/>
      <c r="AZ956" s="84"/>
      <c r="BA956" s="211"/>
      <c r="BB956" s="211"/>
      <c r="BC956" s="211"/>
      <c r="BD956" s="211"/>
      <c r="BE956" s="84"/>
      <c r="BF956" s="211"/>
      <c r="BG956" s="451"/>
    </row>
    <row r="957" spans="1:59" ht="12.75">
      <c r="A957" s="211"/>
      <c r="B957" s="449"/>
      <c r="C957" s="450"/>
      <c r="D957" s="211"/>
      <c r="E957" s="211"/>
      <c r="F957" s="211"/>
      <c r="G957" s="84"/>
      <c r="H957" s="211"/>
      <c r="I957" s="211"/>
      <c r="J957" s="211"/>
      <c r="K957" s="211"/>
      <c r="L957" s="84"/>
      <c r="M957" s="211"/>
      <c r="N957" s="211"/>
      <c r="O957" s="211"/>
      <c r="P957" s="211"/>
      <c r="Q957" s="84"/>
      <c r="R957" s="211"/>
      <c r="S957" s="211"/>
      <c r="T957" s="211"/>
      <c r="U957" s="211"/>
      <c r="V957" s="84"/>
      <c r="W957" s="211"/>
      <c r="X957" s="211"/>
      <c r="Y957" s="211"/>
      <c r="Z957" s="211"/>
      <c r="AA957" s="84"/>
      <c r="AB957" s="146"/>
      <c r="AC957" s="211"/>
      <c r="AD957" s="211"/>
      <c r="AE957" s="211"/>
      <c r="AF957" s="84"/>
      <c r="AG957" s="146"/>
      <c r="AH957" s="211"/>
      <c r="AI957" s="211"/>
      <c r="AJ957" s="211"/>
      <c r="AK957" s="84"/>
      <c r="AL957" s="146"/>
      <c r="AM957" s="211"/>
      <c r="AN957" s="211"/>
      <c r="AO957" s="211"/>
      <c r="AP957" s="436"/>
      <c r="AQ957" s="146"/>
      <c r="AR957" s="211"/>
      <c r="AS957" s="211"/>
      <c r="AT957" s="211"/>
      <c r="AU957" s="84"/>
      <c r="AV957" s="211"/>
      <c r="AW957" s="211"/>
      <c r="AX957" s="211"/>
      <c r="AY957" s="211"/>
      <c r="AZ957" s="84"/>
      <c r="BA957" s="211"/>
      <c r="BB957" s="211"/>
      <c r="BC957" s="211"/>
      <c r="BD957" s="211"/>
      <c r="BE957" s="84"/>
      <c r="BF957" s="211"/>
      <c r="BG957" s="451"/>
    </row>
    <row r="958" spans="1:59" ht="12.75">
      <c r="A958" s="211"/>
      <c r="B958" s="449"/>
      <c r="C958" s="450"/>
      <c r="D958" s="211"/>
      <c r="E958" s="211"/>
      <c r="F958" s="211"/>
      <c r="G958" s="84"/>
      <c r="H958" s="211"/>
      <c r="I958" s="211"/>
      <c r="J958" s="211"/>
      <c r="K958" s="211"/>
      <c r="L958" s="84"/>
      <c r="M958" s="211"/>
      <c r="N958" s="211"/>
      <c r="O958" s="211"/>
      <c r="P958" s="211"/>
      <c r="Q958" s="84"/>
      <c r="R958" s="211"/>
      <c r="S958" s="211"/>
      <c r="T958" s="211"/>
      <c r="U958" s="211"/>
      <c r="V958" s="84"/>
      <c r="W958" s="211"/>
      <c r="X958" s="211"/>
      <c r="Y958" s="211"/>
      <c r="Z958" s="211"/>
      <c r="AA958" s="84"/>
      <c r="AB958" s="146"/>
      <c r="AC958" s="211"/>
      <c r="AD958" s="211"/>
      <c r="AE958" s="211"/>
      <c r="AF958" s="84"/>
      <c r="AG958" s="146"/>
      <c r="AH958" s="211"/>
      <c r="AI958" s="211"/>
      <c r="AJ958" s="211"/>
      <c r="AK958" s="84"/>
      <c r="AL958" s="146"/>
      <c r="AM958" s="211"/>
      <c r="AN958" s="211"/>
      <c r="AO958" s="211"/>
      <c r="AP958" s="436"/>
      <c r="AQ958" s="146"/>
      <c r="AR958" s="211"/>
      <c r="AS958" s="211"/>
      <c r="AT958" s="211"/>
      <c r="AU958" s="84"/>
      <c r="AV958" s="211"/>
      <c r="AW958" s="211"/>
      <c r="AX958" s="211"/>
      <c r="AY958" s="211"/>
      <c r="AZ958" s="84"/>
      <c r="BA958" s="211"/>
      <c r="BB958" s="211"/>
      <c r="BC958" s="211"/>
      <c r="BD958" s="211"/>
      <c r="BE958" s="84"/>
      <c r="BF958" s="211"/>
      <c r="BG958" s="451"/>
    </row>
    <row r="959" spans="1:59" ht="12.75">
      <c r="A959" s="211"/>
      <c r="B959" s="449"/>
      <c r="C959" s="450"/>
      <c r="D959" s="211"/>
      <c r="E959" s="211"/>
      <c r="F959" s="211"/>
      <c r="G959" s="84"/>
      <c r="H959" s="211"/>
      <c r="I959" s="211"/>
      <c r="J959" s="211"/>
      <c r="K959" s="211"/>
      <c r="L959" s="84"/>
      <c r="M959" s="211"/>
      <c r="N959" s="211"/>
      <c r="O959" s="211"/>
      <c r="P959" s="211"/>
      <c r="Q959" s="84"/>
      <c r="R959" s="211"/>
      <c r="S959" s="211"/>
      <c r="T959" s="211"/>
      <c r="U959" s="211"/>
      <c r="V959" s="84"/>
      <c r="W959" s="211"/>
      <c r="X959" s="211"/>
      <c r="Y959" s="211"/>
      <c r="Z959" s="211"/>
      <c r="AA959" s="84"/>
      <c r="AB959" s="146"/>
      <c r="AC959" s="211"/>
      <c r="AD959" s="211"/>
      <c r="AE959" s="211"/>
      <c r="AF959" s="84"/>
      <c r="AG959" s="146"/>
      <c r="AH959" s="211"/>
      <c r="AI959" s="211"/>
      <c r="AJ959" s="211"/>
      <c r="AK959" s="84"/>
      <c r="AL959" s="146"/>
      <c r="AM959" s="211"/>
      <c r="AN959" s="211"/>
      <c r="AO959" s="211"/>
      <c r="AP959" s="436"/>
      <c r="AQ959" s="146"/>
      <c r="AR959" s="211"/>
      <c r="AS959" s="211"/>
      <c r="AT959" s="211"/>
      <c r="AU959" s="84"/>
      <c r="AV959" s="211"/>
      <c r="AW959" s="211"/>
      <c r="AX959" s="211"/>
      <c r="AY959" s="211"/>
      <c r="AZ959" s="84"/>
      <c r="BA959" s="211"/>
      <c r="BB959" s="211"/>
      <c r="BC959" s="211"/>
      <c r="BD959" s="211"/>
      <c r="BE959" s="84"/>
      <c r="BF959" s="211"/>
      <c r="BG959" s="451"/>
    </row>
    <row r="960" spans="1:59" ht="12.75">
      <c r="A960" s="211"/>
      <c r="B960" s="449"/>
      <c r="C960" s="450"/>
      <c r="D960" s="211"/>
      <c r="E960" s="211"/>
      <c r="F960" s="211"/>
      <c r="G960" s="84"/>
      <c r="H960" s="211"/>
      <c r="I960" s="211"/>
      <c r="J960" s="211"/>
      <c r="K960" s="211"/>
      <c r="L960" s="84"/>
      <c r="M960" s="211"/>
      <c r="N960" s="211"/>
      <c r="O960" s="211"/>
      <c r="P960" s="211"/>
      <c r="Q960" s="84"/>
      <c r="R960" s="211"/>
      <c r="S960" s="211"/>
      <c r="T960" s="211"/>
      <c r="U960" s="211"/>
      <c r="V960" s="84"/>
      <c r="W960" s="211"/>
      <c r="X960" s="211"/>
      <c r="Y960" s="211"/>
      <c r="Z960" s="211"/>
      <c r="AA960" s="84"/>
      <c r="AB960" s="146"/>
      <c r="AC960" s="211"/>
      <c r="AD960" s="211"/>
      <c r="AE960" s="211"/>
      <c r="AF960" s="84"/>
      <c r="AG960" s="146"/>
      <c r="AH960" s="211"/>
      <c r="AI960" s="211"/>
      <c r="AJ960" s="211"/>
      <c r="AK960" s="84"/>
      <c r="AL960" s="146"/>
      <c r="AM960" s="211"/>
      <c r="AN960" s="211"/>
      <c r="AO960" s="211"/>
      <c r="AP960" s="436"/>
      <c r="AQ960" s="146"/>
      <c r="AR960" s="211"/>
      <c r="AS960" s="211"/>
      <c r="AT960" s="211"/>
      <c r="AU960" s="84"/>
      <c r="AV960" s="211"/>
      <c r="AW960" s="211"/>
      <c r="AX960" s="211"/>
      <c r="AY960" s="211"/>
      <c r="AZ960" s="84"/>
      <c r="BA960" s="211"/>
      <c r="BB960" s="211"/>
      <c r="BC960" s="211"/>
      <c r="BD960" s="211"/>
      <c r="BE960" s="84"/>
      <c r="BF960" s="211"/>
      <c r="BG960" s="451"/>
    </row>
    <row r="961" spans="1:59" ht="12.75">
      <c r="A961" s="211"/>
      <c r="B961" s="449"/>
      <c r="C961" s="450"/>
      <c r="D961" s="211"/>
      <c r="E961" s="211"/>
      <c r="F961" s="211"/>
      <c r="G961" s="84"/>
      <c r="H961" s="211"/>
      <c r="I961" s="211"/>
      <c r="J961" s="211"/>
      <c r="K961" s="211"/>
      <c r="L961" s="84"/>
      <c r="M961" s="211"/>
      <c r="N961" s="211"/>
      <c r="O961" s="211"/>
      <c r="P961" s="211"/>
      <c r="Q961" s="84"/>
      <c r="R961" s="211"/>
      <c r="S961" s="211"/>
      <c r="T961" s="211"/>
      <c r="U961" s="211"/>
      <c r="V961" s="84"/>
      <c r="W961" s="211"/>
      <c r="X961" s="211"/>
      <c r="Y961" s="211"/>
      <c r="Z961" s="211"/>
      <c r="AA961" s="84"/>
      <c r="AB961" s="146"/>
      <c r="AC961" s="211"/>
      <c r="AD961" s="211"/>
      <c r="AE961" s="211"/>
      <c r="AF961" s="84"/>
      <c r="AG961" s="146"/>
      <c r="AH961" s="211"/>
      <c r="AI961" s="211"/>
      <c r="AJ961" s="211"/>
      <c r="AK961" s="84"/>
      <c r="AL961" s="146"/>
      <c r="AM961" s="211"/>
      <c r="AN961" s="211"/>
      <c r="AO961" s="211"/>
      <c r="AP961" s="436"/>
      <c r="AQ961" s="146"/>
      <c r="AR961" s="211"/>
      <c r="AS961" s="211"/>
      <c r="AT961" s="211"/>
      <c r="AU961" s="84"/>
      <c r="AV961" s="211"/>
      <c r="AW961" s="211"/>
      <c r="AX961" s="211"/>
      <c r="AY961" s="211"/>
      <c r="AZ961" s="84"/>
      <c r="BA961" s="211"/>
      <c r="BB961" s="211"/>
      <c r="BC961" s="211"/>
      <c r="BD961" s="211"/>
      <c r="BE961" s="84"/>
      <c r="BF961" s="211"/>
      <c r="BG961" s="451"/>
    </row>
    <row r="962" spans="1:59" ht="12.75">
      <c r="A962" s="211"/>
      <c r="B962" s="449"/>
      <c r="C962" s="450"/>
      <c r="D962" s="211"/>
      <c r="E962" s="211"/>
      <c r="F962" s="211"/>
      <c r="G962" s="84"/>
      <c r="H962" s="211"/>
      <c r="I962" s="211"/>
      <c r="J962" s="211"/>
      <c r="K962" s="211"/>
      <c r="L962" s="84"/>
      <c r="M962" s="211"/>
      <c r="N962" s="211"/>
      <c r="O962" s="211"/>
      <c r="P962" s="211"/>
      <c r="Q962" s="84"/>
      <c r="R962" s="211"/>
      <c r="S962" s="211"/>
      <c r="T962" s="211"/>
      <c r="U962" s="211"/>
      <c r="V962" s="84"/>
      <c r="W962" s="211"/>
      <c r="X962" s="211"/>
      <c r="Y962" s="211"/>
      <c r="Z962" s="211"/>
      <c r="AA962" s="84"/>
      <c r="AB962" s="146"/>
      <c r="AC962" s="211"/>
      <c r="AD962" s="211"/>
      <c r="AE962" s="211"/>
      <c r="AF962" s="84"/>
      <c r="AG962" s="146"/>
      <c r="AH962" s="211"/>
      <c r="AI962" s="211"/>
      <c r="AJ962" s="211"/>
      <c r="AK962" s="84"/>
      <c r="AL962" s="146"/>
      <c r="AM962" s="211"/>
      <c r="AN962" s="211"/>
      <c r="AO962" s="211"/>
      <c r="AP962" s="436"/>
      <c r="AQ962" s="146"/>
      <c r="AR962" s="211"/>
      <c r="AS962" s="211"/>
      <c r="AT962" s="211"/>
      <c r="AU962" s="84"/>
      <c r="AV962" s="211"/>
      <c r="AW962" s="211"/>
      <c r="AX962" s="211"/>
      <c r="AY962" s="211"/>
      <c r="AZ962" s="84"/>
      <c r="BA962" s="211"/>
      <c r="BB962" s="211"/>
      <c r="BC962" s="211"/>
      <c r="BD962" s="211"/>
      <c r="BE962" s="84"/>
      <c r="BF962" s="211"/>
      <c r="BG962" s="451"/>
    </row>
    <row r="963" spans="1:59" ht="12.75">
      <c r="A963" s="211"/>
      <c r="B963" s="449"/>
      <c r="C963" s="450"/>
      <c r="D963" s="211"/>
      <c r="E963" s="211"/>
      <c r="F963" s="211"/>
      <c r="G963" s="84"/>
      <c r="H963" s="211"/>
      <c r="I963" s="211"/>
      <c r="J963" s="211"/>
      <c r="K963" s="211"/>
      <c r="L963" s="84"/>
      <c r="M963" s="211"/>
      <c r="N963" s="211"/>
      <c r="O963" s="211"/>
      <c r="P963" s="211"/>
      <c r="Q963" s="84"/>
      <c r="R963" s="211"/>
      <c r="S963" s="211"/>
      <c r="T963" s="211"/>
      <c r="U963" s="211"/>
      <c r="V963" s="84"/>
      <c r="W963" s="211"/>
      <c r="X963" s="211"/>
      <c r="Y963" s="211"/>
      <c r="Z963" s="211"/>
      <c r="AA963" s="84"/>
      <c r="AB963" s="146"/>
      <c r="AC963" s="211"/>
      <c r="AD963" s="211"/>
      <c r="AE963" s="211"/>
      <c r="AF963" s="84"/>
      <c r="AG963" s="146"/>
      <c r="AH963" s="211"/>
      <c r="AI963" s="211"/>
      <c r="AJ963" s="211"/>
      <c r="AK963" s="84"/>
      <c r="AL963" s="146"/>
      <c r="AM963" s="211"/>
      <c r="AN963" s="211"/>
      <c r="AO963" s="211"/>
      <c r="AP963" s="436"/>
      <c r="AQ963" s="146"/>
      <c r="AR963" s="211"/>
      <c r="AS963" s="211"/>
      <c r="AT963" s="211"/>
      <c r="AU963" s="84"/>
      <c r="AV963" s="211"/>
      <c r="AW963" s="211"/>
      <c r="AX963" s="211"/>
      <c r="AY963" s="211"/>
      <c r="AZ963" s="84"/>
      <c r="BA963" s="211"/>
      <c r="BB963" s="211"/>
      <c r="BC963" s="211"/>
      <c r="BD963" s="211"/>
      <c r="BE963" s="84"/>
      <c r="BF963" s="211"/>
      <c r="BG963" s="451"/>
    </row>
    <row r="964" spans="1:59" ht="12.75">
      <c r="A964" s="211"/>
      <c r="B964" s="449"/>
      <c r="C964" s="450"/>
      <c r="D964" s="211"/>
      <c r="E964" s="211"/>
      <c r="F964" s="211"/>
      <c r="G964" s="84"/>
      <c r="H964" s="211"/>
      <c r="I964" s="211"/>
      <c r="J964" s="211"/>
      <c r="K964" s="211"/>
      <c r="L964" s="84"/>
      <c r="M964" s="211"/>
      <c r="N964" s="211"/>
      <c r="O964" s="211"/>
      <c r="P964" s="211"/>
      <c r="Q964" s="84"/>
      <c r="R964" s="211"/>
      <c r="S964" s="211"/>
      <c r="T964" s="211"/>
      <c r="U964" s="211"/>
      <c r="V964" s="84"/>
      <c r="W964" s="211"/>
      <c r="X964" s="211"/>
      <c r="Y964" s="211"/>
      <c r="Z964" s="211"/>
      <c r="AA964" s="84"/>
      <c r="AB964" s="146"/>
      <c r="AC964" s="211"/>
      <c r="AD964" s="211"/>
      <c r="AE964" s="211"/>
      <c r="AF964" s="84"/>
      <c r="AG964" s="146"/>
      <c r="AH964" s="211"/>
      <c r="AI964" s="211"/>
      <c r="AJ964" s="211"/>
      <c r="AK964" s="84"/>
      <c r="AL964" s="146"/>
      <c r="AM964" s="211"/>
      <c r="AN964" s="211"/>
      <c r="AO964" s="211"/>
      <c r="AP964" s="436"/>
      <c r="AQ964" s="146"/>
      <c r="AR964" s="211"/>
      <c r="AS964" s="211"/>
      <c r="AT964" s="211"/>
      <c r="AU964" s="84"/>
      <c r="AV964" s="211"/>
      <c r="AW964" s="211"/>
      <c r="AX964" s="211"/>
      <c r="AY964" s="211"/>
      <c r="AZ964" s="84"/>
      <c r="BA964" s="211"/>
      <c r="BB964" s="211"/>
      <c r="BC964" s="211"/>
      <c r="BD964" s="211"/>
      <c r="BE964" s="84"/>
      <c r="BF964" s="211"/>
      <c r="BG964" s="451"/>
    </row>
    <row r="965" spans="1:59" ht="12.75">
      <c r="A965" s="211"/>
      <c r="B965" s="449"/>
      <c r="C965" s="450"/>
      <c r="D965" s="211"/>
      <c r="E965" s="211"/>
      <c r="F965" s="211"/>
      <c r="G965" s="84"/>
      <c r="H965" s="211"/>
      <c r="I965" s="211"/>
      <c r="J965" s="211"/>
      <c r="K965" s="211"/>
      <c r="L965" s="84"/>
      <c r="M965" s="211"/>
      <c r="N965" s="211"/>
      <c r="O965" s="211"/>
      <c r="P965" s="211"/>
      <c r="Q965" s="84"/>
      <c r="R965" s="211"/>
      <c r="S965" s="211"/>
      <c r="T965" s="211"/>
      <c r="U965" s="211"/>
      <c r="V965" s="84"/>
      <c r="W965" s="211"/>
      <c r="X965" s="211"/>
      <c r="Y965" s="211"/>
      <c r="Z965" s="211"/>
      <c r="AA965" s="84"/>
      <c r="AB965" s="146"/>
      <c r="AC965" s="211"/>
      <c r="AD965" s="211"/>
      <c r="AE965" s="211"/>
      <c r="AF965" s="84"/>
      <c r="AG965" s="146"/>
      <c r="AH965" s="211"/>
      <c r="AI965" s="211"/>
      <c r="AJ965" s="211"/>
      <c r="AK965" s="84"/>
      <c r="AL965" s="146"/>
      <c r="AM965" s="211"/>
      <c r="AN965" s="211"/>
      <c r="AO965" s="211"/>
      <c r="AP965" s="436"/>
      <c r="AQ965" s="146"/>
      <c r="AR965" s="211"/>
      <c r="AS965" s="211"/>
      <c r="AT965" s="211"/>
      <c r="AU965" s="84"/>
      <c r="AV965" s="211"/>
      <c r="AW965" s="211"/>
      <c r="AX965" s="211"/>
      <c r="AY965" s="211"/>
      <c r="AZ965" s="84"/>
      <c r="BA965" s="211"/>
      <c r="BB965" s="211"/>
      <c r="BC965" s="211"/>
      <c r="BD965" s="211"/>
      <c r="BE965" s="84"/>
      <c r="BF965" s="211"/>
      <c r="BG965" s="451"/>
    </row>
    <row r="966" spans="1:59" ht="12.75">
      <c r="A966" s="211"/>
      <c r="B966" s="449"/>
      <c r="C966" s="450"/>
      <c r="D966" s="211"/>
      <c r="E966" s="211"/>
      <c r="F966" s="211"/>
      <c r="G966" s="84"/>
      <c r="H966" s="211"/>
      <c r="I966" s="211"/>
      <c r="J966" s="211"/>
      <c r="K966" s="211"/>
      <c r="L966" s="84"/>
      <c r="M966" s="211"/>
      <c r="N966" s="211"/>
      <c r="O966" s="211"/>
      <c r="P966" s="211"/>
      <c r="Q966" s="84"/>
      <c r="R966" s="211"/>
      <c r="S966" s="211"/>
      <c r="T966" s="211"/>
      <c r="U966" s="211"/>
      <c r="V966" s="84"/>
      <c r="W966" s="211"/>
      <c r="X966" s="211"/>
      <c r="Y966" s="211"/>
      <c r="Z966" s="211"/>
      <c r="AA966" s="84"/>
      <c r="AB966" s="146"/>
      <c r="AC966" s="211"/>
      <c r="AD966" s="211"/>
      <c r="AE966" s="211"/>
      <c r="AF966" s="84"/>
      <c r="AG966" s="146"/>
      <c r="AH966" s="211"/>
      <c r="AI966" s="211"/>
      <c r="AJ966" s="211"/>
      <c r="AK966" s="84"/>
      <c r="AL966" s="146"/>
      <c r="AM966" s="211"/>
      <c r="AN966" s="211"/>
      <c r="AO966" s="211"/>
      <c r="AP966" s="436"/>
      <c r="AQ966" s="146"/>
      <c r="AR966" s="211"/>
      <c r="AS966" s="211"/>
      <c r="AT966" s="211"/>
      <c r="AU966" s="84"/>
      <c r="AV966" s="211"/>
      <c r="AW966" s="211"/>
      <c r="AX966" s="211"/>
      <c r="AY966" s="211"/>
      <c r="AZ966" s="84"/>
      <c r="BA966" s="211"/>
      <c r="BB966" s="211"/>
      <c r="BC966" s="211"/>
      <c r="BD966" s="211"/>
      <c r="BE966" s="84"/>
      <c r="BF966" s="211"/>
      <c r="BG966" s="451"/>
    </row>
    <row r="967" spans="1:59" ht="12.75">
      <c r="A967" s="211"/>
      <c r="B967" s="449"/>
      <c r="C967" s="450"/>
      <c r="D967" s="211"/>
      <c r="E967" s="211"/>
      <c r="F967" s="211"/>
      <c r="G967" s="84"/>
      <c r="H967" s="211"/>
      <c r="I967" s="211"/>
      <c r="J967" s="211"/>
      <c r="K967" s="211"/>
      <c r="L967" s="84"/>
      <c r="M967" s="211"/>
      <c r="N967" s="211"/>
      <c r="O967" s="211"/>
      <c r="P967" s="211"/>
      <c r="Q967" s="84"/>
      <c r="R967" s="211"/>
      <c r="S967" s="211"/>
      <c r="T967" s="211"/>
      <c r="U967" s="211"/>
      <c r="V967" s="84"/>
      <c r="W967" s="211"/>
      <c r="X967" s="211"/>
      <c r="Y967" s="211"/>
      <c r="Z967" s="211"/>
      <c r="AA967" s="84"/>
      <c r="AB967" s="146"/>
      <c r="AC967" s="211"/>
      <c r="AD967" s="211"/>
      <c r="AE967" s="211"/>
      <c r="AF967" s="84"/>
      <c r="AG967" s="146"/>
      <c r="AH967" s="211"/>
      <c r="AI967" s="211"/>
      <c r="AJ967" s="211"/>
      <c r="AK967" s="84"/>
      <c r="AL967" s="146"/>
      <c r="AM967" s="211"/>
      <c r="AN967" s="211"/>
      <c r="AO967" s="211"/>
      <c r="AP967" s="436"/>
      <c r="AQ967" s="146"/>
      <c r="AR967" s="211"/>
      <c r="AS967" s="211"/>
      <c r="AT967" s="211"/>
      <c r="AU967" s="84"/>
      <c r="AV967" s="211"/>
      <c r="AW967" s="211"/>
      <c r="AX967" s="211"/>
      <c r="AY967" s="211"/>
      <c r="AZ967" s="84"/>
      <c r="BA967" s="211"/>
      <c r="BB967" s="211"/>
      <c r="BC967" s="211"/>
      <c r="BD967" s="211"/>
      <c r="BE967" s="84"/>
      <c r="BF967" s="211"/>
      <c r="BG967" s="451"/>
    </row>
    <row r="968" spans="1:59" ht="12.75">
      <c r="A968" s="211"/>
      <c r="B968" s="449"/>
      <c r="C968" s="450"/>
      <c r="D968" s="211"/>
      <c r="E968" s="211"/>
      <c r="F968" s="211"/>
      <c r="G968" s="84"/>
      <c r="H968" s="211"/>
      <c r="I968" s="211"/>
      <c r="J968" s="211"/>
      <c r="K968" s="211"/>
      <c r="L968" s="84"/>
      <c r="M968" s="211"/>
      <c r="N968" s="211"/>
      <c r="O968" s="211"/>
      <c r="P968" s="211"/>
      <c r="Q968" s="84"/>
      <c r="R968" s="211"/>
      <c r="S968" s="211"/>
      <c r="T968" s="211"/>
      <c r="U968" s="211"/>
      <c r="V968" s="84"/>
      <c r="W968" s="211"/>
      <c r="X968" s="211"/>
      <c r="Y968" s="211"/>
      <c r="Z968" s="211"/>
      <c r="AA968" s="84"/>
      <c r="AB968" s="146"/>
      <c r="AC968" s="211"/>
      <c r="AD968" s="211"/>
      <c r="AE968" s="211"/>
      <c r="AF968" s="84"/>
      <c r="AG968" s="146"/>
      <c r="AH968" s="211"/>
      <c r="AI968" s="211"/>
      <c r="AJ968" s="211"/>
      <c r="AK968" s="84"/>
      <c r="AL968" s="146"/>
      <c r="AM968" s="211"/>
      <c r="AN968" s="211"/>
      <c r="AO968" s="211"/>
      <c r="AP968" s="436"/>
      <c r="AQ968" s="146"/>
      <c r="AR968" s="211"/>
      <c r="AS968" s="211"/>
      <c r="AT968" s="211"/>
      <c r="AU968" s="84"/>
      <c r="AV968" s="211"/>
      <c r="AW968" s="211"/>
      <c r="AX968" s="211"/>
      <c r="AY968" s="211"/>
      <c r="AZ968" s="84"/>
      <c r="BA968" s="211"/>
      <c r="BB968" s="211"/>
      <c r="BC968" s="211"/>
      <c r="BD968" s="211"/>
      <c r="BE968" s="84"/>
      <c r="BF968" s="211"/>
      <c r="BG968" s="451"/>
    </row>
    <row r="969" spans="1:59" ht="12.75">
      <c r="A969" s="211"/>
      <c r="B969" s="449"/>
      <c r="C969" s="450"/>
      <c r="D969" s="211"/>
      <c r="E969" s="211"/>
      <c r="F969" s="211"/>
      <c r="G969" s="84"/>
      <c r="H969" s="211"/>
      <c r="I969" s="211"/>
      <c r="J969" s="211"/>
      <c r="K969" s="211"/>
      <c r="L969" s="84"/>
      <c r="M969" s="211"/>
      <c r="N969" s="211"/>
      <c r="O969" s="211"/>
      <c r="P969" s="211"/>
      <c r="Q969" s="84"/>
      <c r="R969" s="211"/>
      <c r="S969" s="211"/>
      <c r="T969" s="211"/>
      <c r="U969" s="211"/>
      <c r="V969" s="84"/>
      <c r="W969" s="211"/>
      <c r="X969" s="211"/>
      <c r="Y969" s="211"/>
      <c r="Z969" s="211"/>
      <c r="AA969" s="84"/>
      <c r="AB969" s="146"/>
      <c r="AC969" s="211"/>
      <c r="AD969" s="211"/>
      <c r="AE969" s="211"/>
      <c r="AF969" s="84"/>
      <c r="AG969" s="146"/>
      <c r="AH969" s="211"/>
      <c r="AI969" s="211"/>
      <c r="AJ969" s="211"/>
      <c r="AK969" s="84"/>
      <c r="AL969" s="146"/>
      <c r="AM969" s="211"/>
      <c r="AN969" s="211"/>
      <c r="AO969" s="211"/>
      <c r="AP969" s="436"/>
      <c r="AQ969" s="146"/>
      <c r="AR969" s="211"/>
      <c r="AS969" s="211"/>
      <c r="AT969" s="211"/>
      <c r="AU969" s="84"/>
      <c r="AV969" s="211"/>
      <c r="AW969" s="211"/>
      <c r="AX969" s="211"/>
      <c r="AY969" s="211"/>
      <c r="AZ969" s="84"/>
      <c r="BA969" s="211"/>
      <c r="BB969" s="211"/>
      <c r="BC969" s="211"/>
      <c r="BD969" s="211"/>
      <c r="BE969" s="84"/>
      <c r="BF969" s="211"/>
      <c r="BG969" s="451"/>
    </row>
    <row r="970" spans="1:59" ht="12.75">
      <c r="A970" s="211"/>
      <c r="B970" s="449"/>
      <c r="C970" s="450"/>
      <c r="D970" s="211"/>
      <c r="E970" s="211"/>
      <c r="F970" s="211"/>
      <c r="G970" s="84"/>
      <c r="H970" s="211"/>
      <c r="I970" s="211"/>
      <c r="J970" s="211"/>
      <c r="K970" s="211"/>
      <c r="L970" s="84"/>
      <c r="M970" s="211"/>
      <c r="N970" s="211"/>
      <c r="O970" s="211"/>
      <c r="P970" s="211"/>
      <c r="Q970" s="84"/>
      <c r="R970" s="211"/>
      <c r="S970" s="211"/>
      <c r="T970" s="211"/>
      <c r="U970" s="211"/>
      <c r="V970" s="84"/>
      <c r="W970" s="211"/>
      <c r="X970" s="211"/>
      <c r="Y970" s="211"/>
      <c r="Z970" s="211"/>
      <c r="AA970" s="84"/>
      <c r="AB970" s="146"/>
      <c r="AC970" s="211"/>
      <c r="AD970" s="211"/>
      <c r="AE970" s="211"/>
      <c r="AF970" s="84"/>
      <c r="AG970" s="146"/>
      <c r="AH970" s="211"/>
      <c r="AI970" s="211"/>
      <c r="AJ970" s="211"/>
      <c r="AK970" s="84"/>
      <c r="AL970" s="146"/>
      <c r="AM970" s="211"/>
      <c r="AN970" s="211"/>
      <c r="AO970" s="211"/>
      <c r="AP970" s="436"/>
      <c r="AQ970" s="146"/>
      <c r="AR970" s="211"/>
      <c r="AS970" s="211"/>
      <c r="AT970" s="211"/>
      <c r="AU970" s="84"/>
      <c r="AV970" s="211"/>
      <c r="AW970" s="211"/>
      <c r="AX970" s="211"/>
      <c r="AY970" s="211"/>
      <c r="AZ970" s="84"/>
      <c r="BA970" s="211"/>
      <c r="BB970" s="211"/>
      <c r="BC970" s="211"/>
      <c r="BD970" s="211"/>
      <c r="BE970" s="84"/>
      <c r="BF970" s="211"/>
      <c r="BG970" s="451"/>
    </row>
    <row r="971" spans="1:59" ht="12.75">
      <c r="A971" s="211"/>
      <c r="B971" s="449"/>
      <c r="C971" s="450"/>
      <c r="D971" s="211"/>
      <c r="E971" s="211"/>
      <c r="F971" s="211"/>
      <c r="G971" s="84"/>
      <c r="H971" s="211"/>
      <c r="I971" s="211"/>
      <c r="J971" s="211"/>
      <c r="K971" s="211"/>
      <c r="L971" s="84"/>
      <c r="M971" s="211"/>
      <c r="N971" s="211"/>
      <c r="O971" s="211"/>
      <c r="P971" s="211"/>
      <c r="Q971" s="84"/>
      <c r="R971" s="211"/>
      <c r="S971" s="211"/>
      <c r="T971" s="211"/>
      <c r="U971" s="211"/>
      <c r="V971" s="84"/>
      <c r="W971" s="211"/>
      <c r="X971" s="211"/>
      <c r="Y971" s="211"/>
      <c r="Z971" s="211"/>
      <c r="AA971" s="84"/>
      <c r="AB971" s="146"/>
      <c r="AC971" s="211"/>
      <c r="AD971" s="211"/>
      <c r="AE971" s="211"/>
      <c r="AF971" s="84"/>
      <c r="AG971" s="146"/>
      <c r="AH971" s="211"/>
      <c r="AI971" s="211"/>
      <c r="AJ971" s="211"/>
      <c r="AK971" s="84"/>
      <c r="AL971" s="146"/>
      <c r="AM971" s="211"/>
      <c r="AN971" s="211"/>
      <c r="AO971" s="211"/>
      <c r="AP971" s="436"/>
      <c r="AQ971" s="146"/>
      <c r="AR971" s="211"/>
      <c r="AS971" s="211"/>
      <c r="AT971" s="211"/>
      <c r="AU971" s="84"/>
      <c r="AV971" s="211"/>
      <c r="AW971" s="211"/>
      <c r="AX971" s="211"/>
      <c r="AY971" s="211"/>
      <c r="AZ971" s="84"/>
      <c r="BA971" s="211"/>
      <c r="BB971" s="211"/>
      <c r="BC971" s="211"/>
      <c r="BD971" s="211"/>
      <c r="BE971" s="84"/>
      <c r="BF971" s="211"/>
      <c r="BG971" s="451"/>
    </row>
    <row r="972" spans="1:59" ht="12.75">
      <c r="A972" s="211"/>
      <c r="B972" s="449"/>
      <c r="C972" s="450"/>
      <c r="D972" s="211"/>
      <c r="E972" s="211"/>
      <c r="F972" s="211"/>
      <c r="G972" s="84"/>
      <c r="H972" s="211"/>
      <c r="I972" s="211"/>
      <c r="J972" s="211"/>
      <c r="K972" s="211"/>
      <c r="L972" s="84"/>
      <c r="M972" s="211"/>
      <c r="N972" s="211"/>
      <c r="O972" s="211"/>
      <c r="P972" s="211"/>
      <c r="Q972" s="84"/>
      <c r="R972" s="211"/>
      <c r="S972" s="211"/>
      <c r="T972" s="211"/>
      <c r="U972" s="211"/>
      <c r="V972" s="84"/>
      <c r="W972" s="211"/>
      <c r="X972" s="211"/>
      <c r="Y972" s="211"/>
      <c r="Z972" s="211"/>
      <c r="AA972" s="84"/>
      <c r="AB972" s="146"/>
      <c r="AC972" s="211"/>
      <c r="AD972" s="211"/>
      <c r="AE972" s="211"/>
      <c r="AF972" s="84"/>
      <c r="AG972" s="146"/>
      <c r="AH972" s="211"/>
      <c r="AI972" s="211"/>
      <c r="AJ972" s="211"/>
      <c r="AK972" s="84"/>
      <c r="AL972" s="146"/>
      <c r="AM972" s="211"/>
      <c r="AN972" s="211"/>
      <c r="AO972" s="211"/>
      <c r="AP972" s="436"/>
      <c r="AQ972" s="146"/>
      <c r="AR972" s="211"/>
      <c r="AS972" s="211"/>
      <c r="AT972" s="211"/>
      <c r="AU972" s="84"/>
      <c r="AV972" s="211"/>
      <c r="AW972" s="211"/>
      <c r="AX972" s="211"/>
      <c r="AY972" s="211"/>
      <c r="AZ972" s="84"/>
      <c r="BA972" s="211"/>
      <c r="BB972" s="211"/>
      <c r="BC972" s="211"/>
      <c r="BD972" s="211"/>
      <c r="BE972" s="84"/>
      <c r="BF972" s="211"/>
      <c r="BG972" s="451"/>
    </row>
    <row r="973" spans="1:59" ht="12.75">
      <c r="A973" s="211"/>
      <c r="B973" s="449"/>
      <c r="C973" s="450"/>
      <c r="D973" s="211"/>
      <c r="E973" s="211"/>
      <c r="F973" s="211"/>
      <c r="G973" s="84"/>
      <c r="H973" s="211"/>
      <c r="I973" s="211"/>
      <c r="J973" s="211"/>
      <c r="K973" s="211"/>
      <c r="L973" s="84"/>
      <c r="M973" s="211"/>
      <c r="N973" s="211"/>
      <c r="O973" s="211"/>
      <c r="P973" s="211"/>
      <c r="Q973" s="84"/>
      <c r="R973" s="211"/>
      <c r="S973" s="211"/>
      <c r="T973" s="211"/>
      <c r="U973" s="211"/>
      <c r="V973" s="84"/>
      <c r="W973" s="211"/>
      <c r="X973" s="211"/>
      <c r="Y973" s="211"/>
      <c r="Z973" s="211"/>
      <c r="AA973" s="84"/>
      <c r="AB973" s="146"/>
      <c r="AC973" s="211"/>
      <c r="AD973" s="211"/>
      <c r="AE973" s="211"/>
      <c r="AF973" s="84"/>
      <c r="AG973" s="146"/>
      <c r="AH973" s="211"/>
      <c r="AI973" s="211"/>
      <c r="AJ973" s="211"/>
      <c r="AK973" s="84"/>
      <c r="AL973" s="146"/>
      <c r="AM973" s="211"/>
      <c r="AN973" s="211"/>
      <c r="AO973" s="211"/>
      <c r="AP973" s="436"/>
      <c r="AQ973" s="146"/>
      <c r="AR973" s="211"/>
      <c r="AS973" s="211"/>
      <c r="AT973" s="211"/>
      <c r="AU973" s="84"/>
      <c r="AV973" s="211"/>
      <c r="AW973" s="211"/>
      <c r="AX973" s="211"/>
      <c r="AY973" s="211"/>
      <c r="AZ973" s="84"/>
      <c r="BA973" s="211"/>
      <c r="BB973" s="211"/>
      <c r="BC973" s="211"/>
      <c r="BD973" s="211"/>
      <c r="BE973" s="84"/>
      <c r="BF973" s="211"/>
      <c r="BG973" s="451"/>
    </row>
    <row r="974" spans="1:59" ht="12.75">
      <c r="A974" s="211"/>
      <c r="B974" s="449"/>
      <c r="C974" s="450"/>
      <c r="D974" s="211"/>
      <c r="E974" s="211"/>
      <c r="F974" s="211"/>
      <c r="G974" s="84"/>
      <c r="H974" s="211"/>
      <c r="I974" s="211"/>
      <c r="J974" s="211"/>
      <c r="K974" s="211"/>
      <c r="L974" s="84"/>
      <c r="M974" s="211"/>
      <c r="N974" s="211"/>
      <c r="O974" s="211"/>
      <c r="P974" s="211"/>
      <c r="Q974" s="84"/>
      <c r="R974" s="211"/>
      <c r="S974" s="211"/>
      <c r="T974" s="211"/>
      <c r="U974" s="211"/>
      <c r="V974" s="84"/>
      <c r="W974" s="211"/>
      <c r="X974" s="211"/>
      <c r="Y974" s="211"/>
      <c r="Z974" s="211"/>
      <c r="AA974" s="84"/>
      <c r="AB974" s="146"/>
      <c r="AC974" s="211"/>
      <c r="AD974" s="211"/>
      <c r="AE974" s="211"/>
      <c r="AF974" s="84"/>
      <c r="AG974" s="146"/>
      <c r="AH974" s="211"/>
      <c r="AI974" s="211"/>
      <c r="AJ974" s="211"/>
      <c r="AK974" s="84"/>
      <c r="AL974" s="146"/>
      <c r="AM974" s="211"/>
      <c r="AN974" s="211"/>
      <c r="AO974" s="211"/>
      <c r="AP974" s="436"/>
      <c r="AQ974" s="146"/>
      <c r="AR974" s="211"/>
      <c r="AS974" s="211"/>
      <c r="AT974" s="211"/>
      <c r="AU974" s="84"/>
      <c r="AV974" s="211"/>
      <c r="AW974" s="211"/>
      <c r="AX974" s="211"/>
      <c r="AY974" s="211"/>
      <c r="AZ974" s="84"/>
      <c r="BA974" s="211"/>
      <c r="BB974" s="211"/>
      <c r="BC974" s="211"/>
      <c r="BD974" s="211"/>
      <c r="BE974" s="84"/>
      <c r="BF974" s="211"/>
      <c r="BG974" s="451"/>
    </row>
    <row r="975" spans="1:59" ht="12.75">
      <c r="A975" s="211"/>
      <c r="B975" s="449"/>
      <c r="C975" s="450"/>
      <c r="D975" s="211"/>
      <c r="E975" s="211"/>
      <c r="F975" s="211"/>
      <c r="G975" s="84"/>
      <c r="H975" s="211"/>
      <c r="I975" s="211"/>
      <c r="J975" s="211"/>
      <c r="K975" s="211"/>
      <c r="L975" s="84"/>
      <c r="M975" s="211"/>
      <c r="N975" s="211"/>
      <c r="O975" s="211"/>
      <c r="P975" s="211"/>
      <c r="Q975" s="84"/>
      <c r="R975" s="211"/>
      <c r="S975" s="211"/>
      <c r="T975" s="211"/>
      <c r="U975" s="211"/>
      <c r="V975" s="84"/>
      <c r="W975" s="211"/>
      <c r="X975" s="211"/>
      <c r="Y975" s="211"/>
      <c r="Z975" s="211"/>
      <c r="AA975" s="84"/>
      <c r="AB975" s="146"/>
      <c r="AC975" s="211"/>
      <c r="AD975" s="211"/>
      <c r="AE975" s="211"/>
      <c r="AF975" s="84"/>
      <c r="AG975" s="146"/>
      <c r="AH975" s="211"/>
      <c r="AI975" s="211"/>
      <c r="AJ975" s="211"/>
      <c r="AK975" s="84"/>
      <c r="AL975" s="146"/>
      <c r="AM975" s="211"/>
      <c r="AN975" s="211"/>
      <c r="AO975" s="211"/>
      <c r="AP975" s="436"/>
      <c r="AQ975" s="146"/>
      <c r="AR975" s="211"/>
      <c r="AS975" s="211"/>
      <c r="AT975" s="211"/>
      <c r="AU975" s="84"/>
      <c r="AV975" s="211"/>
      <c r="AW975" s="211"/>
      <c r="AX975" s="211"/>
      <c r="AY975" s="211"/>
      <c r="AZ975" s="84"/>
      <c r="BA975" s="211"/>
      <c r="BB975" s="211"/>
      <c r="BC975" s="211"/>
      <c r="BD975" s="211"/>
      <c r="BE975" s="84"/>
      <c r="BF975" s="211"/>
      <c r="BG975" s="451"/>
    </row>
    <row r="976" spans="1:59" ht="12.75">
      <c r="A976" s="211"/>
      <c r="B976" s="449"/>
      <c r="C976" s="450"/>
      <c r="D976" s="211"/>
      <c r="E976" s="211"/>
      <c r="F976" s="211"/>
      <c r="G976" s="84"/>
      <c r="H976" s="211"/>
      <c r="I976" s="211"/>
      <c r="J976" s="211"/>
      <c r="K976" s="211"/>
      <c r="L976" s="84"/>
      <c r="M976" s="211"/>
      <c r="N976" s="211"/>
      <c r="O976" s="211"/>
      <c r="P976" s="211"/>
      <c r="Q976" s="84"/>
      <c r="R976" s="211"/>
      <c r="S976" s="211"/>
      <c r="T976" s="211"/>
      <c r="U976" s="211"/>
      <c r="V976" s="84"/>
      <c r="W976" s="211"/>
      <c r="X976" s="211"/>
      <c r="Y976" s="211"/>
      <c r="Z976" s="211"/>
      <c r="AA976" s="84"/>
      <c r="AB976" s="146"/>
      <c r="AC976" s="211"/>
      <c r="AD976" s="211"/>
      <c r="AE976" s="211"/>
      <c r="AF976" s="84"/>
      <c r="AG976" s="146"/>
      <c r="AH976" s="211"/>
      <c r="AI976" s="211"/>
      <c r="AJ976" s="211"/>
      <c r="AK976" s="84"/>
      <c r="AL976" s="146"/>
      <c r="AM976" s="211"/>
      <c r="AN976" s="211"/>
      <c r="AO976" s="211"/>
      <c r="AP976" s="436"/>
      <c r="AQ976" s="146"/>
      <c r="AR976" s="211"/>
      <c r="AS976" s="211"/>
      <c r="AT976" s="211"/>
      <c r="AU976" s="84"/>
      <c r="AV976" s="211"/>
      <c r="AW976" s="211"/>
      <c r="AX976" s="211"/>
      <c r="AY976" s="211"/>
      <c r="AZ976" s="84"/>
      <c r="BA976" s="211"/>
      <c r="BB976" s="211"/>
      <c r="BC976" s="211"/>
      <c r="BD976" s="211"/>
      <c r="BE976" s="84"/>
      <c r="BF976" s="211"/>
      <c r="BG976" s="451"/>
    </row>
    <row r="977" spans="1:59" ht="12.75">
      <c r="A977" s="211"/>
      <c r="B977" s="449"/>
      <c r="C977" s="450"/>
      <c r="D977" s="211"/>
      <c r="E977" s="211"/>
      <c r="F977" s="211"/>
      <c r="G977" s="84"/>
      <c r="H977" s="211"/>
      <c r="I977" s="211"/>
      <c r="J977" s="211"/>
      <c r="K977" s="211"/>
      <c r="L977" s="84"/>
      <c r="M977" s="211"/>
      <c r="N977" s="211"/>
      <c r="O977" s="211"/>
      <c r="P977" s="211"/>
      <c r="Q977" s="84"/>
      <c r="R977" s="211"/>
      <c r="S977" s="211"/>
      <c r="T977" s="211"/>
      <c r="U977" s="211"/>
      <c r="V977" s="84"/>
      <c r="W977" s="211"/>
      <c r="X977" s="211"/>
      <c r="Y977" s="211"/>
      <c r="Z977" s="211"/>
      <c r="AA977" s="84"/>
      <c r="AB977" s="146"/>
      <c r="AC977" s="211"/>
      <c r="AD977" s="211"/>
      <c r="AE977" s="211"/>
      <c r="AF977" s="84"/>
      <c r="AG977" s="146"/>
      <c r="AH977" s="211"/>
      <c r="AI977" s="211"/>
      <c r="AJ977" s="211"/>
      <c r="AK977" s="84"/>
      <c r="AL977" s="146"/>
      <c r="AM977" s="211"/>
      <c r="AN977" s="211"/>
      <c r="AO977" s="211"/>
      <c r="AP977" s="436"/>
      <c r="AQ977" s="146"/>
      <c r="AR977" s="211"/>
      <c r="AS977" s="211"/>
      <c r="AT977" s="211"/>
      <c r="AU977" s="84"/>
      <c r="AV977" s="211"/>
      <c r="AW977" s="211"/>
      <c r="AX977" s="211"/>
      <c r="AY977" s="211"/>
      <c r="AZ977" s="84"/>
      <c r="BA977" s="211"/>
      <c r="BB977" s="211"/>
      <c r="BC977" s="211"/>
      <c r="BD977" s="211"/>
      <c r="BE977" s="84"/>
      <c r="BF977" s="211"/>
      <c r="BG977" s="451"/>
    </row>
    <row r="978" spans="1:59" ht="12.75">
      <c r="A978" s="211"/>
      <c r="B978" s="449"/>
      <c r="C978" s="450"/>
      <c r="D978" s="211"/>
      <c r="E978" s="211"/>
      <c r="F978" s="211"/>
      <c r="G978" s="84"/>
      <c r="H978" s="211"/>
      <c r="I978" s="211"/>
      <c r="J978" s="211"/>
      <c r="K978" s="211"/>
      <c r="L978" s="84"/>
      <c r="M978" s="211"/>
      <c r="N978" s="211"/>
      <c r="O978" s="211"/>
      <c r="P978" s="211"/>
      <c r="Q978" s="84"/>
      <c r="R978" s="211"/>
      <c r="S978" s="211"/>
      <c r="T978" s="211"/>
      <c r="U978" s="211"/>
      <c r="V978" s="84"/>
      <c r="W978" s="211"/>
      <c r="X978" s="211"/>
      <c r="Y978" s="211"/>
      <c r="Z978" s="211"/>
      <c r="AA978" s="84"/>
      <c r="AB978" s="146"/>
      <c r="AC978" s="211"/>
      <c r="AD978" s="211"/>
      <c r="AE978" s="211"/>
      <c r="AF978" s="84"/>
      <c r="AG978" s="146"/>
      <c r="AH978" s="211"/>
      <c r="AI978" s="211"/>
      <c r="AJ978" s="211"/>
      <c r="AK978" s="84"/>
      <c r="AL978" s="146"/>
      <c r="AM978" s="211"/>
      <c r="AN978" s="211"/>
      <c r="AO978" s="211"/>
      <c r="AP978" s="436"/>
      <c r="AQ978" s="146"/>
      <c r="AR978" s="211"/>
      <c r="AS978" s="211"/>
      <c r="AT978" s="211"/>
      <c r="AU978" s="84"/>
      <c r="AV978" s="211"/>
      <c r="AW978" s="211"/>
      <c r="AX978" s="211"/>
      <c r="AY978" s="211"/>
      <c r="AZ978" s="84"/>
      <c r="BA978" s="211"/>
      <c r="BB978" s="211"/>
      <c r="BC978" s="211"/>
      <c r="BD978" s="211"/>
      <c r="BE978" s="84"/>
      <c r="BF978" s="211"/>
      <c r="BG978" s="451"/>
    </row>
    <row r="979" spans="1:59" ht="12.75">
      <c r="A979" s="211"/>
      <c r="B979" s="449"/>
      <c r="C979" s="450"/>
      <c r="D979" s="211"/>
      <c r="E979" s="211"/>
      <c r="F979" s="211"/>
      <c r="G979" s="84"/>
      <c r="H979" s="211"/>
      <c r="I979" s="211"/>
      <c r="J979" s="211"/>
      <c r="K979" s="211"/>
      <c r="L979" s="84"/>
      <c r="M979" s="211"/>
      <c r="N979" s="211"/>
      <c r="O979" s="211"/>
      <c r="P979" s="211"/>
      <c r="Q979" s="84"/>
      <c r="R979" s="211"/>
      <c r="S979" s="211"/>
      <c r="T979" s="211"/>
      <c r="U979" s="211"/>
      <c r="V979" s="84"/>
      <c r="W979" s="211"/>
      <c r="X979" s="211"/>
      <c r="Y979" s="211"/>
      <c r="Z979" s="211"/>
      <c r="AA979" s="84"/>
      <c r="AB979" s="146"/>
      <c r="AC979" s="211"/>
      <c r="AD979" s="211"/>
      <c r="AE979" s="211"/>
      <c r="AF979" s="84"/>
      <c r="AG979" s="146"/>
      <c r="AH979" s="211"/>
      <c r="AI979" s="211"/>
      <c r="AJ979" s="211"/>
      <c r="AK979" s="84"/>
      <c r="AL979" s="146"/>
      <c r="AM979" s="211"/>
      <c r="AN979" s="211"/>
      <c r="AO979" s="211"/>
      <c r="AP979" s="436"/>
      <c r="AQ979" s="146"/>
      <c r="AR979" s="211"/>
      <c r="AS979" s="211"/>
      <c r="AT979" s="211"/>
      <c r="AU979" s="84"/>
      <c r="AV979" s="211"/>
      <c r="AW979" s="211"/>
      <c r="AX979" s="211"/>
      <c r="AY979" s="211"/>
      <c r="AZ979" s="84"/>
      <c r="BA979" s="211"/>
      <c r="BB979" s="211"/>
      <c r="BC979" s="211"/>
      <c r="BD979" s="211"/>
      <c r="BE979" s="84"/>
      <c r="BF979" s="211"/>
      <c r="BG979" s="451"/>
    </row>
    <row r="980" spans="1:59" ht="12.75">
      <c r="A980" s="211"/>
      <c r="B980" s="449"/>
      <c r="C980" s="450"/>
      <c r="D980" s="211"/>
      <c r="E980" s="211"/>
      <c r="F980" s="211"/>
      <c r="G980" s="84"/>
      <c r="H980" s="211"/>
      <c r="I980" s="211"/>
      <c r="J980" s="211"/>
      <c r="K980" s="211"/>
      <c r="L980" s="84"/>
      <c r="M980" s="211"/>
      <c r="N980" s="211"/>
      <c r="O980" s="211"/>
      <c r="P980" s="211"/>
      <c r="Q980" s="84"/>
      <c r="R980" s="211"/>
      <c r="S980" s="211"/>
      <c r="T980" s="211"/>
      <c r="U980" s="211"/>
      <c r="V980" s="84"/>
      <c r="W980" s="211"/>
      <c r="X980" s="211"/>
      <c r="Y980" s="211"/>
      <c r="Z980" s="211"/>
      <c r="AA980" s="84"/>
      <c r="AB980" s="146"/>
      <c r="AC980" s="211"/>
      <c r="AD980" s="211"/>
      <c r="AE980" s="211"/>
      <c r="AF980" s="84"/>
      <c r="AG980" s="146"/>
      <c r="AH980" s="211"/>
      <c r="AI980" s="211"/>
      <c r="AJ980" s="211"/>
      <c r="AK980" s="84"/>
      <c r="AL980" s="146"/>
      <c r="AM980" s="211"/>
      <c r="AN980" s="211"/>
      <c r="AO980" s="211"/>
      <c r="AP980" s="436"/>
      <c r="AQ980" s="146"/>
      <c r="AR980" s="211"/>
      <c r="AS980" s="211"/>
      <c r="AT980" s="211"/>
      <c r="AU980" s="84"/>
      <c r="AV980" s="211"/>
      <c r="AW980" s="211"/>
      <c r="AX980" s="211"/>
      <c r="AY980" s="211"/>
      <c r="AZ980" s="84"/>
      <c r="BA980" s="211"/>
      <c r="BB980" s="211"/>
      <c r="BC980" s="211"/>
      <c r="BD980" s="211"/>
      <c r="BE980" s="84"/>
      <c r="BF980" s="211"/>
      <c r="BG980" s="451"/>
    </row>
    <row r="981" spans="1:59" ht="12.75">
      <c r="A981" s="211"/>
      <c r="B981" s="449"/>
      <c r="C981" s="450"/>
      <c r="D981" s="211"/>
      <c r="E981" s="211"/>
      <c r="F981" s="211"/>
      <c r="G981" s="84"/>
      <c r="H981" s="211"/>
      <c r="I981" s="211"/>
      <c r="J981" s="211"/>
      <c r="K981" s="211"/>
      <c r="L981" s="84"/>
      <c r="M981" s="211"/>
      <c r="N981" s="211"/>
      <c r="O981" s="211"/>
      <c r="P981" s="211"/>
      <c r="Q981" s="84"/>
      <c r="R981" s="211"/>
      <c r="S981" s="211"/>
      <c r="T981" s="211"/>
      <c r="U981" s="211"/>
      <c r="V981" s="84"/>
      <c r="W981" s="211"/>
      <c r="X981" s="211"/>
      <c r="Y981" s="211"/>
      <c r="Z981" s="211"/>
      <c r="AA981" s="84"/>
      <c r="AB981" s="146"/>
      <c r="AC981" s="211"/>
      <c r="AD981" s="211"/>
      <c r="AE981" s="211"/>
      <c r="AF981" s="84"/>
      <c r="AG981" s="146"/>
      <c r="AH981" s="211"/>
      <c r="AI981" s="211"/>
      <c r="AJ981" s="211"/>
      <c r="AK981" s="84"/>
      <c r="AL981" s="146"/>
      <c r="AM981" s="211"/>
      <c r="AN981" s="211"/>
      <c r="AO981" s="211"/>
      <c r="AP981" s="436"/>
      <c r="AQ981" s="146"/>
      <c r="AR981" s="211"/>
      <c r="AS981" s="211"/>
      <c r="AT981" s="211"/>
      <c r="AU981" s="84"/>
      <c r="AV981" s="211"/>
      <c r="AW981" s="211"/>
      <c r="AX981" s="211"/>
      <c r="AY981" s="211"/>
      <c r="AZ981" s="84"/>
      <c r="BA981" s="211"/>
      <c r="BB981" s="211"/>
      <c r="BC981" s="211"/>
      <c r="BD981" s="211"/>
      <c r="BE981" s="84"/>
      <c r="BF981" s="211"/>
      <c r="BG981" s="451"/>
    </row>
    <row r="982" spans="1:59" ht="12.75">
      <c r="A982" s="211"/>
      <c r="B982" s="449"/>
      <c r="C982" s="450"/>
      <c r="D982" s="211"/>
      <c r="E982" s="211"/>
      <c r="F982" s="211"/>
      <c r="G982" s="84"/>
      <c r="H982" s="211"/>
      <c r="I982" s="211"/>
      <c r="J982" s="211"/>
      <c r="K982" s="211"/>
      <c r="L982" s="84"/>
      <c r="M982" s="211"/>
      <c r="N982" s="211"/>
      <c r="O982" s="211"/>
      <c r="P982" s="211"/>
      <c r="Q982" s="84"/>
      <c r="R982" s="211"/>
      <c r="S982" s="211"/>
      <c r="T982" s="211"/>
      <c r="U982" s="211"/>
      <c r="V982" s="84"/>
      <c r="W982" s="211"/>
      <c r="X982" s="211"/>
      <c r="Y982" s="211"/>
      <c r="Z982" s="211"/>
      <c r="AA982" s="84"/>
      <c r="AB982" s="146"/>
      <c r="AC982" s="211"/>
      <c r="AD982" s="211"/>
      <c r="AE982" s="211"/>
      <c r="AF982" s="84"/>
      <c r="AG982" s="146"/>
      <c r="AH982" s="211"/>
      <c r="AI982" s="211"/>
      <c r="AJ982" s="211"/>
      <c r="AK982" s="84"/>
      <c r="AL982" s="146"/>
      <c r="AM982" s="211"/>
      <c r="AN982" s="211"/>
      <c r="AO982" s="211"/>
      <c r="AP982" s="436"/>
      <c r="AQ982" s="146"/>
      <c r="AR982" s="211"/>
      <c r="AS982" s="211"/>
      <c r="AT982" s="211"/>
      <c r="AU982" s="84"/>
      <c r="AV982" s="211"/>
      <c r="AW982" s="211"/>
      <c r="AX982" s="211"/>
      <c r="AY982" s="211"/>
      <c r="AZ982" s="84"/>
      <c r="BA982" s="211"/>
      <c r="BB982" s="211"/>
      <c r="BC982" s="211"/>
      <c r="BD982" s="211"/>
      <c r="BE982" s="84"/>
      <c r="BF982" s="211"/>
      <c r="BG982" s="451"/>
    </row>
    <row r="983" spans="1:59" ht="12.75">
      <c r="A983" s="211"/>
      <c r="B983" s="449"/>
      <c r="C983" s="450"/>
      <c r="D983" s="211"/>
      <c r="E983" s="211"/>
      <c r="F983" s="211"/>
      <c r="G983" s="84"/>
      <c r="H983" s="211"/>
      <c r="I983" s="211"/>
      <c r="J983" s="211"/>
      <c r="K983" s="211"/>
      <c r="L983" s="84"/>
      <c r="M983" s="211"/>
      <c r="N983" s="211"/>
      <c r="O983" s="211"/>
      <c r="P983" s="211"/>
      <c r="Q983" s="84"/>
      <c r="R983" s="211"/>
      <c r="S983" s="211"/>
      <c r="T983" s="211"/>
      <c r="U983" s="211"/>
      <c r="V983" s="84"/>
      <c r="W983" s="211"/>
      <c r="X983" s="211"/>
      <c r="Y983" s="211"/>
      <c r="Z983" s="211"/>
      <c r="AA983" s="84"/>
      <c r="AB983" s="146"/>
      <c r="AC983" s="211"/>
      <c r="AD983" s="211"/>
      <c r="AE983" s="211"/>
      <c r="AF983" s="84"/>
      <c r="AG983" s="146"/>
      <c r="AH983" s="211"/>
      <c r="AI983" s="211"/>
      <c r="AJ983" s="211"/>
      <c r="AK983" s="84"/>
      <c r="AL983" s="146"/>
      <c r="AM983" s="211"/>
      <c r="AN983" s="211"/>
      <c r="AO983" s="211"/>
      <c r="AP983" s="436"/>
      <c r="AQ983" s="146"/>
      <c r="AR983" s="211"/>
      <c r="AS983" s="211"/>
      <c r="AT983" s="211"/>
      <c r="AU983" s="84"/>
      <c r="AV983" s="211"/>
      <c r="AW983" s="211"/>
      <c r="AX983" s="211"/>
      <c r="AY983" s="211"/>
      <c r="AZ983" s="84"/>
      <c r="BA983" s="211"/>
      <c r="BB983" s="211"/>
      <c r="BC983" s="211"/>
      <c r="BD983" s="211"/>
      <c r="BE983" s="84"/>
      <c r="BF983" s="211"/>
      <c r="BG983" s="451"/>
    </row>
    <row r="984" spans="1:59" ht="12.75">
      <c r="A984" s="211"/>
      <c r="B984" s="449"/>
      <c r="C984" s="450"/>
      <c r="D984" s="211"/>
      <c r="E984" s="211"/>
      <c r="F984" s="211"/>
      <c r="G984" s="84"/>
      <c r="H984" s="211"/>
      <c r="I984" s="211"/>
      <c r="J984" s="211"/>
      <c r="K984" s="211"/>
      <c r="L984" s="84"/>
      <c r="M984" s="211"/>
      <c r="N984" s="211"/>
      <c r="O984" s="211"/>
      <c r="P984" s="211"/>
      <c r="Q984" s="84"/>
      <c r="R984" s="211"/>
      <c r="S984" s="211"/>
      <c r="T984" s="211"/>
      <c r="U984" s="211"/>
      <c r="V984" s="84"/>
      <c r="W984" s="211"/>
      <c r="X984" s="211"/>
      <c r="Y984" s="211"/>
      <c r="Z984" s="211"/>
      <c r="AA984" s="84"/>
      <c r="AB984" s="146"/>
      <c r="AC984" s="211"/>
      <c r="AD984" s="211"/>
      <c r="AE984" s="211"/>
      <c r="AF984" s="84"/>
      <c r="AG984" s="146"/>
      <c r="AH984" s="211"/>
      <c r="AI984" s="211"/>
      <c r="AJ984" s="211"/>
      <c r="AK984" s="84"/>
      <c r="AL984" s="146"/>
      <c r="AM984" s="211"/>
      <c r="AN984" s="211"/>
      <c r="AO984" s="211"/>
      <c r="AP984" s="436"/>
      <c r="AQ984" s="146"/>
      <c r="AR984" s="211"/>
      <c r="AS984" s="211"/>
      <c r="AT984" s="211"/>
      <c r="AU984" s="84"/>
      <c r="AV984" s="211"/>
      <c r="AW984" s="211"/>
      <c r="AX984" s="211"/>
      <c r="AY984" s="211"/>
      <c r="AZ984" s="84"/>
      <c r="BA984" s="211"/>
      <c r="BB984" s="211"/>
      <c r="BC984" s="211"/>
      <c r="BD984" s="211"/>
      <c r="BE984" s="84"/>
      <c r="BF984" s="211"/>
      <c r="BG984" s="451"/>
    </row>
    <row r="985" spans="1:59" ht="12.75">
      <c r="A985" s="211"/>
      <c r="B985" s="449"/>
      <c r="C985" s="450"/>
      <c r="D985" s="211"/>
      <c r="E985" s="211"/>
      <c r="F985" s="211"/>
      <c r="G985" s="84"/>
      <c r="H985" s="211"/>
      <c r="I985" s="211"/>
      <c r="J985" s="211"/>
      <c r="K985" s="211"/>
      <c r="L985" s="84"/>
      <c r="M985" s="211"/>
      <c r="N985" s="211"/>
      <c r="O985" s="211"/>
      <c r="P985" s="211"/>
      <c r="Q985" s="84"/>
      <c r="R985" s="211"/>
      <c r="S985" s="211"/>
      <c r="T985" s="211"/>
      <c r="U985" s="211"/>
      <c r="V985" s="84"/>
      <c r="W985" s="211"/>
      <c r="X985" s="211"/>
      <c r="Y985" s="211"/>
      <c r="Z985" s="211"/>
      <c r="AA985" s="84"/>
      <c r="AB985" s="146"/>
      <c r="AC985" s="211"/>
      <c r="AD985" s="211"/>
      <c r="AE985" s="211"/>
      <c r="AF985" s="84"/>
      <c r="AG985" s="146"/>
      <c r="AH985" s="211"/>
      <c r="AI985" s="211"/>
      <c r="AJ985" s="211"/>
      <c r="AK985" s="84"/>
      <c r="AL985" s="146"/>
      <c r="AM985" s="211"/>
      <c r="AN985" s="211"/>
      <c r="AO985" s="211"/>
      <c r="AP985" s="436"/>
      <c r="AQ985" s="146"/>
      <c r="AR985" s="211"/>
      <c r="AS985" s="211"/>
      <c r="AT985" s="211"/>
      <c r="AU985" s="84"/>
      <c r="AV985" s="211"/>
      <c r="AW985" s="211"/>
      <c r="AX985" s="211"/>
      <c r="AY985" s="211"/>
      <c r="AZ985" s="84"/>
      <c r="BA985" s="211"/>
      <c r="BB985" s="211"/>
      <c r="BC985" s="211"/>
      <c r="BD985" s="211"/>
      <c r="BE985" s="84"/>
      <c r="BF985" s="211"/>
      <c r="BG985" s="451"/>
    </row>
    <row r="986" spans="1:59" ht="12.75">
      <c r="A986" s="211"/>
      <c r="B986" s="449"/>
      <c r="C986" s="450"/>
      <c r="D986" s="211"/>
      <c r="E986" s="211"/>
      <c r="F986" s="211"/>
      <c r="G986" s="84"/>
      <c r="H986" s="211"/>
      <c r="I986" s="211"/>
      <c r="J986" s="211"/>
      <c r="K986" s="211"/>
      <c r="L986" s="84"/>
      <c r="M986" s="211"/>
      <c r="N986" s="211"/>
      <c r="O986" s="211"/>
      <c r="P986" s="211"/>
      <c r="Q986" s="84"/>
      <c r="R986" s="211"/>
      <c r="S986" s="211"/>
      <c r="T986" s="211"/>
      <c r="U986" s="211"/>
      <c r="V986" s="84"/>
      <c r="W986" s="211"/>
      <c r="X986" s="211"/>
      <c r="Y986" s="211"/>
      <c r="Z986" s="211"/>
      <c r="AA986" s="84"/>
      <c r="AB986" s="146"/>
      <c r="AC986" s="211"/>
      <c r="AD986" s="211"/>
      <c r="AE986" s="211"/>
      <c r="AF986" s="84"/>
      <c r="AG986" s="146"/>
      <c r="AH986" s="211"/>
      <c r="AI986" s="211"/>
      <c r="AJ986" s="211"/>
      <c r="AK986" s="84"/>
      <c r="AL986" s="146"/>
      <c r="AM986" s="211"/>
      <c r="AN986" s="211"/>
      <c r="AO986" s="211"/>
      <c r="AP986" s="436"/>
      <c r="AQ986" s="146"/>
      <c r="AR986" s="211"/>
      <c r="AS986" s="211"/>
      <c r="AT986" s="211"/>
      <c r="AU986" s="84"/>
      <c r="AV986" s="211"/>
      <c r="AW986" s="211"/>
      <c r="AX986" s="211"/>
      <c r="AY986" s="211"/>
      <c r="AZ986" s="84"/>
      <c r="BA986" s="211"/>
      <c r="BB986" s="211"/>
      <c r="BC986" s="211"/>
      <c r="BD986" s="211"/>
      <c r="BE986" s="84"/>
      <c r="BF986" s="211"/>
      <c r="BG986" s="451"/>
    </row>
    <row r="987" spans="1:59" ht="12.75">
      <c r="A987" s="211"/>
      <c r="B987" s="449"/>
      <c r="C987" s="450"/>
      <c r="D987" s="211"/>
      <c r="E987" s="211"/>
      <c r="F987" s="211"/>
      <c r="G987" s="84"/>
      <c r="H987" s="211"/>
      <c r="I987" s="211"/>
      <c r="J987" s="211"/>
      <c r="K987" s="211"/>
      <c r="L987" s="84"/>
      <c r="M987" s="211"/>
      <c r="N987" s="211"/>
      <c r="O987" s="211"/>
      <c r="P987" s="211"/>
      <c r="Q987" s="84"/>
      <c r="R987" s="211"/>
      <c r="S987" s="211"/>
      <c r="T987" s="211"/>
      <c r="U987" s="211"/>
      <c r="V987" s="84"/>
      <c r="W987" s="211"/>
      <c r="X987" s="211"/>
      <c r="Y987" s="211"/>
      <c r="Z987" s="211"/>
      <c r="AA987" s="84"/>
      <c r="AB987" s="146"/>
      <c r="AC987" s="211"/>
      <c r="AD987" s="211"/>
      <c r="AE987" s="211"/>
      <c r="AF987" s="84"/>
      <c r="AG987" s="146"/>
      <c r="AH987" s="211"/>
      <c r="AI987" s="211"/>
      <c r="AJ987" s="211"/>
      <c r="AK987" s="84"/>
      <c r="AL987" s="146"/>
      <c r="AM987" s="211"/>
      <c r="AN987" s="211"/>
      <c r="AO987" s="211"/>
      <c r="AP987" s="436"/>
      <c r="AQ987" s="146"/>
      <c r="AR987" s="211"/>
      <c r="AS987" s="211"/>
      <c r="AT987" s="211"/>
      <c r="AU987" s="84"/>
      <c r="AV987" s="211"/>
      <c r="AW987" s="211"/>
      <c r="AX987" s="211"/>
      <c r="AY987" s="211"/>
      <c r="AZ987" s="84"/>
      <c r="BA987" s="211"/>
      <c r="BB987" s="211"/>
      <c r="BC987" s="211"/>
      <c r="BD987" s="211"/>
      <c r="BE987" s="84"/>
      <c r="BF987" s="211"/>
      <c r="BG987" s="451"/>
    </row>
    <row r="988" spans="1:59" ht="12.75">
      <c r="A988" s="211"/>
      <c r="B988" s="449"/>
      <c r="C988" s="450"/>
      <c r="D988" s="211"/>
      <c r="E988" s="211"/>
      <c r="F988" s="211"/>
      <c r="G988" s="84"/>
      <c r="H988" s="211"/>
      <c r="I988" s="211"/>
      <c r="J988" s="211"/>
      <c r="K988" s="211"/>
      <c r="L988" s="84"/>
      <c r="M988" s="211"/>
      <c r="N988" s="211"/>
      <c r="O988" s="211"/>
      <c r="P988" s="211"/>
      <c r="Q988" s="84"/>
      <c r="R988" s="211"/>
      <c r="S988" s="211"/>
      <c r="T988" s="211"/>
      <c r="U988" s="211"/>
      <c r="V988" s="84"/>
      <c r="W988" s="211"/>
      <c r="X988" s="211"/>
      <c r="Y988" s="211"/>
      <c r="Z988" s="211"/>
      <c r="AA988" s="84"/>
      <c r="AB988" s="146"/>
      <c r="AC988" s="211"/>
      <c r="AD988" s="211"/>
      <c r="AE988" s="211"/>
      <c r="AF988" s="84"/>
      <c r="AG988" s="146"/>
      <c r="AH988" s="211"/>
      <c r="AI988" s="211"/>
      <c r="AJ988" s="211"/>
      <c r="AK988" s="84"/>
      <c r="AL988" s="146"/>
      <c r="AM988" s="211"/>
      <c r="AN988" s="211"/>
      <c r="AO988" s="211"/>
      <c r="AP988" s="436"/>
      <c r="AQ988" s="146"/>
      <c r="AR988" s="211"/>
      <c r="AS988" s="211"/>
      <c r="AT988" s="211"/>
      <c r="AU988" s="84"/>
      <c r="AV988" s="211"/>
      <c r="AW988" s="211"/>
      <c r="AX988" s="211"/>
      <c r="AY988" s="211"/>
      <c r="AZ988" s="84"/>
      <c r="BA988" s="211"/>
      <c r="BB988" s="211"/>
      <c r="BC988" s="211"/>
      <c r="BD988" s="211"/>
      <c r="BE988" s="84"/>
      <c r="BF988" s="211"/>
      <c r="BG988" s="451"/>
    </row>
    <row r="989" spans="1:59" ht="12.75">
      <c r="A989" s="211"/>
      <c r="B989" s="449"/>
      <c r="C989" s="450"/>
      <c r="D989" s="211"/>
      <c r="E989" s="211"/>
      <c r="F989" s="211"/>
      <c r="G989" s="84"/>
      <c r="H989" s="211"/>
      <c r="I989" s="211"/>
      <c r="J989" s="211"/>
      <c r="K989" s="211"/>
      <c r="L989" s="84"/>
      <c r="M989" s="211"/>
      <c r="N989" s="211"/>
      <c r="O989" s="211"/>
      <c r="P989" s="211"/>
      <c r="Q989" s="84"/>
      <c r="R989" s="211"/>
      <c r="S989" s="211"/>
      <c r="T989" s="211"/>
      <c r="U989" s="211"/>
      <c r="V989" s="84"/>
      <c r="W989" s="211"/>
      <c r="X989" s="211"/>
      <c r="Y989" s="211"/>
      <c r="Z989" s="211"/>
      <c r="AA989" s="84"/>
      <c r="AB989" s="146"/>
      <c r="AC989" s="211"/>
      <c r="AD989" s="211"/>
      <c r="AE989" s="211"/>
      <c r="AF989" s="84"/>
      <c r="AG989" s="146"/>
      <c r="AH989" s="211"/>
      <c r="AI989" s="211"/>
      <c r="AJ989" s="211"/>
      <c r="AK989" s="84"/>
      <c r="AL989" s="146"/>
      <c r="AM989" s="211"/>
      <c r="AN989" s="211"/>
      <c r="AO989" s="211"/>
      <c r="AP989" s="436"/>
      <c r="AQ989" s="146"/>
      <c r="AR989" s="211"/>
      <c r="AS989" s="211"/>
      <c r="AT989" s="211"/>
      <c r="AU989" s="84"/>
      <c r="AV989" s="211"/>
      <c r="AW989" s="211"/>
      <c r="AX989" s="211"/>
      <c r="AY989" s="211"/>
      <c r="AZ989" s="84"/>
      <c r="BA989" s="211"/>
      <c r="BB989" s="211"/>
      <c r="BC989" s="211"/>
      <c r="BD989" s="211"/>
      <c r="BE989" s="84"/>
      <c r="BF989" s="211"/>
      <c r="BG989" s="451"/>
    </row>
    <row r="990" spans="1:59" ht="12.75">
      <c r="A990" s="211"/>
      <c r="B990" s="449"/>
      <c r="C990" s="450"/>
      <c r="D990" s="211"/>
      <c r="E990" s="211"/>
      <c r="F990" s="211"/>
      <c r="G990" s="84"/>
      <c r="H990" s="211"/>
      <c r="I990" s="211"/>
      <c r="J990" s="211"/>
      <c r="K990" s="211"/>
      <c r="L990" s="84"/>
      <c r="M990" s="211"/>
      <c r="N990" s="211"/>
      <c r="O990" s="211"/>
      <c r="P990" s="211"/>
      <c r="Q990" s="84"/>
      <c r="R990" s="211"/>
      <c r="S990" s="211"/>
      <c r="T990" s="211"/>
      <c r="U990" s="211"/>
      <c r="V990" s="84"/>
      <c r="W990" s="211"/>
      <c r="X990" s="211"/>
      <c r="Y990" s="211"/>
      <c r="Z990" s="211"/>
      <c r="AA990" s="84"/>
      <c r="AB990" s="146"/>
      <c r="AC990" s="211"/>
      <c r="AD990" s="211"/>
      <c r="AE990" s="211"/>
      <c r="AF990" s="84"/>
      <c r="AG990" s="146"/>
      <c r="AH990" s="211"/>
      <c r="AI990" s="211"/>
      <c r="AJ990" s="211"/>
      <c r="AK990" s="84"/>
      <c r="AL990" s="146"/>
      <c r="AM990" s="211"/>
      <c r="AN990" s="211"/>
      <c r="AO990" s="211"/>
      <c r="AP990" s="436"/>
      <c r="AQ990" s="146"/>
      <c r="AR990" s="211"/>
      <c r="AS990" s="211"/>
      <c r="AT990" s="211"/>
      <c r="AU990" s="84"/>
      <c r="AV990" s="211"/>
      <c r="AW990" s="211"/>
      <c r="AX990" s="211"/>
      <c r="AY990" s="211"/>
      <c r="AZ990" s="84"/>
      <c r="BA990" s="211"/>
      <c r="BB990" s="211"/>
      <c r="BC990" s="211"/>
      <c r="BD990" s="211"/>
      <c r="BE990" s="84"/>
      <c r="BF990" s="211"/>
      <c r="BG990" s="451"/>
    </row>
    <row r="991" spans="1:59" ht="12.75">
      <c r="A991" s="211"/>
      <c r="B991" s="449"/>
      <c r="C991" s="450"/>
      <c r="D991" s="211"/>
      <c r="E991" s="211"/>
      <c r="F991" s="211"/>
      <c r="G991" s="84"/>
      <c r="H991" s="211"/>
      <c r="I991" s="211"/>
      <c r="J991" s="211"/>
      <c r="K991" s="211"/>
      <c r="L991" s="84"/>
      <c r="M991" s="211"/>
      <c r="N991" s="211"/>
      <c r="O991" s="211"/>
      <c r="P991" s="211"/>
      <c r="Q991" s="84"/>
      <c r="R991" s="211"/>
      <c r="S991" s="211"/>
      <c r="T991" s="211"/>
      <c r="U991" s="211"/>
      <c r="V991" s="84"/>
      <c r="W991" s="211"/>
      <c r="X991" s="211"/>
      <c r="Y991" s="211"/>
      <c r="Z991" s="211"/>
      <c r="AA991" s="84"/>
      <c r="AB991" s="146"/>
      <c r="AC991" s="211"/>
      <c r="AD991" s="211"/>
      <c r="AE991" s="211"/>
      <c r="AF991" s="84"/>
      <c r="AG991" s="146"/>
      <c r="AH991" s="211"/>
      <c r="AI991" s="211"/>
      <c r="AJ991" s="211"/>
      <c r="AK991" s="84"/>
      <c r="AL991" s="146"/>
      <c r="AM991" s="211"/>
      <c r="AN991" s="211"/>
      <c r="AO991" s="211"/>
      <c r="AP991" s="436"/>
      <c r="AQ991" s="146"/>
      <c r="AR991" s="211"/>
      <c r="AS991" s="211"/>
      <c r="AT991" s="211"/>
      <c r="AU991" s="84"/>
      <c r="AV991" s="211"/>
      <c r="AW991" s="211"/>
      <c r="AX991" s="211"/>
      <c r="AY991" s="211"/>
      <c r="AZ991" s="84"/>
      <c r="BA991" s="211"/>
      <c r="BB991" s="211"/>
      <c r="BC991" s="211"/>
      <c r="BD991" s="211"/>
      <c r="BE991" s="84"/>
      <c r="BF991" s="211"/>
      <c r="BG991" s="451"/>
    </row>
    <row r="992" spans="1:59" ht="12.75">
      <c r="A992" s="211"/>
      <c r="B992" s="449"/>
      <c r="C992" s="450"/>
      <c r="D992" s="211"/>
      <c r="E992" s="211"/>
      <c r="F992" s="211"/>
      <c r="G992" s="84"/>
      <c r="H992" s="211"/>
      <c r="I992" s="211"/>
      <c r="J992" s="211"/>
      <c r="K992" s="211"/>
      <c r="L992" s="84"/>
      <c r="M992" s="211"/>
      <c r="N992" s="211"/>
      <c r="O992" s="211"/>
      <c r="P992" s="211"/>
      <c r="Q992" s="84"/>
      <c r="R992" s="211"/>
      <c r="S992" s="211"/>
      <c r="T992" s="211"/>
      <c r="U992" s="211"/>
      <c r="V992" s="84"/>
      <c r="W992" s="211"/>
      <c r="X992" s="211"/>
      <c r="Y992" s="211"/>
      <c r="Z992" s="211"/>
      <c r="AA992" s="84"/>
      <c r="AB992" s="146"/>
      <c r="AC992" s="211"/>
      <c r="AD992" s="211"/>
      <c r="AE992" s="211"/>
      <c r="AF992" s="84"/>
      <c r="AG992" s="146"/>
      <c r="AH992" s="211"/>
      <c r="AI992" s="211"/>
      <c r="AJ992" s="211"/>
      <c r="AK992" s="84"/>
      <c r="AL992" s="146"/>
      <c r="AM992" s="211"/>
      <c r="AN992" s="211"/>
      <c r="AO992" s="211"/>
      <c r="AP992" s="436"/>
      <c r="AQ992" s="146"/>
      <c r="AR992" s="211"/>
      <c r="AS992" s="211"/>
      <c r="AT992" s="211"/>
      <c r="AU992" s="84"/>
      <c r="AV992" s="211"/>
      <c r="AW992" s="211"/>
      <c r="AX992" s="211"/>
      <c r="AY992" s="211"/>
      <c r="AZ992" s="84"/>
      <c r="BA992" s="211"/>
      <c r="BB992" s="211"/>
      <c r="BC992" s="211"/>
      <c r="BD992" s="211"/>
      <c r="BE992" s="84"/>
      <c r="BF992" s="211"/>
      <c r="BG992" s="451"/>
    </row>
    <row r="993" spans="1:59" ht="12.75">
      <c r="A993" s="211"/>
      <c r="B993" s="449"/>
      <c r="C993" s="450"/>
      <c r="D993" s="211"/>
      <c r="E993" s="211"/>
      <c r="F993" s="211"/>
      <c r="G993" s="84"/>
      <c r="H993" s="211"/>
      <c r="I993" s="211"/>
      <c r="J993" s="211"/>
      <c r="K993" s="211"/>
      <c r="L993" s="84"/>
      <c r="M993" s="211"/>
      <c r="N993" s="211"/>
      <c r="O993" s="211"/>
      <c r="P993" s="211"/>
      <c r="Q993" s="84"/>
      <c r="R993" s="211"/>
      <c r="S993" s="211"/>
      <c r="T993" s="211"/>
      <c r="U993" s="211"/>
      <c r="V993" s="84"/>
      <c r="W993" s="211"/>
      <c r="X993" s="211"/>
      <c r="Y993" s="211"/>
      <c r="Z993" s="211"/>
      <c r="AA993" s="84"/>
      <c r="AB993" s="146"/>
      <c r="AC993" s="211"/>
      <c r="AD993" s="211"/>
      <c r="AE993" s="211"/>
      <c r="AF993" s="84"/>
      <c r="AG993" s="146"/>
      <c r="AH993" s="211"/>
      <c r="AI993" s="211"/>
      <c r="AJ993" s="211"/>
      <c r="AK993" s="84"/>
      <c r="AL993" s="146"/>
      <c r="AM993" s="211"/>
      <c r="AN993" s="211"/>
      <c r="AO993" s="211"/>
      <c r="AP993" s="436"/>
      <c r="AQ993" s="146"/>
      <c r="AR993" s="211"/>
      <c r="AS993" s="211"/>
      <c r="AT993" s="211"/>
      <c r="AU993" s="84"/>
      <c r="AV993" s="211"/>
      <c r="AW993" s="211"/>
      <c r="AX993" s="211"/>
      <c r="AY993" s="211"/>
      <c r="AZ993" s="84"/>
      <c r="BA993" s="211"/>
      <c r="BB993" s="211"/>
      <c r="BC993" s="211"/>
      <c r="BD993" s="211"/>
      <c r="BE993" s="84"/>
      <c r="BF993" s="211"/>
      <c r="BG993" s="451"/>
    </row>
    <row r="994" spans="1:59" ht="12.75">
      <c r="A994" s="211"/>
      <c r="B994" s="449"/>
      <c r="C994" s="450"/>
      <c r="D994" s="211"/>
      <c r="E994" s="211"/>
      <c r="F994" s="211"/>
      <c r="G994" s="84"/>
      <c r="H994" s="211"/>
      <c r="I994" s="211"/>
      <c r="J994" s="211"/>
      <c r="K994" s="211"/>
      <c r="L994" s="84"/>
      <c r="M994" s="211"/>
      <c r="N994" s="211"/>
      <c r="O994" s="211"/>
      <c r="P994" s="211"/>
      <c r="Q994" s="84"/>
      <c r="R994" s="211"/>
      <c r="S994" s="211"/>
      <c r="T994" s="211"/>
      <c r="U994" s="211"/>
      <c r="V994" s="84"/>
      <c r="W994" s="211"/>
      <c r="X994" s="211"/>
      <c r="Y994" s="211"/>
      <c r="Z994" s="211"/>
      <c r="AA994" s="84"/>
      <c r="AB994" s="146"/>
      <c r="AC994" s="211"/>
      <c r="AD994" s="211"/>
      <c r="AE994" s="211"/>
      <c r="AF994" s="84"/>
      <c r="AG994" s="146"/>
      <c r="AH994" s="211"/>
      <c r="AI994" s="211"/>
      <c r="AJ994" s="211"/>
      <c r="AK994" s="84"/>
      <c r="AL994" s="146"/>
      <c r="AM994" s="211"/>
      <c r="AN994" s="211"/>
      <c r="AO994" s="211"/>
      <c r="AP994" s="436"/>
      <c r="AQ994" s="146"/>
      <c r="AR994" s="211"/>
      <c r="AS994" s="211"/>
      <c r="AT994" s="211"/>
      <c r="AU994" s="84"/>
      <c r="AV994" s="211"/>
      <c r="AW994" s="211"/>
      <c r="AX994" s="211"/>
      <c r="AY994" s="211"/>
      <c r="AZ994" s="84"/>
      <c r="BA994" s="211"/>
      <c r="BB994" s="211"/>
      <c r="BC994" s="211"/>
      <c r="BD994" s="211"/>
      <c r="BE994" s="84"/>
      <c r="BF994" s="211"/>
      <c r="BG994" s="451"/>
    </row>
    <row r="995" spans="1:59" ht="12.75">
      <c r="A995" s="211"/>
      <c r="B995" s="449"/>
      <c r="C995" s="450"/>
      <c r="D995" s="211"/>
      <c r="E995" s="211"/>
      <c r="F995" s="211"/>
      <c r="G995" s="84"/>
      <c r="H995" s="211"/>
      <c r="I995" s="211"/>
      <c r="J995" s="211"/>
      <c r="K995" s="211"/>
      <c r="L995" s="84"/>
      <c r="M995" s="211"/>
      <c r="N995" s="211"/>
      <c r="O995" s="211"/>
      <c r="P995" s="211"/>
      <c r="Q995" s="84"/>
      <c r="R995" s="211"/>
      <c r="S995" s="211"/>
      <c r="T995" s="211"/>
      <c r="U995" s="211"/>
      <c r="V995" s="84"/>
      <c r="W995" s="211"/>
      <c r="X995" s="211"/>
      <c r="Y995" s="211"/>
      <c r="Z995" s="211"/>
      <c r="AA995" s="84"/>
      <c r="AB995" s="146"/>
      <c r="AC995" s="211"/>
      <c r="AD995" s="211"/>
      <c r="AE995" s="211"/>
      <c r="AF995" s="84"/>
      <c r="AG995" s="146"/>
      <c r="AH995" s="211"/>
      <c r="AI995" s="211"/>
      <c r="AJ995" s="211"/>
      <c r="AK995" s="84"/>
      <c r="AL995" s="146"/>
      <c r="AM995" s="211"/>
      <c r="AN995" s="211"/>
      <c r="AO995" s="211"/>
      <c r="AP995" s="436"/>
      <c r="AQ995" s="146"/>
      <c r="AR995" s="211"/>
      <c r="AS995" s="211"/>
      <c r="AT995" s="211"/>
      <c r="AU995" s="84"/>
      <c r="AV995" s="211"/>
      <c r="AW995" s="211"/>
      <c r="AX995" s="211"/>
      <c r="AY995" s="211"/>
      <c r="AZ995" s="84"/>
      <c r="BA995" s="211"/>
      <c r="BB995" s="211"/>
      <c r="BC995" s="211"/>
      <c r="BD995" s="211"/>
      <c r="BE995" s="84"/>
      <c r="BF995" s="211"/>
      <c r="BG995" s="451"/>
    </row>
    <row r="996" spans="1:59" ht="12.75">
      <c r="A996" s="211"/>
      <c r="B996" s="449"/>
      <c r="C996" s="450"/>
      <c r="D996" s="211"/>
      <c r="E996" s="211"/>
      <c r="F996" s="211"/>
      <c r="G996" s="84"/>
      <c r="H996" s="211"/>
      <c r="I996" s="211"/>
      <c r="J996" s="211"/>
      <c r="K996" s="211"/>
      <c r="L996" s="84"/>
      <c r="M996" s="211"/>
      <c r="N996" s="211"/>
      <c r="O996" s="211"/>
      <c r="P996" s="211"/>
      <c r="Q996" s="84"/>
      <c r="R996" s="211"/>
      <c r="S996" s="211"/>
      <c r="T996" s="211"/>
      <c r="U996" s="211"/>
      <c r="V996" s="84"/>
      <c r="W996" s="211"/>
      <c r="X996" s="211"/>
      <c r="Y996" s="211"/>
      <c r="Z996" s="211"/>
      <c r="AA996" s="84"/>
      <c r="AB996" s="146"/>
      <c r="AC996" s="211"/>
      <c r="AD996" s="211"/>
      <c r="AE996" s="211"/>
      <c r="AF996" s="84"/>
      <c r="AG996" s="146"/>
      <c r="AH996" s="211"/>
      <c r="AI996" s="211"/>
      <c r="AJ996" s="211"/>
      <c r="AK996" s="84"/>
      <c r="AL996" s="146"/>
      <c r="AM996" s="211"/>
      <c r="AN996" s="211"/>
      <c r="AO996" s="211"/>
      <c r="AP996" s="436"/>
      <c r="AQ996" s="146"/>
      <c r="AR996" s="211"/>
      <c r="AS996" s="211"/>
      <c r="AT996" s="211"/>
      <c r="AU996" s="84"/>
      <c r="AV996" s="211"/>
      <c r="AW996" s="211"/>
      <c r="AX996" s="211"/>
      <c r="AY996" s="211"/>
      <c r="AZ996" s="84"/>
      <c r="BA996" s="211"/>
      <c r="BB996" s="211"/>
      <c r="BC996" s="211"/>
      <c r="BD996" s="211"/>
      <c r="BE996" s="84"/>
      <c r="BF996" s="211"/>
      <c r="BG996" s="451"/>
    </row>
    <row r="997" spans="1:59" ht="12.75">
      <c r="A997" s="211"/>
      <c r="B997" s="449"/>
      <c r="C997" s="450"/>
      <c r="D997" s="211"/>
      <c r="E997" s="211"/>
      <c r="F997" s="211"/>
      <c r="G997" s="84"/>
      <c r="H997" s="211"/>
      <c r="I997" s="211"/>
      <c r="J997" s="211"/>
      <c r="K997" s="211"/>
      <c r="L997" s="84"/>
      <c r="M997" s="211"/>
      <c r="N997" s="211"/>
      <c r="O997" s="211"/>
      <c r="P997" s="211"/>
      <c r="Q997" s="84"/>
      <c r="R997" s="211"/>
      <c r="S997" s="211"/>
      <c r="T997" s="211"/>
      <c r="U997" s="211"/>
      <c r="V997" s="84"/>
      <c r="W997" s="211"/>
      <c r="X997" s="211"/>
      <c r="Y997" s="211"/>
      <c r="Z997" s="211"/>
      <c r="AA997" s="84"/>
      <c r="AB997" s="146"/>
      <c r="AC997" s="211"/>
      <c r="AD997" s="211"/>
      <c r="AE997" s="211"/>
      <c r="AF997" s="84"/>
      <c r="AG997" s="146"/>
      <c r="AH997" s="211"/>
      <c r="AI997" s="211"/>
      <c r="AJ997" s="211"/>
      <c r="AK997" s="84"/>
      <c r="AL997" s="146"/>
      <c r="AM997" s="211"/>
      <c r="AN997" s="211"/>
      <c r="AO997" s="211"/>
      <c r="AP997" s="436"/>
      <c r="AQ997" s="146"/>
      <c r="AR997" s="211"/>
      <c r="AS997" s="211"/>
      <c r="AT997" s="211"/>
      <c r="AU997" s="84"/>
      <c r="AV997" s="211"/>
      <c r="AW997" s="211"/>
      <c r="AX997" s="211"/>
      <c r="AY997" s="211"/>
      <c r="AZ997" s="84"/>
      <c r="BA997" s="211"/>
      <c r="BB997" s="211"/>
      <c r="BC997" s="211"/>
      <c r="BD997" s="211"/>
      <c r="BE997" s="84"/>
      <c r="BF997" s="211"/>
      <c r="BG997" s="451"/>
    </row>
    <row r="998" spans="1:59" ht="12.75">
      <c r="A998" s="211"/>
      <c r="B998" s="449"/>
      <c r="C998" s="450"/>
      <c r="D998" s="211"/>
      <c r="E998" s="211"/>
      <c r="F998" s="211"/>
      <c r="G998" s="84"/>
      <c r="H998" s="211"/>
      <c r="I998" s="211"/>
      <c r="J998" s="211"/>
      <c r="K998" s="211"/>
      <c r="L998" s="84"/>
      <c r="M998" s="211"/>
      <c r="N998" s="211"/>
      <c r="O998" s="211"/>
      <c r="P998" s="211"/>
      <c r="Q998" s="84"/>
      <c r="R998" s="211"/>
      <c r="S998" s="211"/>
      <c r="T998" s="211"/>
      <c r="U998" s="211"/>
      <c r="V998" s="84"/>
      <c r="W998" s="211"/>
      <c r="X998" s="211"/>
      <c r="Y998" s="211"/>
      <c r="Z998" s="211"/>
      <c r="AA998" s="84"/>
      <c r="AB998" s="146"/>
      <c r="AC998" s="211"/>
      <c r="AD998" s="211"/>
      <c r="AE998" s="211"/>
      <c r="AF998" s="84"/>
      <c r="AG998" s="146"/>
      <c r="AH998" s="211"/>
      <c r="AI998" s="211"/>
      <c r="AJ998" s="211"/>
      <c r="AK998" s="84"/>
      <c r="AL998" s="146"/>
      <c r="AM998" s="211"/>
      <c r="AN998" s="211"/>
      <c r="AO998" s="211"/>
      <c r="AP998" s="436"/>
      <c r="AQ998" s="146"/>
      <c r="AR998" s="211"/>
      <c r="AS998" s="211"/>
      <c r="AT998" s="211"/>
      <c r="AU998" s="84"/>
      <c r="AV998" s="211"/>
      <c r="AW998" s="211"/>
      <c r="AX998" s="211"/>
      <c r="AY998" s="211"/>
      <c r="AZ998" s="84"/>
      <c r="BA998" s="211"/>
      <c r="BB998" s="211"/>
      <c r="BC998" s="211"/>
      <c r="BD998" s="211"/>
      <c r="BE998" s="84"/>
      <c r="BF998" s="211"/>
      <c r="BG998" s="451"/>
    </row>
    <row r="999" spans="1:59" ht="12.75">
      <c r="A999" s="211"/>
      <c r="B999" s="449"/>
      <c r="C999" s="450"/>
      <c r="D999" s="211"/>
      <c r="E999" s="211"/>
      <c r="F999" s="211"/>
      <c r="G999" s="84"/>
      <c r="H999" s="211"/>
      <c r="I999" s="211"/>
      <c r="J999" s="211"/>
      <c r="K999" s="211"/>
      <c r="L999" s="84"/>
      <c r="M999" s="211"/>
      <c r="N999" s="211"/>
      <c r="O999" s="211"/>
      <c r="P999" s="211"/>
      <c r="Q999" s="84"/>
      <c r="R999" s="211"/>
      <c r="S999" s="211"/>
      <c r="T999" s="211"/>
      <c r="U999" s="211"/>
      <c r="V999" s="84"/>
      <c r="W999" s="211"/>
      <c r="X999" s="211"/>
      <c r="Y999" s="211"/>
      <c r="Z999" s="211"/>
      <c r="AA999" s="84"/>
      <c r="AB999" s="146"/>
      <c r="AC999" s="211"/>
      <c r="AD999" s="211"/>
      <c r="AE999" s="211"/>
      <c r="AF999" s="84"/>
      <c r="AG999" s="146"/>
      <c r="AH999" s="211"/>
      <c r="AI999" s="211"/>
      <c r="AJ999" s="211"/>
      <c r="AK999" s="84"/>
      <c r="AL999" s="146"/>
      <c r="AM999" s="211"/>
      <c r="AN999" s="211"/>
      <c r="AO999" s="211"/>
      <c r="AP999" s="436"/>
      <c r="AQ999" s="146"/>
      <c r="AR999" s="211"/>
      <c r="AS999" s="211"/>
      <c r="AT999" s="211"/>
      <c r="AU999" s="84"/>
      <c r="AV999" s="211"/>
      <c r="AW999" s="211"/>
      <c r="AX999" s="211"/>
      <c r="AY999" s="211"/>
      <c r="AZ999" s="84"/>
      <c r="BA999" s="211"/>
      <c r="BB999" s="211"/>
      <c r="BC999" s="211"/>
      <c r="BD999" s="211"/>
      <c r="BE999" s="84"/>
      <c r="BF999" s="211"/>
      <c r="BG999" s="451"/>
    </row>
    <row r="1000" spans="1:59" ht="12.75">
      <c r="A1000" s="211"/>
      <c r="B1000" s="449"/>
      <c r="C1000" s="450"/>
      <c r="D1000" s="211"/>
      <c r="E1000" s="211"/>
      <c r="F1000" s="211"/>
      <c r="G1000" s="84"/>
      <c r="H1000" s="211"/>
      <c r="I1000" s="211"/>
      <c r="J1000" s="211"/>
      <c r="K1000" s="211"/>
      <c r="L1000" s="84"/>
      <c r="M1000" s="211"/>
      <c r="N1000" s="211"/>
      <c r="O1000" s="211"/>
      <c r="P1000" s="211"/>
      <c r="Q1000" s="84"/>
      <c r="R1000" s="211"/>
      <c r="S1000" s="211"/>
      <c r="T1000" s="211"/>
      <c r="U1000" s="211"/>
      <c r="V1000" s="84"/>
      <c r="W1000" s="211"/>
      <c r="X1000" s="211"/>
      <c r="Y1000" s="211"/>
      <c r="Z1000" s="211"/>
      <c r="AA1000" s="84"/>
      <c r="AB1000" s="146"/>
      <c r="AC1000" s="211"/>
      <c r="AD1000" s="211"/>
      <c r="AE1000" s="211"/>
      <c r="AF1000" s="84"/>
      <c r="AG1000" s="146"/>
      <c r="AH1000" s="211"/>
      <c r="AI1000" s="211"/>
      <c r="AJ1000" s="211"/>
      <c r="AK1000" s="84"/>
      <c r="AL1000" s="146"/>
      <c r="AM1000" s="211"/>
      <c r="AN1000" s="211"/>
      <c r="AO1000" s="211"/>
      <c r="AP1000" s="436"/>
      <c r="AQ1000" s="146"/>
      <c r="AR1000" s="211"/>
      <c r="AS1000" s="211"/>
      <c r="AT1000" s="211"/>
      <c r="AU1000" s="84"/>
      <c r="AV1000" s="211"/>
      <c r="AW1000" s="211"/>
      <c r="AX1000" s="211"/>
      <c r="AY1000" s="211"/>
      <c r="AZ1000" s="84"/>
      <c r="BA1000" s="211"/>
      <c r="BB1000" s="211"/>
      <c r="BC1000" s="211"/>
      <c r="BD1000" s="211"/>
      <c r="BE1000" s="84"/>
      <c r="BF1000" s="211"/>
      <c r="BG1000" s="451"/>
    </row>
    <row r="1001" spans="1:59" ht="12.75">
      <c r="A1001" s="211"/>
      <c r="B1001" s="449"/>
      <c r="C1001" s="450"/>
      <c r="D1001" s="211"/>
      <c r="E1001" s="211"/>
      <c r="F1001" s="211"/>
      <c r="G1001" s="84"/>
      <c r="H1001" s="211"/>
      <c r="I1001" s="211"/>
      <c r="J1001" s="211"/>
      <c r="K1001" s="211"/>
      <c r="L1001" s="84"/>
      <c r="M1001" s="211"/>
      <c r="N1001" s="211"/>
      <c r="O1001" s="211"/>
      <c r="P1001" s="211"/>
      <c r="Q1001" s="84"/>
      <c r="R1001" s="211"/>
      <c r="S1001" s="211"/>
      <c r="T1001" s="211"/>
      <c r="U1001" s="211"/>
      <c r="V1001" s="84"/>
      <c r="W1001" s="211"/>
      <c r="X1001" s="211"/>
      <c r="Y1001" s="211"/>
      <c r="Z1001" s="211"/>
      <c r="AA1001" s="84"/>
      <c r="AB1001" s="146"/>
      <c r="AC1001" s="211"/>
      <c r="AD1001" s="211"/>
      <c r="AE1001" s="211"/>
      <c r="AF1001" s="84"/>
      <c r="AG1001" s="146"/>
      <c r="AH1001" s="211"/>
      <c r="AI1001" s="211"/>
      <c r="AJ1001" s="211"/>
      <c r="AK1001" s="84"/>
      <c r="AL1001" s="146"/>
      <c r="AM1001" s="211"/>
      <c r="AN1001" s="211"/>
      <c r="AO1001" s="211"/>
      <c r="AP1001" s="436"/>
      <c r="AQ1001" s="146"/>
      <c r="AR1001" s="211"/>
      <c r="AS1001" s="211"/>
      <c r="AT1001" s="211"/>
      <c r="AU1001" s="84"/>
      <c r="AV1001" s="211"/>
      <c r="AW1001" s="211"/>
      <c r="AX1001" s="211"/>
      <c r="AY1001" s="211"/>
      <c r="AZ1001" s="84"/>
      <c r="BA1001" s="211"/>
      <c r="BB1001" s="211"/>
      <c r="BC1001" s="211"/>
      <c r="BD1001" s="211"/>
      <c r="BE1001" s="84"/>
      <c r="BF1001" s="211"/>
      <c r="BG1001" s="451"/>
    </row>
    <row r="1002" spans="1:59" ht="12.75">
      <c r="A1002" s="211"/>
      <c r="B1002" s="449"/>
      <c r="C1002" s="450"/>
      <c r="D1002" s="211"/>
      <c r="E1002" s="211"/>
      <c r="F1002" s="211"/>
      <c r="G1002" s="84"/>
      <c r="H1002" s="211"/>
      <c r="I1002" s="211"/>
      <c r="J1002" s="211"/>
      <c r="K1002" s="211"/>
      <c r="L1002" s="84"/>
      <c r="M1002" s="211"/>
      <c r="N1002" s="211"/>
      <c r="O1002" s="211"/>
      <c r="P1002" s="211"/>
      <c r="Q1002" s="84"/>
      <c r="R1002" s="211"/>
      <c r="S1002" s="211"/>
      <c r="T1002" s="211"/>
      <c r="U1002" s="211"/>
      <c r="V1002" s="84"/>
      <c r="W1002" s="211"/>
      <c r="X1002" s="211"/>
      <c r="Y1002" s="211"/>
      <c r="Z1002" s="211"/>
      <c r="AA1002" s="84"/>
      <c r="AB1002" s="146"/>
      <c r="AC1002" s="211"/>
      <c r="AD1002" s="211"/>
      <c r="AE1002" s="211"/>
      <c r="AF1002" s="84"/>
      <c r="AG1002" s="146"/>
      <c r="AH1002" s="211"/>
      <c r="AI1002" s="211"/>
      <c r="AJ1002" s="211"/>
      <c r="AK1002" s="84"/>
      <c r="AL1002" s="146"/>
      <c r="AM1002" s="211"/>
      <c r="AN1002" s="211"/>
      <c r="AO1002" s="211"/>
      <c r="AP1002" s="436"/>
      <c r="AQ1002" s="146"/>
      <c r="AR1002" s="211"/>
      <c r="AS1002" s="211"/>
      <c r="AT1002" s="211"/>
      <c r="AU1002" s="84"/>
      <c r="AV1002" s="211"/>
      <c r="AW1002" s="211"/>
      <c r="AX1002" s="211"/>
      <c r="AY1002" s="211"/>
      <c r="AZ1002" s="84"/>
      <c r="BA1002" s="211"/>
      <c r="BB1002" s="211"/>
      <c r="BC1002" s="211"/>
      <c r="BD1002" s="211"/>
      <c r="BE1002" s="84"/>
      <c r="BF1002" s="211"/>
      <c r="BG1002" s="451"/>
    </row>
    <row r="1003" spans="1:59" ht="12.75">
      <c r="A1003" s="211"/>
      <c r="B1003" s="449"/>
      <c r="C1003" s="450"/>
      <c r="D1003" s="211"/>
      <c r="E1003" s="211"/>
      <c r="F1003" s="211"/>
      <c r="G1003" s="84"/>
      <c r="H1003" s="211"/>
      <c r="I1003" s="211"/>
      <c r="J1003" s="211"/>
      <c r="K1003" s="211"/>
      <c r="L1003" s="84"/>
      <c r="M1003" s="211"/>
      <c r="N1003" s="211"/>
      <c r="O1003" s="211"/>
      <c r="P1003" s="211"/>
      <c r="Q1003" s="84"/>
      <c r="R1003" s="211"/>
      <c r="S1003" s="211"/>
      <c r="T1003" s="211"/>
      <c r="U1003" s="211"/>
      <c r="V1003" s="84"/>
      <c r="W1003" s="211"/>
      <c r="X1003" s="211"/>
      <c r="Y1003" s="211"/>
      <c r="Z1003" s="211"/>
      <c r="AA1003" s="84"/>
      <c r="AB1003" s="146"/>
      <c r="AC1003" s="211"/>
      <c r="AD1003" s="211"/>
      <c r="AE1003" s="211"/>
      <c r="AF1003" s="84"/>
      <c r="AG1003" s="146"/>
      <c r="AH1003" s="211"/>
      <c r="AI1003" s="211"/>
      <c r="AJ1003" s="211"/>
      <c r="AK1003" s="84"/>
      <c r="AL1003" s="146"/>
      <c r="AM1003" s="211"/>
      <c r="AN1003" s="211"/>
      <c r="AO1003" s="211"/>
      <c r="AP1003" s="436"/>
      <c r="AQ1003" s="146"/>
      <c r="AR1003" s="211"/>
      <c r="AS1003" s="211"/>
      <c r="AT1003" s="211"/>
      <c r="AU1003" s="84"/>
      <c r="AV1003" s="211"/>
      <c r="AW1003" s="211"/>
      <c r="AX1003" s="211"/>
      <c r="AY1003" s="211"/>
      <c r="AZ1003" s="84"/>
      <c r="BA1003" s="211"/>
      <c r="BB1003" s="211"/>
      <c r="BC1003" s="211"/>
      <c r="BD1003" s="211"/>
      <c r="BE1003" s="84"/>
      <c r="BF1003" s="211"/>
      <c r="BG1003" s="451"/>
    </row>
    <row r="1004" spans="1:59" ht="12.75">
      <c r="A1004" s="211"/>
      <c r="B1004" s="449"/>
      <c r="C1004" s="450"/>
      <c r="D1004" s="211"/>
      <c r="E1004" s="211"/>
      <c r="F1004" s="211"/>
      <c r="G1004" s="84"/>
      <c r="H1004" s="211"/>
      <c r="I1004" s="211"/>
      <c r="J1004" s="211"/>
      <c r="K1004" s="211"/>
      <c r="L1004" s="84"/>
      <c r="M1004" s="211"/>
      <c r="N1004" s="211"/>
      <c r="O1004" s="211"/>
      <c r="P1004" s="211"/>
      <c r="Q1004" s="84"/>
      <c r="R1004" s="211"/>
      <c r="S1004" s="211"/>
      <c r="T1004" s="211"/>
      <c r="U1004" s="211"/>
      <c r="V1004" s="84"/>
      <c r="W1004" s="211"/>
      <c r="X1004" s="211"/>
      <c r="Y1004" s="211"/>
      <c r="Z1004" s="211"/>
      <c r="AA1004" s="84"/>
      <c r="AB1004" s="146"/>
      <c r="AC1004" s="211"/>
      <c r="AD1004" s="211"/>
      <c r="AE1004" s="211"/>
      <c r="AF1004" s="84"/>
      <c r="AG1004" s="146"/>
      <c r="AH1004" s="211"/>
      <c r="AI1004" s="211"/>
      <c r="AJ1004" s="211"/>
      <c r="AK1004" s="84"/>
      <c r="AL1004" s="146"/>
      <c r="AM1004" s="211"/>
      <c r="AN1004" s="211"/>
      <c r="AO1004" s="211"/>
      <c r="AP1004" s="436"/>
      <c r="AQ1004" s="146"/>
      <c r="AR1004" s="211"/>
      <c r="AS1004" s="211"/>
      <c r="AT1004" s="211"/>
      <c r="AU1004" s="84"/>
      <c r="AV1004" s="211"/>
      <c r="AW1004" s="211"/>
      <c r="AX1004" s="211"/>
      <c r="AY1004" s="211"/>
      <c r="AZ1004" s="84"/>
      <c r="BA1004" s="211"/>
      <c r="BB1004" s="211"/>
      <c r="BC1004" s="211"/>
      <c r="BD1004" s="211"/>
      <c r="BE1004" s="84"/>
      <c r="BF1004" s="211"/>
      <c r="BG1004" s="451"/>
    </row>
    <row r="1005" spans="1:59" ht="12.75">
      <c r="A1005" s="211"/>
      <c r="B1005" s="449"/>
      <c r="C1005" s="450"/>
      <c r="D1005" s="211"/>
      <c r="E1005" s="211"/>
      <c r="F1005" s="211"/>
      <c r="G1005" s="84"/>
      <c r="H1005" s="211"/>
      <c r="I1005" s="211"/>
      <c r="J1005" s="211"/>
      <c r="K1005" s="211"/>
      <c r="L1005" s="84"/>
      <c r="M1005" s="211"/>
      <c r="N1005" s="211"/>
      <c r="O1005" s="211"/>
      <c r="P1005" s="211"/>
      <c r="Q1005" s="84"/>
      <c r="R1005" s="211"/>
      <c r="S1005" s="211"/>
      <c r="T1005" s="211"/>
      <c r="U1005" s="211"/>
      <c r="V1005" s="84"/>
      <c r="W1005" s="211"/>
      <c r="X1005" s="211"/>
      <c r="Y1005" s="211"/>
      <c r="Z1005" s="211"/>
      <c r="AA1005" s="84"/>
      <c r="AB1005" s="146"/>
      <c r="AC1005" s="211"/>
      <c r="AD1005" s="211"/>
      <c r="AE1005" s="211"/>
      <c r="AF1005" s="84"/>
      <c r="AG1005" s="146"/>
      <c r="AH1005" s="211"/>
      <c r="AI1005" s="211"/>
      <c r="AJ1005" s="211"/>
      <c r="AK1005" s="84"/>
      <c r="AL1005" s="146"/>
      <c r="AM1005" s="211"/>
      <c r="AN1005" s="211"/>
      <c r="AO1005" s="211"/>
      <c r="AP1005" s="436"/>
      <c r="AQ1005" s="146"/>
      <c r="AR1005" s="211"/>
      <c r="AS1005" s="211"/>
      <c r="AT1005" s="211"/>
      <c r="AU1005" s="84"/>
      <c r="AV1005" s="211"/>
      <c r="AW1005" s="211"/>
      <c r="AX1005" s="211"/>
      <c r="AY1005" s="211"/>
      <c r="AZ1005" s="84"/>
      <c r="BA1005" s="211"/>
      <c r="BB1005" s="211"/>
      <c r="BC1005" s="211"/>
      <c r="BD1005" s="211"/>
      <c r="BE1005" s="84"/>
      <c r="BF1005" s="211"/>
      <c r="BG1005" s="451"/>
    </row>
    <row r="1006" spans="1:59" ht="12.75">
      <c r="A1006" s="211"/>
      <c r="B1006" s="449"/>
      <c r="C1006" s="450"/>
      <c r="D1006" s="211"/>
      <c r="E1006" s="211"/>
      <c r="F1006" s="211"/>
      <c r="G1006" s="84"/>
      <c r="H1006" s="211"/>
      <c r="I1006" s="211"/>
      <c r="J1006" s="211"/>
      <c r="K1006" s="211"/>
      <c r="L1006" s="84"/>
      <c r="M1006" s="211"/>
      <c r="N1006" s="211"/>
      <c r="O1006" s="211"/>
      <c r="P1006" s="211"/>
      <c r="Q1006" s="84"/>
      <c r="R1006" s="211"/>
      <c r="S1006" s="211"/>
      <c r="T1006" s="211"/>
      <c r="U1006" s="211"/>
      <c r="V1006" s="84"/>
      <c r="W1006" s="211"/>
      <c r="X1006" s="211"/>
      <c r="Y1006" s="211"/>
      <c r="Z1006" s="211"/>
      <c r="AA1006" s="84"/>
      <c r="AB1006" s="146"/>
      <c r="AC1006" s="211"/>
      <c r="AD1006" s="211"/>
      <c r="AE1006" s="211"/>
      <c r="AF1006" s="84"/>
      <c r="AG1006" s="146"/>
      <c r="AH1006" s="211"/>
      <c r="AI1006" s="211"/>
      <c r="AJ1006" s="211"/>
      <c r="AK1006" s="84"/>
      <c r="AL1006" s="146"/>
      <c r="AM1006" s="211"/>
      <c r="AN1006" s="211"/>
      <c r="AO1006" s="211"/>
      <c r="AP1006" s="436"/>
      <c r="AQ1006" s="146"/>
      <c r="AR1006" s="211"/>
      <c r="AS1006" s="211"/>
      <c r="AT1006" s="211"/>
      <c r="AU1006" s="84"/>
      <c r="AV1006" s="211"/>
      <c r="AW1006" s="211"/>
      <c r="AX1006" s="211"/>
      <c r="AY1006" s="211"/>
      <c r="AZ1006" s="84"/>
      <c r="BA1006" s="211"/>
      <c r="BB1006" s="211"/>
      <c r="BC1006" s="211"/>
      <c r="BD1006" s="211"/>
      <c r="BE1006" s="84"/>
      <c r="BF1006" s="211"/>
      <c r="BG1006" s="451"/>
    </row>
    <row r="1007" spans="1:59" ht="12.75">
      <c r="A1007" s="211"/>
      <c r="B1007" s="449"/>
      <c r="C1007" s="450"/>
      <c r="D1007" s="211"/>
      <c r="E1007" s="211"/>
      <c r="F1007" s="211"/>
      <c r="G1007" s="84"/>
      <c r="H1007" s="211"/>
      <c r="I1007" s="211"/>
      <c r="J1007" s="211"/>
      <c r="K1007" s="211"/>
      <c r="L1007" s="84"/>
      <c r="M1007" s="211"/>
      <c r="N1007" s="211"/>
      <c r="O1007" s="211"/>
      <c r="P1007" s="211"/>
      <c r="Q1007" s="84"/>
      <c r="R1007" s="211"/>
      <c r="S1007" s="211"/>
      <c r="T1007" s="211"/>
      <c r="U1007" s="211"/>
      <c r="V1007" s="84"/>
      <c r="W1007" s="211"/>
      <c r="X1007" s="211"/>
      <c r="Y1007" s="211"/>
      <c r="Z1007" s="211"/>
      <c r="AA1007" s="84"/>
      <c r="AB1007" s="146"/>
      <c r="AC1007" s="211"/>
      <c r="AD1007" s="211"/>
      <c r="AE1007" s="211"/>
      <c r="AF1007" s="84"/>
      <c r="AG1007" s="146"/>
      <c r="AH1007" s="211"/>
      <c r="AI1007" s="211"/>
      <c r="AJ1007" s="211"/>
      <c r="AK1007" s="84"/>
      <c r="AL1007" s="146"/>
      <c r="AM1007" s="211"/>
      <c r="AN1007" s="211"/>
      <c r="AO1007" s="211"/>
      <c r="AP1007" s="436"/>
      <c r="AQ1007" s="146"/>
      <c r="AR1007" s="211"/>
      <c r="AS1007" s="211"/>
      <c r="AT1007" s="211"/>
      <c r="AU1007" s="84"/>
      <c r="AV1007" s="211"/>
      <c r="AW1007" s="211"/>
      <c r="AX1007" s="211"/>
      <c r="AY1007" s="211"/>
      <c r="AZ1007" s="84"/>
      <c r="BA1007" s="211"/>
      <c r="BB1007" s="211"/>
      <c r="BC1007" s="211"/>
      <c r="BD1007" s="211"/>
      <c r="BE1007" s="84"/>
      <c r="BF1007" s="211"/>
      <c r="BG1007" s="451"/>
    </row>
    <row r="1008" spans="1:59" ht="12.75">
      <c r="A1008" s="211"/>
      <c r="B1008" s="449"/>
      <c r="C1008" s="450"/>
      <c r="D1008" s="211"/>
      <c r="E1008" s="211"/>
      <c r="F1008" s="211"/>
      <c r="G1008" s="84"/>
      <c r="H1008" s="211"/>
      <c r="I1008" s="211"/>
      <c r="J1008" s="211"/>
      <c r="K1008" s="211"/>
      <c r="L1008" s="84"/>
      <c r="M1008" s="211"/>
      <c r="N1008" s="211"/>
      <c r="O1008" s="211"/>
      <c r="P1008" s="211"/>
      <c r="Q1008" s="84"/>
      <c r="R1008" s="211"/>
      <c r="S1008" s="211"/>
      <c r="T1008" s="211"/>
      <c r="U1008" s="211"/>
      <c r="V1008" s="84"/>
      <c r="W1008" s="211"/>
      <c r="X1008" s="211"/>
      <c r="Y1008" s="211"/>
      <c r="Z1008" s="211"/>
      <c r="AA1008" s="84"/>
      <c r="AB1008" s="146"/>
      <c r="AC1008" s="211"/>
      <c r="AD1008" s="211"/>
      <c r="AE1008" s="211"/>
      <c r="AF1008" s="84"/>
      <c r="AG1008" s="146"/>
      <c r="AH1008" s="211"/>
      <c r="AI1008" s="211"/>
      <c r="AJ1008" s="211"/>
      <c r="AK1008" s="84"/>
      <c r="AL1008" s="146"/>
      <c r="AM1008" s="211"/>
      <c r="AN1008" s="211"/>
      <c r="AO1008" s="211"/>
      <c r="AP1008" s="436"/>
      <c r="AQ1008" s="146"/>
      <c r="AR1008" s="211"/>
      <c r="AS1008" s="211"/>
      <c r="AT1008" s="211"/>
      <c r="AU1008" s="84"/>
      <c r="AV1008" s="211"/>
      <c r="AW1008" s="211"/>
      <c r="AX1008" s="211"/>
      <c r="AY1008" s="211"/>
      <c r="AZ1008" s="84"/>
      <c r="BA1008" s="211"/>
      <c r="BB1008" s="211"/>
      <c r="BC1008" s="211"/>
      <c r="BD1008" s="211"/>
      <c r="BE1008" s="84"/>
      <c r="BF1008" s="211"/>
      <c r="BG1008" s="451"/>
    </row>
    <row r="1009" spans="1:59" ht="12.75">
      <c r="A1009" s="211"/>
      <c r="B1009" s="449"/>
      <c r="C1009" s="450"/>
      <c r="D1009" s="211"/>
      <c r="E1009" s="211"/>
      <c r="F1009" s="211"/>
      <c r="G1009" s="84"/>
      <c r="H1009" s="211"/>
      <c r="I1009" s="211"/>
      <c r="J1009" s="211"/>
      <c r="K1009" s="211"/>
      <c r="L1009" s="84"/>
      <c r="M1009" s="211"/>
      <c r="N1009" s="211"/>
      <c r="O1009" s="211"/>
      <c r="P1009" s="211"/>
      <c r="Q1009" s="84"/>
      <c r="R1009" s="211"/>
      <c r="S1009" s="211"/>
      <c r="T1009" s="211"/>
      <c r="U1009" s="211"/>
      <c r="V1009" s="84"/>
      <c r="W1009" s="211"/>
      <c r="X1009" s="211"/>
      <c r="Y1009" s="211"/>
      <c r="Z1009" s="211"/>
      <c r="AA1009" s="84"/>
      <c r="AB1009" s="146"/>
      <c r="AC1009" s="211"/>
      <c r="AD1009" s="211"/>
      <c r="AE1009" s="211"/>
      <c r="AF1009" s="84"/>
      <c r="AG1009" s="146"/>
      <c r="AH1009" s="211"/>
      <c r="AI1009" s="211"/>
      <c r="AJ1009" s="211"/>
      <c r="AK1009" s="84"/>
      <c r="AL1009" s="146"/>
      <c r="AM1009" s="211"/>
      <c r="AN1009" s="211"/>
      <c r="AO1009" s="211"/>
      <c r="AP1009" s="436"/>
      <c r="AQ1009" s="146"/>
      <c r="AR1009" s="211"/>
      <c r="AS1009" s="211"/>
      <c r="AT1009" s="211"/>
      <c r="AU1009" s="84"/>
      <c r="AV1009" s="211"/>
      <c r="AW1009" s="211"/>
      <c r="AX1009" s="211"/>
      <c r="AY1009" s="211"/>
      <c r="AZ1009" s="84"/>
      <c r="BA1009" s="211"/>
      <c r="BB1009" s="211"/>
      <c r="BC1009" s="211"/>
      <c r="BD1009" s="211"/>
      <c r="BE1009" s="84"/>
      <c r="BF1009" s="211"/>
      <c r="BG1009" s="451"/>
    </row>
    <row r="1010" spans="1:59" ht="12.75">
      <c r="A1010" s="211"/>
      <c r="B1010" s="449"/>
      <c r="C1010" s="450"/>
      <c r="D1010" s="211"/>
      <c r="E1010" s="211"/>
      <c r="F1010" s="211"/>
      <c r="G1010" s="84"/>
      <c r="H1010" s="211"/>
      <c r="I1010" s="211"/>
      <c r="J1010" s="211"/>
      <c r="K1010" s="211"/>
      <c r="L1010" s="84"/>
      <c r="M1010" s="211"/>
      <c r="N1010" s="211"/>
      <c r="O1010" s="211"/>
      <c r="P1010" s="211"/>
      <c r="Q1010" s="84"/>
      <c r="R1010" s="211"/>
      <c r="S1010" s="211"/>
      <c r="T1010" s="211"/>
      <c r="U1010" s="211"/>
      <c r="V1010" s="84"/>
      <c r="W1010" s="211"/>
      <c r="X1010" s="211"/>
      <c r="Y1010" s="211"/>
      <c r="Z1010" s="211"/>
      <c r="AA1010" s="84"/>
      <c r="AB1010" s="146"/>
      <c r="AC1010" s="211"/>
      <c r="AD1010" s="211"/>
      <c r="AE1010" s="211"/>
      <c r="AF1010" s="84"/>
      <c r="AG1010" s="146"/>
      <c r="AH1010" s="211"/>
      <c r="AI1010" s="211"/>
      <c r="AJ1010" s="211"/>
      <c r="AK1010" s="84"/>
      <c r="AL1010" s="146"/>
      <c r="AM1010" s="211"/>
      <c r="AN1010" s="211"/>
      <c r="AO1010" s="211"/>
      <c r="AP1010" s="436"/>
      <c r="AQ1010" s="146"/>
      <c r="AR1010" s="211"/>
      <c r="AS1010" s="211"/>
      <c r="AT1010" s="211"/>
      <c r="AU1010" s="84"/>
      <c r="AV1010" s="211"/>
      <c r="AW1010" s="211"/>
      <c r="AX1010" s="211"/>
      <c r="AY1010" s="211"/>
      <c r="AZ1010" s="84"/>
      <c r="BA1010" s="211"/>
      <c r="BB1010" s="211"/>
      <c r="BC1010" s="211"/>
      <c r="BD1010" s="211"/>
      <c r="BE1010" s="84"/>
      <c r="BF1010" s="211"/>
      <c r="BG1010" s="451"/>
    </row>
    <row r="1011" spans="1:59" ht="12.75">
      <c r="A1011" s="211"/>
      <c r="B1011" s="449"/>
      <c r="C1011" s="450"/>
      <c r="D1011" s="211"/>
      <c r="E1011" s="211"/>
      <c r="F1011" s="211"/>
      <c r="G1011" s="84"/>
      <c r="H1011" s="211"/>
      <c r="I1011" s="211"/>
      <c r="J1011" s="211"/>
      <c r="K1011" s="211"/>
      <c r="L1011" s="84"/>
      <c r="M1011" s="211"/>
      <c r="N1011" s="211"/>
      <c r="O1011" s="211"/>
      <c r="P1011" s="211"/>
      <c r="Q1011" s="84"/>
      <c r="R1011" s="211"/>
      <c r="S1011" s="211"/>
      <c r="T1011" s="211"/>
      <c r="U1011" s="211"/>
      <c r="V1011" s="84"/>
      <c r="W1011" s="211"/>
      <c r="X1011" s="211"/>
      <c r="Y1011" s="211"/>
      <c r="Z1011" s="211"/>
      <c r="AA1011" s="84"/>
      <c r="AB1011" s="146"/>
      <c r="AC1011" s="211"/>
      <c r="AD1011" s="211"/>
      <c r="AE1011" s="211"/>
      <c r="AF1011" s="84"/>
      <c r="AG1011" s="146"/>
      <c r="AH1011" s="211"/>
      <c r="AI1011" s="211"/>
      <c r="AJ1011" s="211"/>
      <c r="AK1011" s="84"/>
      <c r="AL1011" s="146"/>
      <c r="AM1011" s="211"/>
      <c r="AN1011" s="211"/>
      <c r="AO1011" s="211"/>
      <c r="AP1011" s="436"/>
      <c r="AQ1011" s="146"/>
      <c r="AR1011" s="211"/>
      <c r="AS1011" s="211"/>
      <c r="AT1011" s="211"/>
      <c r="AU1011" s="84"/>
      <c r="AV1011" s="211"/>
      <c r="AW1011" s="211"/>
      <c r="AX1011" s="211"/>
      <c r="AY1011" s="211"/>
      <c r="AZ1011" s="84"/>
      <c r="BA1011" s="211"/>
      <c r="BB1011" s="211"/>
      <c r="BC1011" s="211"/>
      <c r="BD1011" s="211"/>
      <c r="BE1011" s="84"/>
      <c r="BF1011" s="211"/>
      <c r="BG1011" s="451"/>
    </row>
    <row r="1012" spans="1:59" ht="12.75">
      <c r="A1012" s="211"/>
      <c r="B1012" s="449"/>
      <c r="C1012" s="450"/>
      <c r="D1012" s="211"/>
      <c r="E1012" s="211"/>
      <c r="F1012" s="211"/>
      <c r="G1012" s="84"/>
      <c r="H1012" s="211"/>
      <c r="I1012" s="211"/>
      <c r="J1012" s="211"/>
      <c r="K1012" s="211"/>
      <c r="L1012" s="84"/>
      <c r="M1012" s="211"/>
      <c r="N1012" s="211"/>
      <c r="O1012" s="211"/>
      <c r="P1012" s="211"/>
      <c r="Q1012" s="84"/>
      <c r="R1012" s="211"/>
      <c r="S1012" s="211"/>
      <c r="T1012" s="211"/>
      <c r="U1012" s="211"/>
      <c r="V1012" s="84"/>
      <c r="W1012" s="211"/>
      <c r="X1012" s="211"/>
      <c r="Y1012" s="211"/>
      <c r="Z1012" s="211"/>
      <c r="AA1012" s="84"/>
      <c r="AB1012" s="146"/>
      <c r="AC1012" s="211"/>
      <c r="AD1012" s="211"/>
      <c r="AE1012" s="211"/>
      <c r="AF1012" s="84"/>
      <c r="AG1012" s="146"/>
      <c r="AH1012" s="211"/>
      <c r="AI1012" s="211"/>
      <c r="AJ1012" s="211"/>
      <c r="AK1012" s="84"/>
      <c r="AL1012" s="146"/>
      <c r="AM1012" s="211"/>
      <c r="AN1012" s="211"/>
      <c r="AO1012" s="211"/>
      <c r="AP1012" s="436"/>
      <c r="AQ1012" s="146"/>
      <c r="AR1012" s="211"/>
      <c r="AS1012" s="211"/>
      <c r="AT1012" s="211"/>
      <c r="AU1012" s="84"/>
      <c r="AV1012" s="211"/>
      <c r="AW1012" s="211"/>
      <c r="AX1012" s="211"/>
      <c r="AY1012" s="211"/>
      <c r="AZ1012" s="84"/>
      <c r="BA1012" s="211"/>
      <c r="BB1012" s="211"/>
      <c r="BC1012" s="211"/>
      <c r="BD1012" s="211"/>
      <c r="BE1012" s="84"/>
      <c r="BF1012" s="211"/>
      <c r="BG1012" s="451"/>
    </row>
    <row r="1013" spans="1:59" ht="12.75">
      <c r="A1013" s="211"/>
      <c r="B1013" s="449"/>
      <c r="C1013" s="450"/>
      <c r="D1013" s="211"/>
      <c r="E1013" s="211"/>
      <c r="F1013" s="211"/>
      <c r="G1013" s="84"/>
      <c r="H1013" s="211"/>
      <c r="I1013" s="211"/>
      <c r="J1013" s="211"/>
      <c r="K1013" s="211"/>
      <c r="L1013" s="84"/>
      <c r="M1013" s="211"/>
      <c r="N1013" s="211"/>
      <c r="O1013" s="211"/>
      <c r="P1013" s="211"/>
      <c r="Q1013" s="84"/>
      <c r="R1013" s="211"/>
      <c r="S1013" s="211"/>
      <c r="T1013" s="211"/>
      <c r="U1013" s="211"/>
      <c r="V1013" s="84"/>
      <c r="W1013" s="211"/>
      <c r="X1013" s="211"/>
      <c r="Y1013" s="211"/>
      <c r="Z1013" s="211"/>
      <c r="AA1013" s="84"/>
      <c r="AB1013" s="146"/>
      <c r="AC1013" s="211"/>
      <c r="AD1013" s="211"/>
      <c r="AE1013" s="211"/>
      <c r="AF1013" s="84"/>
      <c r="AG1013" s="146"/>
      <c r="AH1013" s="211"/>
      <c r="AI1013" s="211"/>
      <c r="AJ1013" s="211"/>
      <c r="AK1013" s="84"/>
      <c r="AL1013" s="146"/>
      <c r="AM1013" s="211"/>
      <c r="AN1013" s="211"/>
      <c r="AO1013" s="211"/>
      <c r="AP1013" s="436"/>
      <c r="AQ1013" s="146"/>
      <c r="AR1013" s="211"/>
      <c r="AS1013" s="211"/>
      <c r="AT1013" s="211"/>
      <c r="AU1013" s="84"/>
      <c r="AV1013" s="211"/>
      <c r="AW1013" s="211"/>
      <c r="AX1013" s="211"/>
      <c r="AY1013" s="211"/>
      <c r="AZ1013" s="84"/>
      <c r="BA1013" s="211"/>
      <c r="BB1013" s="211"/>
      <c r="BC1013" s="211"/>
      <c r="BD1013" s="211"/>
      <c r="BE1013" s="84"/>
      <c r="BF1013" s="211"/>
      <c r="BG1013" s="451"/>
    </row>
    <row r="1014" spans="1:59" ht="12.75">
      <c r="A1014" s="211"/>
      <c r="B1014" s="449"/>
      <c r="C1014" s="450"/>
      <c r="D1014" s="211"/>
      <c r="E1014" s="211"/>
      <c r="F1014" s="211"/>
      <c r="G1014" s="84"/>
      <c r="H1014" s="211"/>
      <c r="I1014" s="211"/>
      <c r="J1014" s="211"/>
      <c r="K1014" s="211"/>
      <c r="L1014" s="84"/>
      <c r="M1014" s="211"/>
      <c r="N1014" s="211"/>
      <c r="O1014" s="211"/>
      <c r="P1014" s="211"/>
      <c r="Q1014" s="84"/>
      <c r="R1014" s="211"/>
      <c r="S1014" s="211"/>
      <c r="T1014" s="211"/>
      <c r="U1014" s="211"/>
      <c r="V1014" s="84"/>
      <c r="W1014" s="211"/>
      <c r="X1014" s="211"/>
      <c r="Y1014" s="211"/>
      <c r="Z1014" s="211"/>
      <c r="AA1014" s="84"/>
      <c r="AB1014" s="146"/>
      <c r="AC1014" s="211"/>
      <c r="AD1014" s="211"/>
      <c r="AE1014" s="211"/>
      <c r="AF1014" s="84"/>
      <c r="AG1014" s="146"/>
      <c r="AH1014" s="211"/>
      <c r="AI1014" s="211"/>
      <c r="AJ1014" s="211"/>
      <c r="AK1014" s="84"/>
      <c r="AL1014" s="146"/>
      <c r="AM1014" s="211"/>
      <c r="AN1014" s="211"/>
      <c r="AO1014" s="211"/>
      <c r="AP1014" s="436"/>
      <c r="AQ1014" s="146"/>
      <c r="AR1014" s="211"/>
      <c r="AS1014" s="211"/>
      <c r="AT1014" s="211"/>
      <c r="AU1014" s="84"/>
      <c r="AV1014" s="211"/>
      <c r="AW1014" s="211"/>
      <c r="AX1014" s="211"/>
      <c r="AY1014" s="211"/>
      <c r="AZ1014" s="84"/>
      <c r="BA1014" s="211"/>
      <c r="BB1014" s="211"/>
      <c r="BC1014" s="211"/>
      <c r="BD1014" s="211"/>
      <c r="BE1014" s="84"/>
      <c r="BF1014" s="211"/>
      <c r="BG1014" s="451"/>
    </row>
    <row r="1015" spans="1:59" ht="12.75">
      <c r="A1015" s="211"/>
      <c r="B1015" s="449"/>
      <c r="C1015" s="450"/>
      <c r="D1015" s="211"/>
      <c r="E1015" s="211"/>
      <c r="F1015" s="211"/>
      <c r="G1015" s="84"/>
      <c r="H1015" s="211"/>
      <c r="I1015" s="211"/>
      <c r="J1015" s="211"/>
      <c r="K1015" s="211"/>
      <c r="L1015" s="84"/>
      <c r="M1015" s="211"/>
      <c r="N1015" s="211"/>
      <c r="O1015" s="211"/>
      <c r="P1015" s="211"/>
      <c r="Q1015" s="84"/>
      <c r="R1015" s="211"/>
      <c r="S1015" s="211"/>
      <c r="T1015" s="211"/>
      <c r="U1015" s="211"/>
      <c r="V1015" s="84"/>
      <c r="W1015" s="211"/>
      <c r="X1015" s="211"/>
      <c r="Y1015" s="211"/>
      <c r="Z1015" s="211"/>
      <c r="AA1015" s="84"/>
      <c r="AB1015" s="146"/>
      <c r="AC1015" s="211"/>
      <c r="AD1015" s="211"/>
      <c r="AE1015" s="211"/>
      <c r="AF1015" s="84"/>
      <c r="AG1015" s="146"/>
      <c r="AH1015" s="211"/>
      <c r="AI1015" s="211"/>
      <c r="AJ1015" s="211"/>
      <c r="AK1015" s="84"/>
      <c r="AL1015" s="146"/>
      <c r="AM1015" s="211"/>
      <c r="AN1015" s="211"/>
      <c r="AO1015" s="211"/>
      <c r="AP1015" s="436"/>
      <c r="AQ1015" s="146"/>
      <c r="AR1015" s="211"/>
      <c r="AS1015" s="211"/>
      <c r="AT1015" s="211"/>
      <c r="AU1015" s="84"/>
      <c r="AV1015" s="211"/>
      <c r="AW1015" s="211"/>
      <c r="AX1015" s="211"/>
      <c r="AY1015" s="211"/>
      <c r="AZ1015" s="84"/>
      <c r="BA1015" s="211"/>
      <c r="BB1015" s="211"/>
      <c r="BC1015" s="211"/>
      <c r="BD1015" s="211"/>
      <c r="BE1015" s="84"/>
      <c r="BF1015" s="211"/>
      <c r="BG1015" s="451"/>
    </row>
    <row r="1016" spans="1:59" ht="12.75">
      <c r="A1016" s="211"/>
      <c r="B1016" s="449"/>
      <c r="C1016" s="450"/>
      <c r="D1016" s="211"/>
      <c r="E1016" s="211"/>
      <c r="F1016" s="211"/>
      <c r="G1016" s="84"/>
      <c r="H1016" s="211"/>
      <c r="I1016" s="211"/>
      <c r="J1016" s="211"/>
      <c r="K1016" s="211"/>
      <c r="L1016" s="84"/>
      <c r="M1016" s="211"/>
      <c r="N1016" s="211"/>
      <c r="O1016" s="211"/>
      <c r="P1016" s="211"/>
      <c r="Q1016" s="84"/>
      <c r="R1016" s="211"/>
      <c r="S1016" s="211"/>
      <c r="T1016" s="211"/>
      <c r="U1016" s="211"/>
      <c r="V1016" s="84"/>
      <c r="W1016" s="211"/>
      <c r="X1016" s="211"/>
      <c r="Y1016" s="211"/>
      <c r="Z1016" s="211"/>
      <c r="AA1016" s="84"/>
      <c r="AB1016" s="146"/>
      <c r="AC1016" s="211"/>
      <c r="AD1016" s="211"/>
      <c r="AE1016" s="211"/>
      <c r="AF1016" s="84"/>
      <c r="AG1016" s="146"/>
      <c r="AH1016" s="211"/>
      <c r="AI1016" s="211"/>
      <c r="AJ1016" s="211"/>
      <c r="AK1016" s="84"/>
      <c r="AL1016" s="146"/>
      <c r="AM1016" s="211"/>
      <c r="AN1016" s="211"/>
      <c r="AO1016" s="211"/>
      <c r="AP1016" s="436"/>
      <c r="AQ1016" s="146"/>
      <c r="AR1016" s="211"/>
      <c r="AS1016" s="211"/>
      <c r="AT1016" s="211"/>
      <c r="AU1016" s="84"/>
      <c r="AV1016" s="211"/>
      <c r="AW1016" s="211"/>
      <c r="AX1016" s="211"/>
      <c r="AY1016" s="211"/>
      <c r="AZ1016" s="84"/>
      <c r="BA1016" s="211"/>
      <c r="BB1016" s="211"/>
      <c r="BC1016" s="211"/>
      <c r="BD1016" s="211"/>
      <c r="BE1016" s="84"/>
      <c r="BF1016" s="211"/>
      <c r="BG1016" s="451"/>
    </row>
    <row r="1017" spans="1:59" ht="12.75">
      <c r="A1017" s="211"/>
      <c r="B1017" s="449"/>
      <c r="C1017" s="450"/>
      <c r="D1017" s="211"/>
      <c r="E1017" s="211"/>
      <c r="F1017" s="211"/>
      <c r="G1017" s="84"/>
      <c r="H1017" s="211"/>
      <c r="I1017" s="211"/>
      <c r="J1017" s="211"/>
      <c r="K1017" s="211"/>
      <c r="L1017" s="84"/>
      <c r="M1017" s="211"/>
      <c r="N1017" s="211"/>
      <c r="O1017" s="211"/>
      <c r="P1017" s="211"/>
      <c r="Q1017" s="84"/>
      <c r="R1017" s="211"/>
      <c r="S1017" s="211"/>
      <c r="T1017" s="211"/>
      <c r="U1017" s="211"/>
      <c r="V1017" s="84"/>
      <c r="W1017" s="211"/>
      <c r="X1017" s="211"/>
      <c r="Y1017" s="211"/>
      <c r="Z1017" s="211"/>
      <c r="AA1017" s="84"/>
      <c r="AB1017" s="146"/>
      <c r="AC1017" s="211"/>
      <c r="AD1017" s="211"/>
      <c r="AE1017" s="211"/>
      <c r="AF1017" s="84"/>
      <c r="AG1017" s="146"/>
      <c r="AH1017" s="211"/>
      <c r="AI1017" s="211"/>
      <c r="AJ1017" s="211"/>
      <c r="AK1017" s="84"/>
      <c r="AL1017" s="146"/>
      <c r="AM1017" s="211"/>
      <c r="AN1017" s="211"/>
      <c r="AO1017" s="211"/>
      <c r="AP1017" s="436"/>
      <c r="AQ1017" s="146"/>
      <c r="AR1017" s="211"/>
      <c r="AS1017" s="211"/>
      <c r="AT1017" s="211"/>
      <c r="AU1017" s="84"/>
      <c r="AV1017" s="211"/>
      <c r="AW1017" s="211"/>
      <c r="AX1017" s="211"/>
      <c r="AY1017" s="211"/>
      <c r="AZ1017" s="84"/>
      <c r="BA1017" s="211"/>
      <c r="BB1017" s="211"/>
      <c r="BC1017" s="211"/>
      <c r="BD1017" s="211"/>
      <c r="BE1017" s="84"/>
      <c r="BF1017" s="211"/>
      <c r="BG1017" s="451"/>
    </row>
    <row r="1018" spans="1:59" ht="12.75">
      <c r="A1018" s="211"/>
      <c r="B1018" s="449"/>
      <c r="C1018" s="450"/>
      <c r="D1018" s="211"/>
      <c r="E1018" s="211"/>
      <c r="F1018" s="211"/>
      <c r="G1018" s="84"/>
      <c r="H1018" s="211"/>
      <c r="I1018" s="211"/>
      <c r="J1018" s="211"/>
      <c r="K1018" s="211"/>
      <c r="L1018" s="84"/>
      <c r="M1018" s="211"/>
      <c r="N1018" s="211"/>
      <c r="O1018" s="211"/>
      <c r="P1018" s="211"/>
      <c r="Q1018" s="84"/>
      <c r="R1018" s="211"/>
      <c r="S1018" s="211"/>
      <c r="T1018" s="211"/>
      <c r="U1018" s="211"/>
      <c r="V1018" s="84"/>
      <c r="W1018" s="211"/>
      <c r="X1018" s="211"/>
      <c r="Y1018" s="211"/>
      <c r="Z1018" s="211"/>
      <c r="AA1018" s="84"/>
      <c r="AB1018" s="146"/>
      <c r="AC1018" s="211"/>
      <c r="AD1018" s="211"/>
      <c r="AE1018" s="211"/>
      <c r="AF1018" s="84"/>
      <c r="AG1018" s="146"/>
      <c r="AH1018" s="211"/>
      <c r="AI1018" s="211"/>
      <c r="AJ1018" s="211"/>
      <c r="AK1018" s="84"/>
      <c r="AL1018" s="146"/>
      <c r="AM1018" s="211"/>
      <c r="AN1018" s="211"/>
      <c r="AO1018" s="211"/>
      <c r="AP1018" s="436"/>
      <c r="AQ1018" s="146"/>
      <c r="AR1018" s="211"/>
      <c r="AS1018" s="211"/>
      <c r="AT1018" s="211"/>
      <c r="AU1018" s="84"/>
      <c r="AV1018" s="211"/>
      <c r="AW1018" s="211"/>
      <c r="AX1018" s="211"/>
      <c r="AY1018" s="211"/>
      <c r="AZ1018" s="84"/>
      <c r="BA1018" s="211"/>
      <c r="BB1018" s="211"/>
      <c r="BC1018" s="211"/>
      <c r="BD1018" s="211"/>
      <c r="BE1018" s="84"/>
      <c r="BF1018" s="211"/>
      <c r="BG1018" s="451"/>
    </row>
    <row r="1019" spans="1:59" ht="12.75">
      <c r="A1019" s="211"/>
      <c r="B1019" s="449"/>
      <c r="C1019" s="450"/>
      <c r="D1019" s="211"/>
      <c r="E1019" s="211"/>
      <c r="F1019" s="211"/>
      <c r="G1019" s="84"/>
      <c r="H1019" s="211"/>
      <c r="I1019" s="211"/>
      <c r="J1019" s="211"/>
      <c r="K1019" s="211"/>
      <c r="L1019" s="84"/>
      <c r="M1019" s="211"/>
      <c r="N1019" s="211"/>
      <c r="O1019" s="211"/>
      <c r="P1019" s="211"/>
      <c r="Q1019" s="84"/>
      <c r="R1019" s="211"/>
      <c r="S1019" s="211"/>
      <c r="T1019" s="211"/>
      <c r="U1019" s="211"/>
      <c r="V1019" s="84"/>
      <c r="W1019" s="211"/>
      <c r="X1019" s="211"/>
      <c r="Y1019" s="211"/>
      <c r="Z1019" s="211"/>
      <c r="AA1019" s="84"/>
      <c r="AB1019" s="146"/>
      <c r="AC1019" s="211"/>
      <c r="AD1019" s="211"/>
      <c r="AE1019" s="211"/>
      <c r="AF1019" s="84"/>
      <c r="AG1019" s="146"/>
      <c r="AH1019" s="211"/>
      <c r="AI1019" s="211"/>
      <c r="AJ1019" s="211"/>
      <c r="AK1019" s="84"/>
      <c r="AL1019" s="146"/>
      <c r="AM1019" s="211"/>
      <c r="AN1019" s="211"/>
      <c r="AO1019" s="211"/>
      <c r="AP1019" s="436"/>
      <c r="AQ1019" s="146"/>
      <c r="AR1019" s="211"/>
      <c r="AS1019" s="211"/>
      <c r="AT1019" s="211"/>
      <c r="AU1019" s="84"/>
      <c r="AV1019" s="211"/>
      <c r="AW1019" s="211"/>
      <c r="AX1019" s="211"/>
      <c r="AY1019" s="211"/>
      <c r="AZ1019" s="84"/>
      <c r="BA1019" s="211"/>
      <c r="BB1019" s="211"/>
      <c r="BC1019" s="211"/>
      <c r="BD1019" s="211"/>
      <c r="BE1019" s="84"/>
      <c r="BF1019" s="211"/>
      <c r="BG1019" s="451"/>
    </row>
    <row r="1020" spans="1:59" ht="12.75">
      <c r="A1020" s="211"/>
      <c r="B1020" s="449"/>
      <c r="C1020" s="450"/>
      <c r="D1020" s="211"/>
      <c r="E1020" s="211"/>
      <c r="F1020" s="211"/>
      <c r="G1020" s="84"/>
      <c r="H1020" s="211"/>
      <c r="I1020" s="211"/>
      <c r="J1020" s="211"/>
      <c r="K1020" s="211"/>
      <c r="L1020" s="84"/>
      <c r="M1020" s="211"/>
      <c r="N1020" s="211"/>
      <c r="O1020" s="211"/>
      <c r="P1020" s="211"/>
      <c r="Q1020" s="84"/>
      <c r="R1020" s="211"/>
      <c r="S1020" s="211"/>
      <c r="T1020" s="211"/>
      <c r="U1020" s="211"/>
      <c r="V1020" s="84"/>
      <c r="W1020" s="211"/>
      <c r="X1020" s="211"/>
      <c r="Y1020" s="211"/>
      <c r="Z1020" s="211"/>
      <c r="AA1020" s="84"/>
      <c r="AB1020" s="146"/>
      <c r="AC1020" s="211"/>
      <c r="AD1020" s="211"/>
      <c r="AE1020" s="211"/>
      <c r="AF1020" s="84"/>
      <c r="AG1020" s="146"/>
      <c r="AH1020" s="211"/>
      <c r="AI1020" s="211"/>
      <c r="AJ1020" s="211"/>
      <c r="AK1020" s="84"/>
      <c r="AL1020" s="146"/>
      <c r="AM1020" s="211"/>
      <c r="AN1020" s="211"/>
      <c r="AO1020" s="211"/>
      <c r="AP1020" s="436"/>
      <c r="AQ1020" s="146"/>
      <c r="AR1020" s="211"/>
      <c r="AS1020" s="211"/>
      <c r="AT1020" s="211"/>
      <c r="AU1020" s="84"/>
      <c r="AV1020" s="211"/>
      <c r="AW1020" s="211"/>
      <c r="AX1020" s="211"/>
      <c r="AY1020" s="211"/>
      <c r="AZ1020" s="84"/>
      <c r="BA1020" s="211"/>
      <c r="BB1020" s="211"/>
      <c r="BC1020" s="211"/>
      <c r="BD1020" s="211"/>
      <c r="BE1020" s="84"/>
      <c r="BF1020" s="211"/>
      <c r="BG1020" s="451"/>
    </row>
    <row r="1021" spans="1:59" ht="12.75">
      <c r="A1021" s="211"/>
      <c r="B1021" s="449"/>
      <c r="C1021" s="450"/>
      <c r="D1021" s="211"/>
      <c r="E1021" s="211"/>
      <c r="F1021" s="211"/>
      <c r="G1021" s="84"/>
      <c r="H1021" s="211"/>
      <c r="I1021" s="211"/>
      <c r="J1021" s="211"/>
      <c r="K1021" s="211"/>
      <c r="L1021" s="84"/>
      <c r="M1021" s="211"/>
      <c r="N1021" s="211"/>
      <c r="O1021" s="211"/>
      <c r="P1021" s="211"/>
      <c r="Q1021" s="84"/>
      <c r="R1021" s="211"/>
      <c r="S1021" s="211"/>
      <c r="T1021" s="211"/>
      <c r="U1021" s="211"/>
      <c r="V1021" s="84"/>
      <c r="W1021" s="211"/>
      <c r="X1021" s="211"/>
      <c r="Y1021" s="211"/>
      <c r="Z1021" s="211"/>
      <c r="AA1021" s="84"/>
      <c r="AB1021" s="146"/>
      <c r="AC1021" s="211"/>
      <c r="AD1021" s="211"/>
      <c r="AE1021" s="211"/>
      <c r="AF1021" s="84"/>
      <c r="AG1021" s="146"/>
      <c r="AH1021" s="211"/>
      <c r="AI1021" s="211"/>
      <c r="AJ1021" s="211"/>
      <c r="AK1021" s="84"/>
      <c r="AL1021" s="146"/>
      <c r="AM1021" s="211"/>
      <c r="AN1021" s="211"/>
      <c r="AO1021" s="211"/>
      <c r="AP1021" s="436"/>
      <c r="AQ1021" s="146"/>
      <c r="AR1021" s="211"/>
      <c r="AS1021" s="211"/>
      <c r="AT1021" s="211"/>
      <c r="AU1021" s="84"/>
      <c r="AV1021" s="211"/>
      <c r="AW1021" s="211"/>
      <c r="AX1021" s="211"/>
      <c r="AY1021" s="211"/>
      <c r="AZ1021" s="84"/>
      <c r="BA1021" s="211"/>
      <c r="BB1021" s="211"/>
      <c r="BC1021" s="211"/>
      <c r="BD1021" s="211"/>
      <c r="BE1021" s="84"/>
      <c r="BF1021" s="211"/>
      <c r="BG1021" s="451"/>
    </row>
    <row r="1022" spans="1:59" ht="12.75">
      <c r="A1022" s="211"/>
      <c r="B1022" s="449"/>
      <c r="C1022" s="450"/>
      <c r="D1022" s="211"/>
      <c r="E1022" s="211"/>
      <c r="F1022" s="211"/>
      <c r="G1022" s="84"/>
      <c r="H1022" s="211"/>
      <c r="I1022" s="211"/>
      <c r="J1022" s="211"/>
      <c r="K1022" s="211"/>
      <c r="L1022" s="84"/>
      <c r="M1022" s="211"/>
      <c r="N1022" s="211"/>
      <c r="O1022" s="211"/>
      <c r="P1022" s="211"/>
      <c r="Q1022" s="84"/>
      <c r="R1022" s="211"/>
      <c r="S1022" s="211"/>
      <c r="T1022" s="211"/>
      <c r="U1022" s="211"/>
      <c r="V1022" s="84"/>
      <c r="W1022" s="211"/>
      <c r="X1022" s="211"/>
      <c r="Y1022" s="211"/>
      <c r="Z1022" s="211"/>
      <c r="AA1022" s="84"/>
      <c r="AB1022" s="146"/>
      <c r="AC1022" s="211"/>
      <c r="AD1022" s="211"/>
      <c r="AE1022" s="211"/>
      <c r="AF1022" s="84"/>
      <c r="AG1022" s="146"/>
      <c r="AH1022" s="211"/>
      <c r="AI1022" s="211"/>
      <c r="AJ1022" s="211"/>
      <c r="AK1022" s="84"/>
      <c r="AL1022" s="146"/>
      <c r="AM1022" s="211"/>
      <c r="AN1022" s="211"/>
      <c r="AO1022" s="211"/>
      <c r="AP1022" s="436"/>
      <c r="AQ1022" s="146"/>
      <c r="AR1022" s="211"/>
      <c r="AS1022" s="211"/>
      <c r="AT1022" s="211"/>
      <c r="AU1022" s="84"/>
      <c r="AV1022" s="211"/>
      <c r="AW1022" s="211"/>
      <c r="AX1022" s="211"/>
      <c r="AY1022" s="211"/>
      <c r="AZ1022" s="84"/>
      <c r="BA1022" s="211"/>
      <c r="BB1022" s="211"/>
      <c r="BC1022" s="211"/>
      <c r="BD1022" s="211"/>
      <c r="BE1022" s="84"/>
      <c r="BF1022" s="211"/>
      <c r="BG1022" s="451"/>
    </row>
    <row r="1023" spans="1:59" ht="12.75">
      <c r="A1023" s="211"/>
      <c r="B1023" s="449"/>
      <c r="C1023" s="450"/>
      <c r="D1023" s="211"/>
      <c r="E1023" s="211"/>
      <c r="F1023" s="211"/>
      <c r="G1023" s="84"/>
      <c r="H1023" s="211"/>
      <c r="I1023" s="211"/>
      <c r="J1023" s="211"/>
      <c r="K1023" s="211"/>
      <c r="L1023" s="84"/>
      <c r="M1023" s="211"/>
      <c r="N1023" s="211"/>
      <c r="O1023" s="211"/>
      <c r="P1023" s="211"/>
      <c r="Q1023" s="84"/>
      <c r="R1023" s="211"/>
      <c r="S1023" s="211"/>
      <c r="T1023" s="211"/>
      <c r="U1023" s="211"/>
      <c r="V1023" s="84"/>
      <c r="W1023" s="211"/>
      <c r="X1023" s="211"/>
      <c r="Y1023" s="211"/>
      <c r="Z1023" s="211"/>
      <c r="AA1023" s="84"/>
      <c r="AB1023" s="146"/>
      <c r="AC1023" s="211"/>
      <c r="AD1023" s="211"/>
      <c r="AE1023" s="211"/>
      <c r="AF1023" s="84"/>
      <c r="AG1023" s="146"/>
      <c r="AH1023" s="211"/>
      <c r="AI1023" s="211"/>
      <c r="AJ1023" s="211"/>
      <c r="AK1023" s="84"/>
      <c r="AL1023" s="146"/>
      <c r="AM1023" s="211"/>
      <c r="AN1023" s="211"/>
      <c r="AO1023" s="211"/>
      <c r="AP1023" s="436"/>
      <c r="AQ1023" s="146"/>
      <c r="AR1023" s="211"/>
      <c r="AS1023" s="211"/>
      <c r="AT1023" s="211"/>
      <c r="AU1023" s="84"/>
      <c r="AV1023" s="211"/>
      <c r="AW1023" s="211"/>
      <c r="AX1023" s="211"/>
      <c r="AY1023" s="211"/>
      <c r="AZ1023" s="84"/>
      <c r="BA1023" s="211"/>
      <c r="BB1023" s="211"/>
      <c r="BC1023" s="211"/>
      <c r="BD1023" s="211"/>
      <c r="BE1023" s="84"/>
      <c r="BF1023" s="211"/>
      <c r="BG1023" s="451"/>
    </row>
    <row r="1024" spans="1:59" ht="12.75">
      <c r="A1024" s="211"/>
      <c r="B1024" s="449"/>
      <c r="C1024" s="450"/>
      <c r="D1024" s="211"/>
      <c r="E1024" s="211"/>
      <c r="F1024" s="211"/>
      <c r="G1024" s="84"/>
      <c r="H1024" s="211"/>
      <c r="I1024" s="211"/>
      <c r="J1024" s="211"/>
      <c r="K1024" s="211"/>
      <c r="L1024" s="84"/>
      <c r="M1024" s="211"/>
      <c r="N1024" s="211"/>
      <c r="O1024" s="211"/>
      <c r="P1024" s="211"/>
      <c r="Q1024" s="84"/>
      <c r="R1024" s="211"/>
      <c r="S1024" s="211"/>
      <c r="T1024" s="211"/>
      <c r="U1024" s="211"/>
      <c r="V1024" s="84"/>
      <c r="W1024" s="211"/>
      <c r="X1024" s="211"/>
      <c r="Y1024" s="211"/>
      <c r="Z1024" s="211"/>
      <c r="AA1024" s="84"/>
      <c r="AB1024" s="146"/>
      <c r="AC1024" s="211"/>
      <c r="AD1024" s="211"/>
      <c r="AE1024" s="211"/>
      <c r="AF1024" s="84"/>
      <c r="AG1024" s="146"/>
      <c r="AH1024" s="211"/>
      <c r="AI1024" s="211"/>
      <c r="AJ1024" s="211"/>
      <c r="AK1024" s="84"/>
      <c r="AL1024" s="146"/>
      <c r="AM1024" s="211"/>
      <c r="AN1024" s="211"/>
      <c r="AO1024" s="211"/>
      <c r="AP1024" s="436"/>
      <c r="AQ1024" s="146"/>
      <c r="AR1024" s="211"/>
      <c r="AS1024" s="211"/>
      <c r="AT1024" s="211"/>
      <c r="AU1024" s="84"/>
      <c r="AV1024" s="211"/>
      <c r="AW1024" s="211"/>
      <c r="AX1024" s="211"/>
      <c r="AY1024" s="211"/>
      <c r="AZ1024" s="84"/>
      <c r="BA1024" s="211"/>
      <c r="BB1024" s="211"/>
      <c r="BC1024" s="211"/>
      <c r="BD1024" s="211"/>
      <c r="BE1024" s="84"/>
      <c r="BF1024" s="211"/>
      <c r="BG1024" s="451"/>
    </row>
    <row r="1025" spans="1:59" ht="12.75">
      <c r="A1025" s="211"/>
      <c r="B1025" s="449"/>
      <c r="C1025" s="450"/>
      <c r="D1025" s="211"/>
      <c r="E1025" s="211"/>
      <c r="F1025" s="211"/>
      <c r="G1025" s="84"/>
      <c r="H1025" s="211"/>
      <c r="I1025" s="211"/>
      <c r="J1025" s="211"/>
      <c r="K1025" s="211"/>
      <c r="L1025" s="84"/>
      <c r="M1025" s="211"/>
      <c r="N1025" s="211"/>
      <c r="O1025" s="211"/>
      <c r="P1025" s="211"/>
      <c r="Q1025" s="84"/>
      <c r="R1025" s="211"/>
      <c r="S1025" s="211"/>
      <c r="T1025" s="211"/>
      <c r="U1025" s="211"/>
      <c r="V1025" s="84"/>
      <c r="W1025" s="211"/>
      <c r="X1025" s="211"/>
      <c r="Y1025" s="211"/>
      <c r="Z1025" s="211"/>
      <c r="AA1025" s="84"/>
      <c r="AB1025" s="146"/>
      <c r="AC1025" s="211"/>
      <c r="AD1025" s="211"/>
      <c r="AE1025" s="211"/>
      <c r="AF1025" s="84"/>
      <c r="AG1025" s="146"/>
      <c r="AH1025" s="211"/>
      <c r="AI1025" s="211"/>
      <c r="AJ1025" s="211"/>
      <c r="AK1025" s="84"/>
      <c r="AL1025" s="146"/>
      <c r="AM1025" s="211"/>
      <c r="AN1025" s="211"/>
      <c r="AO1025" s="211"/>
      <c r="AP1025" s="436"/>
      <c r="AQ1025" s="146"/>
      <c r="AR1025" s="211"/>
      <c r="AS1025" s="211"/>
      <c r="AT1025" s="211"/>
      <c r="AU1025" s="84"/>
      <c r="AV1025" s="211"/>
      <c r="AW1025" s="211"/>
      <c r="AX1025" s="211"/>
      <c r="AY1025" s="211"/>
      <c r="AZ1025" s="84"/>
      <c r="BA1025" s="211"/>
      <c r="BB1025" s="211"/>
      <c r="BC1025" s="211"/>
      <c r="BD1025" s="211"/>
      <c r="BE1025" s="84"/>
      <c r="BF1025" s="211"/>
      <c r="BG1025" s="451"/>
    </row>
    <row r="1026" spans="1:59" ht="12.75">
      <c r="A1026" s="211"/>
      <c r="B1026" s="449"/>
      <c r="C1026" s="450"/>
      <c r="D1026" s="211"/>
      <c r="E1026" s="211"/>
      <c r="F1026" s="211"/>
      <c r="G1026" s="84"/>
      <c r="H1026" s="211"/>
      <c r="I1026" s="211"/>
      <c r="J1026" s="211"/>
      <c r="K1026" s="211"/>
      <c r="L1026" s="84"/>
      <c r="M1026" s="211"/>
      <c r="N1026" s="211"/>
      <c r="O1026" s="211"/>
      <c r="P1026" s="211"/>
      <c r="Q1026" s="84"/>
      <c r="R1026" s="211"/>
      <c r="S1026" s="211"/>
      <c r="T1026" s="211"/>
      <c r="U1026" s="211"/>
      <c r="V1026" s="84"/>
      <c r="W1026" s="211"/>
      <c r="X1026" s="211"/>
      <c r="Y1026" s="211"/>
      <c r="Z1026" s="211"/>
      <c r="AA1026" s="84"/>
      <c r="AB1026" s="146"/>
      <c r="AC1026" s="211"/>
      <c r="AD1026" s="211"/>
      <c r="AE1026" s="211"/>
      <c r="AF1026" s="84"/>
      <c r="AG1026" s="146"/>
      <c r="AH1026" s="211"/>
      <c r="AI1026" s="211"/>
      <c r="AJ1026" s="211"/>
      <c r="AK1026" s="84"/>
      <c r="AL1026" s="146"/>
      <c r="AM1026" s="211"/>
      <c r="AN1026" s="211"/>
      <c r="AO1026" s="211"/>
      <c r="AP1026" s="436"/>
      <c r="AQ1026" s="146"/>
      <c r="AR1026" s="211"/>
      <c r="AS1026" s="211"/>
      <c r="AT1026" s="211"/>
      <c r="AU1026" s="84"/>
      <c r="AV1026" s="211"/>
      <c r="AW1026" s="211"/>
      <c r="AX1026" s="211"/>
      <c r="AY1026" s="211"/>
      <c r="AZ1026" s="84"/>
      <c r="BA1026" s="211"/>
      <c r="BB1026" s="211"/>
      <c r="BC1026" s="211"/>
      <c r="BD1026" s="211"/>
      <c r="BE1026" s="84"/>
      <c r="BF1026" s="211"/>
      <c r="BG1026" s="451"/>
    </row>
    <row r="1027" spans="1:59" ht="12.75">
      <c r="A1027" s="211"/>
      <c r="B1027" s="449"/>
      <c r="C1027" s="450"/>
      <c r="D1027" s="211"/>
      <c r="E1027" s="211"/>
      <c r="F1027" s="211"/>
      <c r="G1027" s="84"/>
      <c r="H1027" s="211"/>
      <c r="I1027" s="211"/>
      <c r="J1027" s="211"/>
      <c r="K1027" s="211"/>
      <c r="L1027" s="84"/>
      <c r="M1027" s="211"/>
      <c r="N1027" s="211"/>
      <c r="O1027" s="211"/>
      <c r="P1027" s="211"/>
      <c r="Q1027" s="84"/>
      <c r="R1027" s="211"/>
      <c r="S1027" s="211"/>
      <c r="T1027" s="211"/>
      <c r="U1027" s="211"/>
      <c r="V1027" s="84"/>
      <c r="W1027" s="211"/>
      <c r="X1027" s="211"/>
      <c r="Y1027" s="211"/>
      <c r="Z1027" s="211"/>
      <c r="AA1027" s="84"/>
      <c r="AB1027" s="146"/>
      <c r="AC1027" s="211"/>
      <c r="AD1027" s="211"/>
      <c r="AE1027" s="211"/>
      <c r="AF1027" s="84"/>
      <c r="AG1027" s="146"/>
      <c r="AH1027" s="211"/>
      <c r="AI1027" s="211"/>
      <c r="AJ1027" s="211"/>
      <c r="AK1027" s="84"/>
      <c r="AL1027" s="146"/>
      <c r="AM1027" s="211"/>
      <c r="AN1027" s="211"/>
      <c r="AO1027" s="211"/>
      <c r="AP1027" s="436"/>
      <c r="AQ1027" s="146"/>
      <c r="AR1027" s="211"/>
      <c r="AS1027" s="211"/>
      <c r="AT1027" s="211"/>
      <c r="AU1027" s="84"/>
      <c r="AV1027" s="211"/>
      <c r="AW1027" s="211"/>
      <c r="AX1027" s="211"/>
      <c r="AY1027" s="211"/>
      <c r="AZ1027" s="84"/>
      <c r="BA1027" s="211"/>
      <c r="BB1027" s="211"/>
      <c r="BC1027" s="211"/>
      <c r="BD1027" s="211"/>
      <c r="BE1027" s="84"/>
      <c r="BF1027" s="211"/>
      <c r="BG1027" s="451"/>
    </row>
    <row r="1028" spans="1:59" ht="12.75">
      <c r="A1028" s="211"/>
      <c r="B1028" s="449"/>
      <c r="C1028" s="450"/>
      <c r="D1028" s="211"/>
      <c r="E1028" s="211"/>
      <c r="F1028" s="211"/>
      <c r="G1028" s="84"/>
      <c r="H1028" s="211"/>
      <c r="I1028" s="211"/>
      <c r="J1028" s="211"/>
      <c r="K1028" s="211"/>
      <c r="L1028" s="84"/>
      <c r="M1028" s="211"/>
      <c r="N1028" s="211"/>
      <c r="O1028" s="211"/>
      <c r="P1028" s="211"/>
      <c r="Q1028" s="84"/>
      <c r="R1028" s="211"/>
      <c r="S1028" s="211"/>
      <c r="T1028" s="211"/>
      <c r="U1028" s="211"/>
      <c r="V1028" s="84"/>
      <c r="W1028" s="211"/>
      <c r="X1028" s="211"/>
      <c r="Y1028" s="211"/>
      <c r="Z1028" s="211"/>
      <c r="AA1028" s="84"/>
      <c r="AB1028" s="146"/>
      <c r="AC1028" s="211"/>
      <c r="AD1028" s="211"/>
      <c r="AE1028" s="211"/>
      <c r="AF1028" s="84"/>
      <c r="AG1028" s="146"/>
      <c r="AH1028" s="211"/>
      <c r="AI1028" s="211"/>
      <c r="AJ1028" s="211"/>
      <c r="AK1028" s="84"/>
      <c r="AL1028" s="146"/>
      <c r="AM1028" s="211"/>
      <c r="AN1028" s="211"/>
      <c r="AO1028" s="211"/>
      <c r="AP1028" s="436"/>
      <c r="AQ1028" s="146"/>
      <c r="AR1028" s="211"/>
      <c r="AS1028" s="211"/>
      <c r="AT1028" s="211"/>
      <c r="AU1028" s="84"/>
      <c r="AV1028" s="211"/>
      <c r="AW1028" s="211"/>
      <c r="AX1028" s="211"/>
      <c r="AY1028" s="211"/>
      <c r="AZ1028" s="84"/>
      <c r="BA1028" s="211"/>
      <c r="BB1028" s="211"/>
      <c r="BC1028" s="211"/>
      <c r="BD1028" s="211"/>
      <c r="BE1028" s="84"/>
      <c r="BF1028" s="211"/>
      <c r="BG1028" s="451"/>
    </row>
    <row r="1029" spans="1:59" ht="12.75">
      <c r="A1029" s="211"/>
      <c r="B1029" s="449"/>
      <c r="C1029" s="450"/>
      <c r="D1029" s="211"/>
      <c r="E1029" s="211"/>
      <c r="F1029" s="211"/>
      <c r="G1029" s="84"/>
      <c r="H1029" s="211"/>
      <c r="I1029" s="211"/>
      <c r="J1029" s="211"/>
      <c r="K1029" s="211"/>
      <c r="L1029" s="84"/>
      <c r="M1029" s="211"/>
      <c r="N1029" s="211"/>
      <c r="O1029" s="211"/>
      <c r="P1029" s="211"/>
      <c r="Q1029" s="84"/>
      <c r="R1029" s="211"/>
      <c r="S1029" s="211"/>
      <c r="T1029" s="211"/>
      <c r="U1029" s="211"/>
      <c r="V1029" s="84"/>
      <c r="W1029" s="211"/>
      <c r="X1029" s="211"/>
      <c r="Y1029" s="211"/>
      <c r="Z1029" s="211"/>
      <c r="AA1029" s="84"/>
      <c r="AB1029" s="146"/>
      <c r="AC1029" s="211"/>
      <c r="AD1029" s="211"/>
      <c r="AE1029" s="211"/>
      <c r="AF1029" s="84"/>
      <c r="AG1029" s="146"/>
      <c r="AH1029" s="211"/>
      <c r="AI1029" s="211"/>
      <c r="AJ1029" s="211"/>
      <c r="AK1029" s="84"/>
      <c r="AL1029" s="146"/>
      <c r="AM1029" s="211"/>
      <c r="AN1029" s="211"/>
      <c r="AO1029" s="211"/>
      <c r="AP1029" s="436"/>
      <c r="AQ1029" s="146"/>
      <c r="AR1029" s="211"/>
      <c r="AS1029" s="211"/>
      <c r="AT1029" s="211"/>
      <c r="AU1029" s="84"/>
      <c r="AV1029" s="211"/>
      <c r="AW1029" s="211"/>
      <c r="AX1029" s="211"/>
      <c r="AY1029" s="211"/>
      <c r="AZ1029" s="84"/>
      <c r="BA1029" s="211"/>
      <c r="BB1029" s="211"/>
      <c r="BC1029" s="211"/>
      <c r="BD1029" s="211"/>
      <c r="BE1029" s="84"/>
      <c r="BF1029" s="211"/>
      <c r="BG1029" s="451"/>
    </row>
    <row r="1030" spans="1:59" ht="12.75">
      <c r="A1030" s="211"/>
      <c r="B1030" s="449"/>
      <c r="C1030" s="450"/>
      <c r="D1030" s="211"/>
      <c r="E1030" s="211"/>
      <c r="F1030" s="211"/>
      <c r="G1030" s="84"/>
      <c r="H1030" s="211"/>
      <c r="I1030" s="211"/>
      <c r="J1030" s="211"/>
      <c r="K1030" s="211"/>
      <c r="L1030" s="84"/>
      <c r="M1030" s="211"/>
      <c r="N1030" s="211"/>
      <c r="O1030" s="211"/>
      <c r="P1030" s="211"/>
      <c r="Q1030" s="84"/>
      <c r="R1030" s="211"/>
      <c r="S1030" s="211"/>
      <c r="T1030" s="211"/>
      <c r="U1030" s="211"/>
      <c r="V1030" s="84"/>
      <c r="W1030" s="211"/>
      <c r="X1030" s="211"/>
      <c r="Y1030" s="211"/>
      <c r="Z1030" s="211"/>
      <c r="AA1030" s="84"/>
      <c r="AB1030" s="146"/>
      <c r="AC1030" s="211"/>
      <c r="AD1030" s="211"/>
      <c r="AE1030" s="211"/>
      <c r="AF1030" s="84"/>
      <c r="AG1030" s="146"/>
      <c r="AH1030" s="211"/>
      <c r="AI1030" s="211"/>
      <c r="AJ1030" s="211"/>
      <c r="AK1030" s="84"/>
      <c r="AL1030" s="146"/>
      <c r="AM1030" s="211"/>
      <c r="AN1030" s="211"/>
      <c r="AO1030" s="211"/>
      <c r="AP1030" s="436"/>
      <c r="AQ1030" s="146"/>
      <c r="AR1030" s="211"/>
      <c r="AS1030" s="211"/>
      <c r="AT1030" s="211"/>
      <c r="AU1030" s="84"/>
      <c r="AV1030" s="211"/>
      <c r="AW1030" s="211"/>
      <c r="AX1030" s="211"/>
      <c r="AY1030" s="211"/>
      <c r="AZ1030" s="84"/>
      <c r="BA1030" s="211"/>
      <c r="BB1030" s="211"/>
      <c r="BC1030" s="211"/>
      <c r="BD1030" s="211"/>
      <c r="BE1030" s="84"/>
      <c r="BF1030" s="211"/>
      <c r="BG1030" s="451"/>
    </row>
    <row r="1031" spans="1:59" ht="12.75">
      <c r="A1031" s="211"/>
      <c r="B1031" s="449"/>
      <c r="C1031" s="450"/>
      <c r="D1031" s="211"/>
      <c r="E1031" s="211"/>
      <c r="F1031" s="211"/>
      <c r="G1031" s="84"/>
      <c r="H1031" s="211"/>
      <c r="I1031" s="211"/>
      <c r="J1031" s="211"/>
      <c r="K1031" s="211"/>
      <c r="L1031" s="84"/>
      <c r="M1031" s="211"/>
      <c r="N1031" s="211"/>
      <c r="O1031" s="211"/>
      <c r="P1031" s="211"/>
      <c r="Q1031" s="84"/>
      <c r="R1031" s="211"/>
      <c r="S1031" s="211"/>
      <c r="T1031" s="211"/>
      <c r="U1031" s="211"/>
      <c r="V1031" s="84"/>
      <c r="W1031" s="211"/>
      <c r="X1031" s="211"/>
      <c r="Y1031" s="211"/>
      <c r="Z1031" s="211"/>
      <c r="AA1031" s="84"/>
      <c r="AB1031" s="146"/>
      <c r="AC1031" s="211"/>
      <c r="AD1031" s="211"/>
      <c r="AE1031" s="211"/>
      <c r="AF1031" s="84"/>
      <c r="AG1031" s="146"/>
      <c r="AH1031" s="211"/>
      <c r="AI1031" s="211"/>
      <c r="AJ1031" s="211"/>
      <c r="AK1031" s="84"/>
      <c r="AL1031" s="146"/>
      <c r="AM1031" s="211"/>
      <c r="AN1031" s="211"/>
      <c r="AO1031" s="211"/>
      <c r="AP1031" s="436"/>
      <c r="AQ1031" s="146"/>
      <c r="AR1031" s="211"/>
      <c r="AS1031" s="211"/>
      <c r="AT1031" s="211"/>
      <c r="AU1031" s="84"/>
      <c r="AV1031" s="211"/>
      <c r="AW1031" s="211"/>
      <c r="AX1031" s="211"/>
      <c r="AY1031" s="211"/>
      <c r="AZ1031" s="84"/>
      <c r="BA1031" s="211"/>
      <c r="BB1031" s="211"/>
      <c r="BC1031" s="211"/>
      <c r="BD1031" s="211"/>
      <c r="BE1031" s="84"/>
      <c r="BF1031" s="211"/>
      <c r="BG1031" s="451"/>
    </row>
    <row r="1032" spans="1:59" ht="12.75">
      <c r="A1032" s="211"/>
      <c r="B1032" s="449"/>
      <c r="C1032" s="450"/>
      <c r="D1032" s="211"/>
      <c r="E1032" s="211"/>
      <c r="F1032" s="211"/>
      <c r="G1032" s="84"/>
      <c r="H1032" s="211"/>
      <c r="I1032" s="211"/>
      <c r="J1032" s="211"/>
      <c r="K1032" s="211"/>
      <c r="L1032" s="84"/>
      <c r="M1032" s="211"/>
      <c r="N1032" s="211"/>
      <c r="O1032" s="211"/>
      <c r="P1032" s="211"/>
      <c r="Q1032" s="84"/>
      <c r="R1032" s="211"/>
      <c r="S1032" s="211"/>
      <c r="T1032" s="211"/>
      <c r="U1032" s="211"/>
      <c r="V1032" s="84"/>
      <c r="W1032" s="211"/>
      <c r="X1032" s="211"/>
      <c r="Y1032" s="211"/>
      <c r="Z1032" s="211"/>
      <c r="AA1032" s="84"/>
      <c r="AB1032" s="146"/>
      <c r="AC1032" s="211"/>
      <c r="AD1032" s="211"/>
      <c r="AE1032" s="211"/>
      <c r="AF1032" s="84"/>
      <c r="AG1032" s="146"/>
      <c r="AH1032" s="211"/>
      <c r="AI1032" s="211"/>
      <c r="AJ1032" s="211"/>
      <c r="AK1032" s="84"/>
      <c r="AL1032" s="146"/>
      <c r="AM1032" s="211"/>
      <c r="AN1032" s="211"/>
      <c r="AO1032" s="211"/>
      <c r="AP1032" s="436"/>
      <c r="AQ1032" s="146"/>
      <c r="AR1032" s="211"/>
      <c r="AS1032" s="211"/>
      <c r="AT1032" s="211"/>
      <c r="AU1032" s="84"/>
      <c r="AV1032" s="211"/>
      <c r="AW1032" s="211"/>
      <c r="AX1032" s="211"/>
      <c r="AY1032" s="211"/>
      <c r="AZ1032" s="84"/>
      <c r="BA1032" s="211"/>
      <c r="BB1032" s="211"/>
      <c r="BC1032" s="211"/>
      <c r="BD1032" s="211"/>
      <c r="BE1032" s="84"/>
      <c r="BF1032" s="211"/>
      <c r="BG1032" s="451"/>
    </row>
    <row r="1033" spans="1:59" ht="12.75">
      <c r="A1033" s="211"/>
      <c r="B1033" s="449"/>
      <c r="C1033" s="450"/>
      <c r="D1033" s="211"/>
      <c r="E1033" s="211"/>
      <c r="F1033" s="211"/>
      <c r="G1033" s="84"/>
      <c r="H1033" s="211"/>
      <c r="I1033" s="211"/>
      <c r="J1033" s="211"/>
      <c r="K1033" s="211"/>
      <c r="L1033" s="84"/>
      <c r="M1033" s="211"/>
      <c r="N1033" s="211"/>
      <c r="O1033" s="211"/>
      <c r="P1033" s="211"/>
      <c r="Q1033" s="84"/>
      <c r="R1033" s="211"/>
      <c r="S1033" s="211"/>
      <c r="T1033" s="211"/>
      <c r="U1033" s="211"/>
      <c r="V1033" s="84"/>
      <c r="W1033" s="211"/>
      <c r="X1033" s="211"/>
      <c r="Y1033" s="211"/>
      <c r="Z1033" s="211"/>
      <c r="AA1033" s="84"/>
      <c r="AB1033" s="146"/>
      <c r="AC1033" s="211"/>
      <c r="AD1033" s="211"/>
      <c r="AE1033" s="211"/>
      <c r="AF1033" s="84"/>
      <c r="AG1033" s="146"/>
      <c r="AH1033" s="211"/>
      <c r="AI1033" s="211"/>
      <c r="AJ1033" s="211"/>
      <c r="AK1033" s="84"/>
      <c r="AL1033" s="146"/>
      <c r="AM1033" s="211"/>
      <c r="AN1033" s="211"/>
      <c r="AO1033" s="211"/>
      <c r="AP1033" s="436"/>
      <c r="AQ1033" s="146"/>
      <c r="AR1033" s="211"/>
      <c r="AS1033" s="211"/>
      <c r="AT1033" s="211"/>
      <c r="AU1033" s="84"/>
      <c r="AV1033" s="211"/>
      <c r="AW1033" s="211"/>
      <c r="AX1033" s="211"/>
      <c r="AY1033" s="211"/>
      <c r="AZ1033" s="84"/>
      <c r="BA1033" s="211"/>
      <c r="BB1033" s="211"/>
      <c r="BC1033" s="211"/>
      <c r="BD1033" s="211"/>
      <c r="BE1033" s="84"/>
      <c r="BF1033" s="211"/>
      <c r="BG1033" s="451"/>
    </row>
    <row r="1034" spans="1:59" ht="12.75">
      <c r="A1034" s="211"/>
      <c r="B1034" s="449"/>
      <c r="C1034" s="450"/>
      <c r="D1034" s="211"/>
      <c r="E1034" s="211"/>
      <c r="F1034" s="211"/>
      <c r="G1034" s="84"/>
      <c r="H1034" s="211"/>
      <c r="I1034" s="211"/>
      <c r="J1034" s="211"/>
      <c r="K1034" s="211"/>
      <c r="L1034" s="84"/>
      <c r="M1034" s="211"/>
      <c r="N1034" s="211"/>
      <c r="O1034" s="211"/>
      <c r="P1034" s="211"/>
      <c r="Q1034" s="84"/>
      <c r="R1034" s="211"/>
      <c r="S1034" s="211"/>
      <c r="T1034" s="211"/>
      <c r="U1034" s="211"/>
      <c r="V1034" s="84"/>
      <c r="W1034" s="211"/>
      <c r="X1034" s="211"/>
      <c r="Y1034" s="211"/>
      <c r="Z1034" s="211"/>
      <c r="AA1034" s="84"/>
      <c r="AB1034" s="146"/>
      <c r="AC1034" s="211"/>
      <c r="AD1034" s="211"/>
      <c r="AE1034" s="211"/>
      <c r="AF1034" s="84"/>
      <c r="AG1034" s="146"/>
      <c r="AH1034" s="211"/>
      <c r="AI1034" s="211"/>
      <c r="AJ1034" s="211"/>
      <c r="AK1034" s="84"/>
      <c r="AL1034" s="146"/>
      <c r="AM1034" s="211"/>
      <c r="AN1034" s="211"/>
      <c r="AO1034" s="211"/>
      <c r="AP1034" s="436"/>
      <c r="AQ1034" s="146"/>
      <c r="AR1034" s="211"/>
      <c r="AS1034" s="211"/>
      <c r="AT1034" s="211"/>
      <c r="AU1034" s="84"/>
      <c r="AV1034" s="211"/>
      <c r="AW1034" s="211"/>
      <c r="AX1034" s="211"/>
      <c r="AY1034" s="211"/>
      <c r="AZ1034" s="84"/>
      <c r="BA1034" s="211"/>
      <c r="BB1034" s="211"/>
      <c r="BC1034" s="211"/>
      <c r="BD1034" s="211"/>
      <c r="BE1034" s="84"/>
      <c r="BF1034" s="211"/>
      <c r="BG1034" s="451"/>
    </row>
    <row r="1035" spans="1:59" ht="12.75">
      <c r="A1035" s="211"/>
      <c r="B1035" s="449"/>
      <c r="C1035" s="450"/>
      <c r="D1035" s="211"/>
      <c r="E1035" s="211"/>
      <c r="F1035" s="211"/>
      <c r="G1035" s="84"/>
      <c r="H1035" s="211"/>
      <c r="I1035" s="211"/>
      <c r="J1035" s="211"/>
      <c r="K1035" s="211"/>
      <c r="L1035" s="84"/>
      <c r="M1035" s="211"/>
      <c r="N1035" s="211"/>
      <c r="O1035" s="211"/>
      <c r="P1035" s="211"/>
      <c r="Q1035" s="84"/>
      <c r="R1035" s="211"/>
      <c r="S1035" s="211"/>
      <c r="T1035" s="211"/>
      <c r="U1035" s="211"/>
      <c r="V1035" s="84"/>
      <c r="W1035" s="211"/>
      <c r="X1035" s="211"/>
      <c r="Y1035" s="211"/>
      <c r="Z1035" s="211"/>
      <c r="AA1035" s="84"/>
      <c r="AB1035" s="146"/>
      <c r="AC1035" s="211"/>
      <c r="AD1035" s="211"/>
      <c r="AE1035" s="211"/>
      <c r="AF1035" s="84"/>
      <c r="AG1035" s="146"/>
      <c r="AH1035" s="211"/>
      <c r="AI1035" s="211"/>
      <c r="AJ1035" s="211"/>
      <c r="AK1035" s="84"/>
      <c r="AL1035" s="146"/>
      <c r="AM1035" s="211"/>
      <c r="AN1035" s="211"/>
      <c r="AO1035" s="211"/>
      <c r="AP1035" s="436"/>
      <c r="AQ1035" s="146"/>
      <c r="AR1035" s="211"/>
      <c r="AS1035" s="211"/>
      <c r="AT1035" s="211"/>
      <c r="AU1035" s="84"/>
      <c r="AV1035" s="211"/>
      <c r="AW1035" s="211"/>
      <c r="AX1035" s="211"/>
      <c r="AY1035" s="211"/>
      <c r="AZ1035" s="84"/>
      <c r="BA1035" s="211"/>
      <c r="BB1035" s="211"/>
      <c r="BC1035" s="211"/>
      <c r="BD1035" s="211"/>
      <c r="BE1035" s="84"/>
      <c r="BF1035" s="211"/>
      <c r="BG1035" s="451"/>
    </row>
    <row r="1036" spans="1:59" ht="12.75">
      <c r="A1036" s="211"/>
      <c r="B1036" s="449"/>
      <c r="C1036" s="450"/>
      <c r="D1036" s="211"/>
      <c r="E1036" s="211"/>
      <c r="F1036" s="211"/>
      <c r="G1036" s="84"/>
      <c r="H1036" s="211"/>
      <c r="I1036" s="211"/>
      <c r="J1036" s="211"/>
      <c r="K1036" s="211"/>
      <c r="L1036" s="84"/>
      <c r="M1036" s="211"/>
      <c r="N1036" s="211"/>
      <c r="O1036" s="211"/>
      <c r="P1036" s="211"/>
      <c r="Q1036" s="84"/>
      <c r="R1036" s="211"/>
      <c r="S1036" s="211"/>
      <c r="T1036" s="211"/>
      <c r="U1036" s="211"/>
      <c r="V1036" s="84"/>
      <c r="W1036" s="211"/>
      <c r="X1036" s="211"/>
      <c r="Y1036" s="211"/>
      <c r="Z1036" s="211"/>
      <c r="AA1036" s="84"/>
      <c r="AB1036" s="146"/>
      <c r="AC1036" s="211"/>
      <c r="AD1036" s="211"/>
      <c r="AE1036" s="211"/>
      <c r="AF1036" s="84"/>
      <c r="AG1036" s="146"/>
      <c r="AH1036" s="211"/>
      <c r="AI1036" s="211"/>
      <c r="AJ1036" s="211"/>
      <c r="AK1036" s="84"/>
      <c r="AL1036" s="146"/>
      <c r="AM1036" s="211"/>
      <c r="AN1036" s="211"/>
      <c r="AO1036" s="211"/>
      <c r="AP1036" s="436"/>
      <c r="AQ1036" s="146"/>
      <c r="AR1036" s="211"/>
      <c r="AS1036" s="211"/>
      <c r="AT1036" s="211"/>
      <c r="AU1036" s="84"/>
      <c r="AV1036" s="211"/>
      <c r="AW1036" s="211"/>
      <c r="AX1036" s="211"/>
      <c r="AY1036" s="211"/>
      <c r="AZ1036" s="84"/>
      <c r="BA1036" s="211"/>
      <c r="BB1036" s="211"/>
      <c r="BC1036" s="211"/>
      <c r="BD1036" s="211"/>
      <c r="BE1036" s="84"/>
      <c r="BF1036" s="211"/>
      <c r="BG1036" s="451"/>
    </row>
    <row r="1037" spans="1:59" ht="12.75">
      <c r="A1037" s="211"/>
      <c r="B1037" s="449"/>
      <c r="C1037" s="450"/>
      <c r="D1037" s="211"/>
      <c r="E1037" s="211"/>
      <c r="F1037" s="211"/>
      <c r="G1037" s="84"/>
      <c r="H1037" s="211"/>
      <c r="I1037" s="211"/>
      <c r="J1037" s="211"/>
      <c r="K1037" s="211"/>
      <c r="L1037" s="84"/>
      <c r="M1037" s="211"/>
      <c r="N1037" s="211"/>
      <c r="O1037" s="211"/>
      <c r="P1037" s="211"/>
      <c r="Q1037" s="84"/>
      <c r="R1037" s="211"/>
      <c r="S1037" s="211"/>
      <c r="T1037" s="211"/>
      <c r="U1037" s="211"/>
      <c r="V1037" s="84"/>
      <c r="W1037" s="211"/>
      <c r="X1037" s="211"/>
      <c r="Y1037" s="211"/>
      <c r="Z1037" s="211"/>
      <c r="AA1037" s="84"/>
      <c r="AB1037" s="146"/>
      <c r="AC1037" s="211"/>
      <c r="AD1037" s="211"/>
      <c r="AE1037" s="211"/>
      <c r="AF1037" s="84"/>
      <c r="AG1037" s="146"/>
      <c r="AH1037" s="211"/>
      <c r="AI1037" s="211"/>
      <c r="AJ1037" s="211"/>
      <c r="AK1037" s="84"/>
      <c r="AL1037" s="146"/>
      <c r="AM1037" s="211"/>
      <c r="AN1037" s="211"/>
      <c r="AO1037" s="211"/>
      <c r="AP1037" s="436"/>
      <c r="AQ1037" s="146"/>
      <c r="AR1037" s="211"/>
      <c r="AS1037" s="211"/>
      <c r="AT1037" s="211"/>
      <c r="AU1037" s="84"/>
      <c r="AV1037" s="211"/>
      <c r="AW1037" s="211"/>
      <c r="AX1037" s="211"/>
      <c r="AY1037" s="211"/>
      <c r="AZ1037" s="84"/>
      <c r="BA1037" s="211"/>
      <c r="BB1037" s="211"/>
      <c r="BC1037" s="211"/>
      <c r="BD1037" s="211"/>
      <c r="BE1037" s="84"/>
      <c r="BF1037" s="211"/>
      <c r="BG1037" s="451"/>
    </row>
    <row r="1038" spans="1:59" ht="12.75">
      <c r="A1038" s="211"/>
      <c r="B1038" s="449"/>
      <c r="C1038" s="450"/>
      <c r="D1038" s="211"/>
      <c r="E1038" s="211"/>
      <c r="F1038" s="211"/>
      <c r="G1038" s="84"/>
      <c r="H1038" s="211"/>
      <c r="I1038" s="211"/>
      <c r="J1038" s="211"/>
      <c r="K1038" s="211"/>
      <c r="L1038" s="84"/>
      <c r="M1038" s="211"/>
      <c r="N1038" s="211"/>
      <c r="O1038" s="211"/>
      <c r="P1038" s="211"/>
      <c r="Q1038" s="84"/>
      <c r="R1038" s="211"/>
      <c r="S1038" s="211"/>
      <c r="T1038" s="211"/>
      <c r="U1038" s="211"/>
      <c r="V1038" s="84"/>
      <c r="W1038" s="211"/>
      <c r="X1038" s="211"/>
      <c r="Y1038" s="211"/>
      <c r="Z1038" s="211"/>
      <c r="AA1038" s="84"/>
      <c r="AB1038" s="146"/>
      <c r="AC1038" s="211"/>
      <c r="AD1038" s="211"/>
      <c r="AE1038" s="211"/>
      <c r="AF1038" s="84"/>
      <c r="AG1038" s="146"/>
      <c r="AH1038" s="211"/>
      <c r="AI1038" s="211"/>
      <c r="AJ1038" s="211"/>
      <c r="AK1038" s="84"/>
      <c r="AL1038" s="146"/>
      <c r="AM1038" s="211"/>
      <c r="AN1038" s="211"/>
      <c r="AO1038" s="211"/>
      <c r="AP1038" s="436"/>
      <c r="AQ1038" s="146"/>
      <c r="AR1038" s="211"/>
      <c r="AS1038" s="211"/>
      <c r="AT1038" s="211"/>
      <c r="AU1038" s="84"/>
      <c r="AV1038" s="211"/>
      <c r="AW1038" s="211"/>
      <c r="AX1038" s="211"/>
      <c r="AY1038" s="211"/>
      <c r="AZ1038" s="84"/>
      <c r="BA1038" s="211"/>
      <c r="BB1038" s="211"/>
      <c r="BC1038" s="211"/>
      <c r="BD1038" s="211"/>
      <c r="BE1038" s="84"/>
      <c r="BF1038" s="211"/>
      <c r="BG1038" s="451"/>
    </row>
    <row r="1039" spans="1:59" ht="12.75">
      <c r="A1039" s="211"/>
      <c r="B1039" s="449"/>
      <c r="C1039" s="450"/>
      <c r="D1039" s="211"/>
      <c r="E1039" s="211"/>
      <c r="F1039" s="211"/>
      <c r="G1039" s="84"/>
      <c r="H1039" s="211"/>
      <c r="I1039" s="211"/>
      <c r="J1039" s="211"/>
      <c r="K1039" s="211"/>
      <c r="L1039" s="84"/>
      <c r="M1039" s="211"/>
      <c r="N1039" s="211"/>
      <c r="O1039" s="211"/>
      <c r="P1039" s="211"/>
      <c r="Q1039" s="84"/>
      <c r="R1039" s="211"/>
      <c r="S1039" s="211"/>
      <c r="T1039" s="211"/>
      <c r="U1039" s="211"/>
      <c r="V1039" s="84"/>
      <c r="W1039" s="211"/>
      <c r="X1039" s="211"/>
      <c r="Y1039" s="211"/>
      <c r="Z1039" s="211"/>
      <c r="AA1039" s="84"/>
      <c r="AB1039" s="146"/>
      <c r="AC1039" s="211"/>
      <c r="AD1039" s="211"/>
      <c r="AE1039" s="211"/>
      <c r="AF1039" s="84"/>
      <c r="AG1039" s="146"/>
      <c r="AH1039" s="211"/>
      <c r="AI1039" s="211"/>
      <c r="AJ1039" s="211"/>
      <c r="AK1039" s="84"/>
      <c r="AL1039" s="146"/>
      <c r="AM1039" s="211"/>
      <c r="AN1039" s="211"/>
      <c r="AO1039" s="211"/>
      <c r="AP1039" s="436"/>
      <c r="AQ1039" s="146"/>
      <c r="AR1039" s="211"/>
      <c r="AS1039" s="211"/>
      <c r="AT1039" s="211"/>
      <c r="AU1039" s="84"/>
      <c r="AV1039" s="211"/>
      <c r="AW1039" s="211"/>
      <c r="AX1039" s="211"/>
      <c r="AY1039" s="211"/>
      <c r="AZ1039" s="84"/>
      <c r="BA1039" s="211"/>
      <c r="BB1039" s="211"/>
      <c r="BC1039" s="211"/>
      <c r="BD1039" s="211"/>
      <c r="BE1039" s="84"/>
      <c r="BF1039" s="211"/>
      <c r="BG1039" s="451"/>
    </row>
    <row r="1040" spans="1:59" ht="12.75">
      <c r="A1040" s="211"/>
      <c r="B1040" s="449"/>
      <c r="C1040" s="450"/>
      <c r="D1040" s="211"/>
      <c r="E1040" s="211"/>
      <c r="F1040" s="211"/>
      <c r="G1040" s="84"/>
      <c r="H1040" s="211"/>
      <c r="I1040" s="211"/>
      <c r="J1040" s="211"/>
      <c r="K1040" s="211"/>
      <c r="L1040" s="84"/>
      <c r="M1040" s="211"/>
      <c r="N1040" s="211"/>
      <c r="O1040" s="211"/>
      <c r="P1040" s="211"/>
      <c r="Q1040" s="84"/>
      <c r="R1040" s="211"/>
      <c r="S1040" s="211"/>
      <c r="T1040" s="211"/>
      <c r="U1040" s="211"/>
      <c r="V1040" s="84"/>
      <c r="W1040" s="211"/>
      <c r="X1040" s="211"/>
      <c r="Y1040" s="211"/>
      <c r="Z1040" s="211"/>
      <c r="AA1040" s="84"/>
      <c r="AB1040" s="146"/>
      <c r="AC1040" s="211"/>
      <c r="AD1040" s="211"/>
      <c r="AE1040" s="211"/>
      <c r="AF1040" s="84"/>
      <c r="AG1040" s="146"/>
      <c r="AH1040" s="211"/>
      <c r="AI1040" s="211"/>
      <c r="AJ1040" s="211"/>
      <c r="AK1040" s="84"/>
      <c r="AL1040" s="146"/>
      <c r="AM1040" s="211"/>
      <c r="AN1040" s="211"/>
      <c r="AO1040" s="211"/>
      <c r="AP1040" s="436"/>
      <c r="AQ1040" s="146"/>
      <c r="AR1040" s="211"/>
      <c r="AS1040" s="211"/>
      <c r="AT1040" s="211"/>
      <c r="AU1040" s="84"/>
      <c r="AV1040" s="211"/>
      <c r="AW1040" s="211"/>
      <c r="AX1040" s="211"/>
      <c r="AY1040" s="211"/>
      <c r="AZ1040" s="84"/>
      <c r="BA1040" s="211"/>
      <c r="BB1040" s="211"/>
      <c r="BC1040" s="211"/>
      <c r="BD1040" s="211"/>
      <c r="BE1040" s="84"/>
      <c r="BF1040" s="211"/>
      <c r="BG1040" s="451"/>
    </row>
    <row r="1041" spans="1:59" ht="12.75">
      <c r="A1041" s="211"/>
      <c r="B1041" s="449"/>
      <c r="C1041" s="450"/>
      <c r="D1041" s="211"/>
      <c r="E1041" s="211"/>
      <c r="F1041" s="211"/>
      <c r="G1041" s="84"/>
      <c r="H1041" s="211"/>
      <c r="I1041" s="211"/>
      <c r="J1041" s="211"/>
      <c r="K1041" s="211"/>
      <c r="L1041" s="84"/>
      <c r="M1041" s="211"/>
      <c r="N1041" s="211"/>
      <c r="O1041" s="211"/>
      <c r="P1041" s="211"/>
      <c r="Q1041" s="84"/>
      <c r="R1041" s="211"/>
      <c r="S1041" s="211"/>
      <c r="T1041" s="211"/>
      <c r="U1041" s="211"/>
      <c r="V1041" s="84"/>
      <c r="W1041" s="211"/>
      <c r="X1041" s="211"/>
      <c r="Y1041" s="211"/>
      <c r="Z1041" s="211"/>
      <c r="AA1041" s="84"/>
      <c r="AB1041" s="146"/>
      <c r="AC1041" s="211"/>
      <c r="AD1041" s="211"/>
      <c r="AE1041" s="211"/>
      <c r="AF1041" s="84"/>
      <c r="AG1041" s="146"/>
      <c r="AH1041" s="211"/>
      <c r="AI1041" s="211"/>
      <c r="AJ1041" s="211"/>
      <c r="AK1041" s="84"/>
      <c r="AL1041" s="146"/>
      <c r="AM1041" s="211"/>
      <c r="AN1041" s="211"/>
      <c r="AO1041" s="211"/>
      <c r="AP1041" s="436"/>
      <c r="AQ1041" s="146"/>
      <c r="AR1041" s="211"/>
      <c r="AS1041" s="211"/>
      <c r="AT1041" s="211"/>
      <c r="AU1041" s="84"/>
      <c r="AV1041" s="211"/>
      <c r="AW1041" s="211"/>
      <c r="AX1041" s="211"/>
      <c r="AY1041" s="211"/>
      <c r="AZ1041" s="84"/>
      <c r="BA1041" s="211"/>
      <c r="BB1041" s="211"/>
      <c r="BC1041" s="211"/>
      <c r="BD1041" s="211"/>
      <c r="BE1041" s="84"/>
      <c r="BF1041" s="211"/>
      <c r="BG1041" s="451"/>
    </row>
    <row r="1042" spans="1:59" ht="12.75">
      <c r="A1042" s="211"/>
      <c r="B1042" s="449"/>
      <c r="C1042" s="450"/>
      <c r="D1042" s="211"/>
      <c r="E1042" s="211"/>
      <c r="F1042" s="211"/>
      <c r="G1042" s="84"/>
      <c r="H1042" s="211"/>
      <c r="I1042" s="211"/>
      <c r="J1042" s="211"/>
      <c r="K1042" s="211"/>
      <c r="L1042" s="84"/>
      <c r="M1042" s="211"/>
      <c r="N1042" s="211"/>
      <c r="O1042" s="211"/>
      <c r="P1042" s="211"/>
      <c r="Q1042" s="84"/>
      <c r="R1042" s="211"/>
      <c r="S1042" s="211"/>
      <c r="T1042" s="211"/>
      <c r="U1042" s="211"/>
      <c r="V1042" s="84"/>
      <c r="W1042" s="211"/>
      <c r="X1042" s="211"/>
      <c r="Y1042" s="211"/>
      <c r="Z1042" s="211"/>
      <c r="AA1042" s="84"/>
      <c r="AB1042" s="146"/>
      <c r="AC1042" s="211"/>
      <c r="AD1042" s="211"/>
      <c r="AE1042" s="211"/>
      <c r="AF1042" s="84"/>
      <c r="AG1042" s="146"/>
      <c r="AH1042" s="211"/>
      <c r="AI1042" s="211"/>
      <c r="AJ1042" s="211"/>
      <c r="AK1042" s="84"/>
      <c r="AL1042" s="146"/>
      <c r="AM1042" s="211"/>
      <c r="AN1042" s="211"/>
      <c r="AO1042" s="211"/>
      <c r="AP1042" s="436"/>
      <c r="AQ1042" s="146"/>
      <c r="AR1042" s="211"/>
      <c r="AS1042" s="211"/>
      <c r="AT1042" s="211"/>
      <c r="AU1042" s="84"/>
      <c r="AV1042" s="211"/>
      <c r="AW1042" s="211"/>
      <c r="AX1042" s="211"/>
      <c r="AY1042" s="211"/>
      <c r="AZ1042" s="84"/>
      <c r="BA1042" s="211"/>
      <c r="BB1042" s="211"/>
      <c r="BC1042" s="211"/>
      <c r="BD1042" s="211"/>
      <c r="BE1042" s="84"/>
      <c r="BF1042" s="211"/>
      <c r="BG1042" s="451"/>
    </row>
    <row r="1043" spans="1:59" ht="12.75">
      <c r="A1043" s="211"/>
      <c r="B1043" s="449"/>
      <c r="C1043" s="450"/>
      <c r="D1043" s="211"/>
      <c r="E1043" s="211"/>
      <c r="F1043" s="211"/>
      <c r="G1043" s="84"/>
      <c r="H1043" s="211"/>
      <c r="I1043" s="211"/>
      <c r="J1043" s="211"/>
      <c r="K1043" s="211"/>
      <c r="L1043" s="84"/>
      <c r="M1043" s="211"/>
      <c r="N1043" s="211"/>
      <c r="O1043" s="211"/>
      <c r="P1043" s="211"/>
      <c r="Q1043" s="84"/>
      <c r="R1043" s="211"/>
      <c r="S1043" s="211"/>
      <c r="T1043" s="211"/>
      <c r="U1043" s="211"/>
      <c r="V1043" s="84"/>
      <c r="W1043" s="211"/>
      <c r="X1043" s="211"/>
      <c r="Y1043" s="211"/>
      <c r="Z1043" s="211"/>
      <c r="AA1043" s="84"/>
      <c r="AB1043" s="146"/>
      <c r="AC1043" s="211"/>
      <c r="AD1043" s="211"/>
      <c r="AE1043" s="211"/>
      <c r="AF1043" s="84"/>
      <c r="AG1043" s="146"/>
      <c r="AH1043" s="211"/>
      <c r="AI1043" s="211"/>
      <c r="AJ1043" s="211"/>
      <c r="AK1043" s="84"/>
      <c r="AL1043" s="146"/>
      <c r="AM1043" s="211"/>
      <c r="AN1043" s="211"/>
      <c r="AO1043" s="211"/>
      <c r="AP1043" s="436"/>
      <c r="AQ1043" s="146"/>
      <c r="AR1043" s="211"/>
      <c r="AS1043" s="211"/>
      <c r="AT1043" s="211"/>
      <c r="AU1043" s="84"/>
      <c r="AV1043" s="211"/>
      <c r="AW1043" s="211"/>
      <c r="AX1043" s="211"/>
      <c r="AY1043" s="211"/>
      <c r="AZ1043" s="84"/>
      <c r="BA1043" s="211"/>
      <c r="BB1043" s="211"/>
      <c r="BC1043" s="211"/>
      <c r="BD1043" s="211"/>
      <c r="BE1043" s="84"/>
      <c r="BF1043" s="211"/>
      <c r="BG1043" s="451"/>
    </row>
    <row r="1044" spans="1:59" ht="12.75">
      <c r="A1044" s="211"/>
      <c r="B1044" s="449"/>
      <c r="C1044" s="450"/>
      <c r="D1044" s="211"/>
      <c r="E1044" s="211"/>
      <c r="F1044" s="211"/>
      <c r="G1044" s="84"/>
      <c r="H1044" s="211"/>
      <c r="I1044" s="211"/>
      <c r="J1044" s="211"/>
      <c r="K1044" s="211"/>
      <c r="L1044" s="84"/>
      <c r="M1044" s="211"/>
      <c r="N1044" s="211"/>
      <c r="O1044" s="211"/>
      <c r="P1044" s="211"/>
      <c r="Q1044" s="84"/>
      <c r="R1044" s="211"/>
      <c r="S1044" s="211"/>
      <c r="T1044" s="211"/>
      <c r="U1044" s="211"/>
      <c r="V1044" s="84"/>
      <c r="W1044" s="211"/>
      <c r="X1044" s="211"/>
      <c r="Y1044" s="211"/>
      <c r="Z1044" s="211"/>
      <c r="AA1044" s="84"/>
      <c r="AB1044" s="146"/>
      <c r="AC1044" s="211"/>
      <c r="AD1044" s="211"/>
      <c r="AE1044" s="211"/>
      <c r="AF1044" s="84"/>
      <c r="AG1044" s="146"/>
      <c r="AH1044" s="211"/>
      <c r="AI1044" s="211"/>
      <c r="AJ1044" s="211"/>
      <c r="AK1044" s="84"/>
      <c r="AL1044" s="146"/>
      <c r="AM1044" s="211"/>
      <c r="AN1044" s="211"/>
      <c r="AO1044" s="211"/>
      <c r="AP1044" s="436"/>
      <c r="AQ1044" s="146"/>
      <c r="AR1044" s="211"/>
      <c r="AS1044" s="211"/>
      <c r="AT1044" s="211"/>
      <c r="AU1044" s="84"/>
      <c r="AV1044" s="211"/>
      <c r="AW1044" s="211"/>
      <c r="AX1044" s="211"/>
      <c r="AY1044" s="211"/>
      <c r="AZ1044" s="84"/>
      <c r="BA1044" s="211"/>
      <c r="BB1044" s="211"/>
      <c r="BC1044" s="211"/>
      <c r="BD1044" s="211"/>
      <c r="BE1044" s="84"/>
      <c r="BF1044" s="211"/>
      <c r="BG1044" s="451"/>
    </row>
    <row r="1045" spans="1:59" ht="12.75">
      <c r="A1045" s="211"/>
      <c r="B1045" s="449"/>
      <c r="C1045" s="450"/>
      <c r="D1045" s="211"/>
      <c r="E1045" s="211"/>
      <c r="F1045" s="211"/>
      <c r="G1045" s="84"/>
      <c r="H1045" s="211"/>
      <c r="I1045" s="211"/>
      <c r="J1045" s="211"/>
      <c r="K1045" s="211"/>
      <c r="L1045" s="84"/>
      <c r="M1045" s="211"/>
      <c r="N1045" s="211"/>
      <c r="O1045" s="211"/>
      <c r="P1045" s="211"/>
      <c r="Q1045" s="84"/>
      <c r="R1045" s="211"/>
      <c r="S1045" s="211"/>
      <c r="T1045" s="211"/>
      <c r="U1045" s="211"/>
      <c r="V1045" s="84"/>
      <c r="W1045" s="211"/>
      <c r="X1045" s="211"/>
      <c r="Y1045" s="211"/>
      <c r="Z1045" s="211"/>
      <c r="AA1045" s="84"/>
      <c r="AB1045" s="146"/>
      <c r="AC1045" s="211"/>
      <c r="AD1045" s="211"/>
      <c r="AE1045" s="211"/>
      <c r="AF1045" s="84"/>
      <c r="AG1045" s="146"/>
      <c r="AH1045" s="211"/>
      <c r="AI1045" s="211"/>
      <c r="AJ1045" s="211"/>
      <c r="AK1045" s="84"/>
      <c r="AL1045" s="146"/>
      <c r="AM1045" s="211"/>
      <c r="AN1045" s="211"/>
      <c r="AO1045" s="211"/>
      <c r="AP1045" s="436"/>
      <c r="AQ1045" s="146"/>
      <c r="AR1045" s="211"/>
      <c r="AS1045" s="211"/>
      <c r="AT1045" s="211"/>
      <c r="AU1045" s="84"/>
      <c r="AV1045" s="211"/>
      <c r="AW1045" s="211"/>
      <c r="AX1045" s="211"/>
      <c r="AY1045" s="211"/>
      <c r="AZ1045" s="84"/>
      <c r="BA1045" s="211"/>
      <c r="BB1045" s="211"/>
      <c r="BC1045" s="211"/>
      <c r="BD1045" s="211"/>
      <c r="BE1045" s="84"/>
      <c r="BF1045" s="211"/>
      <c r="BG1045" s="451"/>
    </row>
    <row r="1046" spans="1:59" ht="12.75">
      <c r="A1046" s="211"/>
      <c r="B1046" s="449"/>
      <c r="C1046" s="450"/>
      <c r="D1046" s="211"/>
      <c r="E1046" s="211"/>
      <c r="F1046" s="211"/>
      <c r="G1046" s="84"/>
      <c r="H1046" s="211"/>
      <c r="I1046" s="211"/>
      <c r="J1046" s="211"/>
      <c r="K1046" s="211"/>
      <c r="L1046" s="84"/>
      <c r="M1046" s="211"/>
      <c r="N1046" s="211"/>
      <c r="O1046" s="211"/>
      <c r="P1046" s="211"/>
      <c r="Q1046" s="84"/>
      <c r="R1046" s="211"/>
      <c r="S1046" s="211"/>
      <c r="T1046" s="211"/>
      <c r="U1046" s="211"/>
      <c r="V1046" s="84"/>
      <c r="W1046" s="211"/>
      <c r="X1046" s="211"/>
      <c r="Y1046" s="211"/>
      <c r="Z1046" s="211"/>
      <c r="AA1046" s="84"/>
      <c r="AB1046" s="146"/>
      <c r="AC1046" s="211"/>
      <c r="AD1046" s="211"/>
      <c r="AE1046" s="211"/>
      <c r="AF1046" s="84"/>
      <c r="AG1046" s="146"/>
      <c r="AH1046" s="211"/>
      <c r="AI1046" s="211"/>
      <c r="AJ1046" s="211"/>
      <c r="AK1046" s="84"/>
      <c r="AL1046" s="146"/>
      <c r="AM1046" s="211"/>
      <c r="AN1046" s="211"/>
      <c r="AO1046" s="211"/>
      <c r="AP1046" s="436"/>
      <c r="AQ1046" s="146"/>
      <c r="AR1046" s="211"/>
      <c r="AS1046" s="211"/>
      <c r="AT1046" s="211"/>
      <c r="AU1046" s="84"/>
      <c r="AV1046" s="211"/>
      <c r="AW1046" s="211"/>
      <c r="AX1046" s="211"/>
      <c r="AY1046" s="211"/>
      <c r="AZ1046" s="84"/>
      <c r="BA1046" s="211"/>
      <c r="BB1046" s="211"/>
      <c r="BC1046" s="211"/>
      <c r="BD1046" s="211"/>
      <c r="BE1046" s="84"/>
      <c r="BF1046" s="211"/>
      <c r="BG1046" s="451"/>
    </row>
    <row r="1047" spans="1:59" ht="12.75">
      <c r="A1047" s="211"/>
      <c r="B1047" s="449"/>
      <c r="C1047" s="450"/>
      <c r="D1047" s="211"/>
      <c r="E1047" s="211"/>
      <c r="F1047" s="211"/>
      <c r="G1047" s="84"/>
      <c r="H1047" s="211"/>
      <c r="I1047" s="211"/>
      <c r="J1047" s="211"/>
      <c r="K1047" s="211"/>
      <c r="L1047" s="84"/>
      <c r="M1047" s="211"/>
      <c r="N1047" s="211"/>
      <c r="O1047" s="211"/>
      <c r="P1047" s="211"/>
      <c r="Q1047" s="84"/>
      <c r="R1047" s="211"/>
      <c r="S1047" s="211"/>
      <c r="T1047" s="211"/>
      <c r="U1047" s="211"/>
      <c r="V1047" s="84"/>
      <c r="W1047" s="211"/>
      <c r="X1047" s="211"/>
      <c r="Y1047" s="211"/>
      <c r="Z1047" s="211"/>
      <c r="AA1047" s="84"/>
      <c r="AB1047" s="146"/>
      <c r="AC1047" s="211"/>
      <c r="AD1047" s="211"/>
      <c r="AE1047" s="211"/>
      <c r="AF1047" s="84"/>
      <c r="AG1047" s="146"/>
      <c r="AH1047" s="211"/>
      <c r="AI1047" s="211"/>
      <c r="AJ1047" s="211"/>
      <c r="AK1047" s="84"/>
      <c r="AL1047" s="146"/>
      <c r="AM1047" s="211"/>
      <c r="AN1047" s="211"/>
      <c r="AO1047" s="211"/>
      <c r="AP1047" s="436"/>
      <c r="AQ1047" s="146"/>
      <c r="AR1047" s="211"/>
      <c r="AS1047" s="211"/>
      <c r="AT1047" s="211"/>
      <c r="AU1047" s="84"/>
      <c r="AV1047" s="211"/>
      <c r="AW1047" s="211"/>
      <c r="AX1047" s="211"/>
      <c r="AY1047" s="211"/>
      <c r="AZ1047" s="84"/>
      <c r="BA1047" s="211"/>
      <c r="BB1047" s="211"/>
      <c r="BC1047" s="211"/>
      <c r="BD1047" s="211"/>
      <c r="BE1047" s="84"/>
      <c r="BF1047" s="211"/>
      <c r="BG1047" s="451"/>
    </row>
    <row r="1048" spans="1:59" ht="12.75">
      <c r="A1048" s="211"/>
      <c r="B1048" s="449"/>
      <c r="C1048" s="450"/>
      <c r="D1048" s="211"/>
      <c r="E1048" s="211"/>
      <c r="F1048" s="211"/>
      <c r="G1048" s="84"/>
      <c r="H1048" s="211"/>
      <c r="I1048" s="211"/>
      <c r="J1048" s="211"/>
      <c r="K1048" s="211"/>
      <c r="L1048" s="84"/>
      <c r="M1048" s="211"/>
      <c r="N1048" s="211"/>
      <c r="O1048" s="211"/>
      <c r="P1048" s="211"/>
      <c r="Q1048" s="84"/>
      <c r="R1048" s="211"/>
      <c r="S1048" s="211"/>
      <c r="T1048" s="211"/>
      <c r="U1048" s="211"/>
      <c r="V1048" s="84"/>
      <c r="W1048" s="211"/>
      <c r="X1048" s="211"/>
      <c r="Y1048" s="211"/>
      <c r="Z1048" s="211"/>
      <c r="AA1048" s="84"/>
      <c r="AB1048" s="146"/>
      <c r="AC1048" s="211"/>
      <c r="AD1048" s="211"/>
      <c r="AE1048" s="211"/>
      <c r="AF1048" s="84"/>
      <c r="AG1048" s="146"/>
      <c r="AH1048" s="211"/>
      <c r="AI1048" s="211"/>
      <c r="AJ1048" s="211"/>
      <c r="AK1048" s="84"/>
      <c r="AL1048" s="146"/>
      <c r="AM1048" s="211"/>
      <c r="AN1048" s="211"/>
      <c r="AO1048" s="211"/>
      <c r="AP1048" s="436"/>
      <c r="AQ1048" s="146"/>
      <c r="AR1048" s="211"/>
      <c r="AS1048" s="211"/>
      <c r="AT1048" s="211"/>
      <c r="AU1048" s="84"/>
      <c r="AV1048" s="211"/>
      <c r="AW1048" s="211"/>
      <c r="AX1048" s="211"/>
      <c r="AY1048" s="211"/>
      <c r="AZ1048" s="84"/>
      <c r="BA1048" s="211"/>
      <c r="BB1048" s="211"/>
      <c r="BC1048" s="211"/>
      <c r="BD1048" s="211"/>
      <c r="BE1048" s="84"/>
      <c r="BF1048" s="211"/>
      <c r="BG1048" s="451"/>
    </row>
    <row r="1049" spans="1:59" ht="12.75">
      <c r="A1049" s="211"/>
      <c r="B1049" s="449"/>
      <c r="C1049" s="450"/>
      <c r="D1049" s="211"/>
      <c r="E1049" s="211"/>
      <c r="F1049" s="211"/>
      <c r="G1049" s="84"/>
      <c r="H1049" s="211"/>
      <c r="I1049" s="211"/>
      <c r="J1049" s="211"/>
      <c r="K1049" s="211"/>
      <c r="L1049" s="84"/>
      <c r="M1049" s="211"/>
      <c r="N1049" s="211"/>
      <c r="O1049" s="211"/>
      <c r="P1049" s="211"/>
      <c r="Q1049" s="84"/>
      <c r="R1049" s="211"/>
      <c r="S1049" s="211"/>
      <c r="T1049" s="211"/>
      <c r="U1049" s="211"/>
      <c r="V1049" s="84"/>
      <c r="W1049" s="211"/>
      <c r="X1049" s="211"/>
      <c r="Y1049" s="211"/>
      <c r="Z1049" s="211"/>
      <c r="AA1049" s="84"/>
      <c r="AB1049" s="146"/>
      <c r="AC1049" s="211"/>
      <c r="AD1049" s="211"/>
      <c r="AE1049" s="211"/>
      <c r="AF1049" s="84"/>
      <c r="AG1049" s="146"/>
      <c r="AH1049" s="211"/>
      <c r="AI1049" s="211"/>
      <c r="AJ1049" s="211"/>
      <c r="AK1049" s="84"/>
      <c r="AL1049" s="146"/>
      <c r="AM1049" s="211"/>
      <c r="AN1049" s="211"/>
      <c r="AO1049" s="211"/>
      <c r="AP1049" s="436"/>
      <c r="AQ1049" s="146"/>
      <c r="AR1049" s="211"/>
      <c r="AS1049" s="211"/>
      <c r="AT1049" s="211"/>
      <c r="AU1049" s="84"/>
      <c r="AV1049" s="211"/>
      <c r="AW1049" s="211"/>
      <c r="AX1049" s="211"/>
      <c r="AY1049" s="211"/>
      <c r="AZ1049" s="84"/>
      <c r="BA1049" s="211"/>
      <c r="BB1049" s="211"/>
      <c r="BC1049" s="211"/>
      <c r="BD1049" s="211"/>
      <c r="BE1049" s="84"/>
      <c r="BF1049" s="211"/>
      <c r="BG1049" s="451"/>
    </row>
    <row r="1050" spans="1:59" ht="12.75">
      <c r="A1050" s="211"/>
      <c r="B1050" s="449"/>
      <c r="C1050" s="450"/>
      <c r="D1050" s="211"/>
      <c r="E1050" s="211"/>
      <c r="F1050" s="211"/>
      <c r="G1050" s="84"/>
      <c r="H1050" s="211"/>
      <c r="I1050" s="211"/>
      <c r="J1050" s="211"/>
      <c r="K1050" s="211"/>
      <c r="L1050" s="84"/>
      <c r="M1050" s="211"/>
      <c r="N1050" s="211"/>
      <c r="O1050" s="211"/>
      <c r="P1050" s="211"/>
      <c r="Q1050" s="84"/>
      <c r="R1050" s="211"/>
      <c r="S1050" s="211"/>
      <c r="T1050" s="211"/>
      <c r="U1050" s="211"/>
      <c r="V1050" s="84"/>
      <c r="W1050" s="211"/>
      <c r="X1050" s="211"/>
      <c r="Y1050" s="211"/>
      <c r="Z1050" s="211"/>
      <c r="AA1050" s="84"/>
      <c r="AB1050" s="146"/>
      <c r="AC1050" s="211"/>
      <c r="AD1050" s="211"/>
      <c r="AE1050" s="211"/>
      <c r="AF1050" s="84"/>
      <c r="AG1050" s="146"/>
      <c r="AH1050" s="211"/>
      <c r="AI1050" s="211"/>
      <c r="AJ1050" s="211"/>
      <c r="AK1050" s="84"/>
      <c r="AL1050" s="146"/>
      <c r="AM1050" s="211"/>
      <c r="AN1050" s="211"/>
      <c r="AO1050" s="211"/>
      <c r="AP1050" s="436"/>
      <c r="AQ1050" s="146"/>
      <c r="AR1050" s="211"/>
      <c r="AS1050" s="211"/>
      <c r="AT1050" s="211"/>
      <c r="AU1050" s="84"/>
      <c r="AV1050" s="211"/>
      <c r="AW1050" s="211"/>
      <c r="AX1050" s="211"/>
      <c r="AY1050" s="211"/>
      <c r="AZ1050" s="84"/>
      <c r="BA1050" s="211"/>
      <c r="BB1050" s="211"/>
      <c r="BC1050" s="211"/>
      <c r="BD1050" s="211"/>
      <c r="BE1050" s="84"/>
      <c r="BF1050" s="211"/>
      <c r="BG1050" s="451"/>
    </row>
    <row r="1051" spans="1:59" ht="12.75">
      <c r="A1051" s="211"/>
      <c r="B1051" s="449"/>
      <c r="C1051" s="450"/>
      <c r="D1051" s="211"/>
      <c r="E1051" s="211"/>
      <c r="F1051" s="211"/>
      <c r="G1051" s="84"/>
      <c r="H1051" s="211"/>
      <c r="I1051" s="211"/>
      <c r="J1051" s="211"/>
      <c r="K1051" s="211"/>
      <c r="L1051" s="84"/>
      <c r="M1051" s="211"/>
      <c r="N1051" s="211"/>
      <c r="O1051" s="211"/>
      <c r="P1051" s="211"/>
      <c r="Q1051" s="84"/>
      <c r="R1051" s="211"/>
      <c r="S1051" s="211"/>
      <c r="T1051" s="211"/>
      <c r="U1051" s="211"/>
      <c r="V1051" s="84"/>
      <c r="W1051" s="211"/>
      <c r="X1051" s="211"/>
      <c r="Y1051" s="211"/>
      <c r="Z1051" s="211"/>
      <c r="AA1051" s="84"/>
      <c r="AB1051" s="146"/>
      <c r="AC1051" s="211"/>
      <c r="AD1051" s="211"/>
      <c r="AE1051" s="211"/>
      <c r="AF1051" s="84"/>
      <c r="AG1051" s="146"/>
      <c r="AH1051" s="211"/>
      <c r="AI1051" s="211"/>
      <c r="AJ1051" s="211"/>
      <c r="AK1051" s="84"/>
      <c r="AL1051" s="146"/>
      <c r="AM1051" s="211"/>
      <c r="AN1051" s="211"/>
      <c r="AO1051" s="211"/>
      <c r="AP1051" s="436"/>
      <c r="AQ1051" s="146"/>
      <c r="AR1051" s="211"/>
      <c r="AS1051" s="211"/>
      <c r="AT1051" s="211"/>
      <c r="AU1051" s="84"/>
      <c r="AV1051" s="211"/>
      <c r="AW1051" s="211"/>
      <c r="AX1051" s="211"/>
      <c r="AY1051" s="211"/>
      <c r="AZ1051" s="84"/>
      <c r="BA1051" s="211"/>
      <c r="BB1051" s="211"/>
      <c r="BC1051" s="211"/>
      <c r="BD1051" s="211"/>
      <c r="BE1051" s="84"/>
      <c r="BF1051" s="211"/>
      <c r="BG1051" s="451"/>
    </row>
    <row r="1052" spans="1:59" ht="12.75">
      <c r="A1052" s="211"/>
      <c r="B1052" s="449"/>
      <c r="C1052" s="450"/>
      <c r="D1052" s="211"/>
      <c r="E1052" s="211"/>
      <c r="F1052" s="211"/>
      <c r="G1052" s="84"/>
      <c r="H1052" s="211"/>
      <c r="I1052" s="211"/>
      <c r="J1052" s="211"/>
      <c r="K1052" s="211"/>
      <c r="L1052" s="84"/>
      <c r="M1052" s="211"/>
      <c r="N1052" s="211"/>
      <c r="O1052" s="211"/>
      <c r="P1052" s="211"/>
      <c r="Q1052" s="84"/>
      <c r="R1052" s="211"/>
      <c r="S1052" s="211"/>
      <c r="T1052" s="211"/>
      <c r="U1052" s="211"/>
      <c r="V1052" s="84"/>
      <c r="W1052" s="211"/>
      <c r="X1052" s="211"/>
      <c r="Y1052" s="211"/>
      <c r="Z1052" s="211"/>
      <c r="AA1052" s="84"/>
      <c r="AB1052" s="146"/>
      <c r="AC1052" s="211"/>
      <c r="AD1052" s="211"/>
      <c r="AE1052" s="211"/>
      <c r="AF1052" s="84"/>
      <c r="AG1052" s="146"/>
      <c r="AH1052" s="211"/>
      <c r="AI1052" s="211"/>
      <c r="AJ1052" s="211"/>
      <c r="AK1052" s="84"/>
      <c r="AL1052" s="146"/>
      <c r="AM1052" s="211"/>
      <c r="AN1052" s="211"/>
      <c r="AO1052" s="211"/>
      <c r="AP1052" s="436"/>
      <c r="AQ1052" s="146"/>
      <c r="AR1052" s="211"/>
      <c r="AS1052" s="211"/>
      <c r="AT1052" s="211"/>
      <c r="AU1052" s="84"/>
      <c r="AV1052" s="211"/>
      <c r="AW1052" s="211"/>
      <c r="AX1052" s="211"/>
      <c r="AY1052" s="211"/>
      <c r="AZ1052" s="84"/>
      <c r="BA1052" s="211"/>
      <c r="BB1052" s="211"/>
      <c r="BC1052" s="211"/>
      <c r="BD1052" s="211"/>
      <c r="BE1052" s="84"/>
      <c r="BF1052" s="211"/>
      <c r="BG1052" s="451"/>
    </row>
    <row r="1053" spans="1:59" ht="12.75">
      <c r="A1053" s="211"/>
      <c r="B1053" s="449"/>
      <c r="C1053" s="450"/>
      <c r="D1053" s="211"/>
      <c r="E1053" s="211"/>
      <c r="F1053" s="211"/>
      <c r="G1053" s="84"/>
      <c r="H1053" s="211"/>
      <c r="I1053" s="211"/>
      <c r="J1053" s="211"/>
      <c r="K1053" s="211"/>
      <c r="L1053" s="84"/>
      <c r="M1053" s="211"/>
      <c r="N1053" s="211"/>
      <c r="O1053" s="211"/>
      <c r="P1053" s="211"/>
      <c r="Q1053" s="84"/>
      <c r="R1053" s="211"/>
      <c r="S1053" s="211"/>
      <c r="T1053" s="211"/>
      <c r="U1053" s="211"/>
      <c r="V1053" s="84"/>
      <c r="W1053" s="211"/>
      <c r="X1053" s="211"/>
      <c r="Y1053" s="211"/>
      <c r="Z1053" s="211"/>
      <c r="AA1053" s="84"/>
      <c r="AB1053" s="146"/>
      <c r="AC1053" s="211"/>
      <c r="AD1053" s="211"/>
      <c r="AE1053" s="211"/>
      <c r="AF1053" s="84"/>
      <c r="AG1053" s="146"/>
      <c r="AH1053" s="211"/>
      <c r="AI1053" s="211"/>
      <c r="AJ1053" s="211"/>
      <c r="AK1053" s="84"/>
      <c r="AL1053" s="146"/>
      <c r="AM1053" s="211"/>
      <c r="AN1053" s="211"/>
      <c r="AO1053" s="211"/>
      <c r="AP1053" s="436"/>
      <c r="AQ1053" s="146"/>
      <c r="AR1053" s="211"/>
      <c r="AS1053" s="211"/>
      <c r="AT1053" s="211"/>
      <c r="AU1053" s="84"/>
      <c r="AV1053" s="211"/>
      <c r="AW1053" s="211"/>
      <c r="AX1053" s="211"/>
      <c r="AY1053" s="211"/>
      <c r="AZ1053" s="84"/>
      <c r="BA1053" s="211"/>
      <c r="BB1053" s="211"/>
      <c r="BC1053" s="211"/>
      <c r="BD1053" s="211"/>
      <c r="BE1053" s="84"/>
      <c r="BF1053" s="211"/>
      <c r="BG1053" s="451"/>
    </row>
    <row r="1054" spans="1:59" ht="12.75">
      <c r="A1054" s="211"/>
      <c r="B1054" s="449"/>
      <c r="C1054" s="450"/>
      <c r="D1054" s="211"/>
      <c r="E1054" s="211"/>
      <c r="F1054" s="211"/>
      <c r="G1054" s="84"/>
      <c r="H1054" s="211"/>
      <c r="I1054" s="211"/>
      <c r="J1054" s="211"/>
      <c r="K1054" s="211"/>
      <c r="L1054" s="84"/>
      <c r="M1054" s="211"/>
      <c r="N1054" s="211"/>
      <c r="O1054" s="211"/>
      <c r="P1054" s="211"/>
      <c r="Q1054" s="84"/>
      <c r="R1054" s="211"/>
      <c r="S1054" s="211"/>
      <c r="T1054" s="211"/>
      <c r="U1054" s="211"/>
      <c r="V1054" s="84"/>
      <c r="W1054" s="211"/>
      <c r="X1054" s="211"/>
      <c r="Y1054" s="211"/>
      <c r="Z1054" s="211"/>
      <c r="AA1054" s="84"/>
      <c r="AB1054" s="146"/>
      <c r="AC1054" s="211"/>
      <c r="AD1054" s="211"/>
      <c r="AE1054" s="211"/>
      <c r="AF1054" s="84"/>
      <c r="AG1054" s="146"/>
      <c r="AH1054" s="211"/>
      <c r="AI1054" s="211"/>
      <c r="AJ1054" s="211"/>
      <c r="AK1054" s="84"/>
      <c r="AL1054" s="146"/>
      <c r="AM1054" s="211"/>
      <c r="AN1054" s="211"/>
      <c r="AO1054" s="211"/>
      <c r="AP1054" s="436"/>
      <c r="AQ1054" s="146"/>
      <c r="AR1054" s="211"/>
      <c r="AS1054" s="211"/>
      <c r="AT1054" s="211"/>
      <c r="AU1054" s="84"/>
      <c r="AV1054" s="211"/>
      <c r="AW1054" s="211"/>
      <c r="AX1054" s="211"/>
      <c r="AY1054" s="211"/>
      <c r="AZ1054" s="84"/>
      <c r="BA1054" s="211"/>
      <c r="BB1054" s="211"/>
      <c r="BC1054" s="211"/>
      <c r="BD1054" s="211"/>
      <c r="BE1054" s="84"/>
      <c r="BF1054" s="211"/>
      <c r="BG1054" s="451"/>
    </row>
    <row r="1055" spans="1:59" ht="12.75">
      <c r="A1055" s="211"/>
      <c r="B1055" s="449"/>
      <c r="C1055" s="450"/>
      <c r="D1055" s="211"/>
      <c r="E1055" s="211"/>
      <c r="F1055" s="211"/>
      <c r="G1055" s="84"/>
      <c r="H1055" s="211"/>
      <c r="I1055" s="211"/>
      <c r="J1055" s="211"/>
      <c r="K1055" s="211"/>
      <c r="L1055" s="84"/>
      <c r="M1055" s="211"/>
      <c r="N1055" s="211"/>
      <c r="O1055" s="211"/>
      <c r="P1055" s="211"/>
      <c r="Q1055" s="84"/>
      <c r="R1055" s="211"/>
      <c r="S1055" s="211"/>
      <c r="T1055" s="211"/>
      <c r="U1055" s="211"/>
      <c r="V1055" s="84"/>
      <c r="W1055" s="211"/>
      <c r="X1055" s="211"/>
      <c r="Y1055" s="211"/>
      <c r="Z1055" s="211"/>
      <c r="AA1055" s="84"/>
      <c r="AB1055" s="146"/>
      <c r="AC1055" s="211"/>
      <c r="AD1055" s="211"/>
      <c r="AE1055" s="211"/>
      <c r="AF1055" s="84"/>
      <c r="AG1055" s="146"/>
      <c r="AH1055" s="211"/>
      <c r="AI1055" s="211"/>
      <c r="AJ1055" s="211"/>
      <c r="AK1055" s="84"/>
      <c r="AL1055" s="146"/>
      <c r="AM1055" s="211"/>
      <c r="AN1055" s="211"/>
      <c r="AO1055" s="211"/>
      <c r="AP1055" s="436"/>
      <c r="AQ1055" s="146"/>
      <c r="AR1055" s="211"/>
      <c r="AS1055" s="211"/>
      <c r="AT1055" s="211"/>
      <c r="AU1055" s="84"/>
      <c r="AV1055" s="211"/>
      <c r="AW1055" s="211"/>
      <c r="AX1055" s="211"/>
      <c r="AY1055" s="211"/>
      <c r="AZ1055" s="84"/>
      <c r="BA1055" s="211"/>
      <c r="BB1055" s="211"/>
      <c r="BC1055" s="211"/>
      <c r="BD1055" s="211"/>
      <c r="BE1055" s="84"/>
      <c r="BF1055" s="211"/>
      <c r="BG1055" s="451"/>
    </row>
    <row r="1056" spans="1:59" ht="12.75">
      <c r="A1056" s="211"/>
      <c r="B1056" s="449"/>
      <c r="C1056" s="450"/>
      <c r="D1056" s="211"/>
      <c r="E1056" s="211"/>
      <c r="F1056" s="211"/>
      <c r="G1056" s="84"/>
      <c r="H1056" s="211"/>
      <c r="I1056" s="211"/>
      <c r="J1056" s="211"/>
      <c r="K1056" s="211"/>
      <c r="L1056" s="84"/>
      <c r="M1056" s="211"/>
      <c r="N1056" s="211"/>
      <c r="O1056" s="211"/>
      <c r="P1056" s="211"/>
      <c r="Q1056" s="84"/>
      <c r="R1056" s="211"/>
      <c r="S1056" s="211"/>
      <c r="T1056" s="211"/>
      <c r="U1056" s="211"/>
      <c r="V1056" s="84"/>
      <c r="W1056" s="211"/>
      <c r="X1056" s="211"/>
      <c r="Y1056" s="211"/>
      <c r="Z1056" s="211"/>
      <c r="AA1056" s="84"/>
      <c r="AB1056" s="146"/>
      <c r="AC1056" s="211"/>
      <c r="AD1056" s="211"/>
      <c r="AE1056" s="211"/>
      <c r="AF1056" s="84"/>
      <c r="AG1056" s="146"/>
      <c r="AH1056" s="211"/>
      <c r="AI1056" s="211"/>
      <c r="AJ1056" s="211"/>
      <c r="AK1056" s="84"/>
      <c r="AL1056" s="146"/>
      <c r="AM1056" s="211"/>
      <c r="AN1056" s="211"/>
      <c r="AO1056" s="211"/>
      <c r="AP1056" s="436"/>
      <c r="AQ1056" s="146"/>
      <c r="AR1056" s="211"/>
      <c r="AS1056" s="211"/>
      <c r="AT1056" s="211"/>
      <c r="AU1056" s="84"/>
      <c r="AV1056" s="211"/>
      <c r="AW1056" s="211"/>
      <c r="AX1056" s="211"/>
      <c r="AY1056" s="211"/>
      <c r="AZ1056" s="84"/>
      <c r="BA1056" s="211"/>
      <c r="BB1056" s="211"/>
      <c r="BC1056" s="211"/>
      <c r="BD1056" s="211"/>
      <c r="BE1056" s="84"/>
      <c r="BF1056" s="211"/>
      <c r="BG1056" s="451"/>
    </row>
    <row r="1057" spans="1:59" ht="12.75">
      <c r="A1057" s="211"/>
      <c r="B1057" s="449"/>
      <c r="C1057" s="450"/>
      <c r="D1057" s="211"/>
      <c r="E1057" s="211"/>
      <c r="F1057" s="211"/>
      <c r="G1057" s="84"/>
      <c r="H1057" s="211"/>
      <c r="I1057" s="211"/>
      <c r="J1057" s="211"/>
      <c r="K1057" s="211"/>
      <c r="L1057" s="84"/>
      <c r="M1057" s="211"/>
      <c r="N1057" s="211"/>
      <c r="O1057" s="211"/>
      <c r="P1057" s="211"/>
      <c r="Q1057" s="84"/>
      <c r="R1057" s="211"/>
      <c r="S1057" s="211"/>
      <c r="T1057" s="211"/>
      <c r="U1057" s="211"/>
      <c r="V1057" s="84"/>
      <c r="W1057" s="211"/>
      <c r="X1057" s="211"/>
      <c r="Y1057" s="211"/>
      <c r="Z1057" s="211"/>
      <c r="AA1057" s="84"/>
      <c r="AB1057" s="146"/>
      <c r="AC1057" s="211"/>
      <c r="AD1057" s="211"/>
      <c r="AE1057" s="211"/>
      <c r="AF1057" s="84"/>
      <c r="AG1057" s="146"/>
      <c r="AH1057" s="211"/>
      <c r="AI1057" s="211"/>
      <c r="AJ1057" s="211"/>
      <c r="AK1057" s="84"/>
      <c r="AL1057" s="146"/>
      <c r="AM1057" s="211"/>
      <c r="AN1057" s="211"/>
      <c r="AO1057" s="211"/>
      <c r="AP1057" s="436"/>
      <c r="AQ1057" s="146"/>
      <c r="AR1057" s="211"/>
      <c r="AS1057" s="211"/>
      <c r="AT1057" s="211"/>
      <c r="AU1057" s="84"/>
      <c r="AV1057" s="211"/>
      <c r="AW1057" s="211"/>
      <c r="AX1057" s="211"/>
      <c r="AY1057" s="211"/>
      <c r="AZ1057" s="84"/>
      <c r="BA1057" s="211"/>
      <c r="BB1057" s="211"/>
      <c r="BC1057" s="211"/>
      <c r="BD1057" s="211"/>
      <c r="BE1057" s="84"/>
      <c r="BF1057" s="211"/>
      <c r="BG1057" s="451"/>
    </row>
    <row r="1058" spans="1:59" ht="12.75">
      <c r="A1058" s="211"/>
      <c r="B1058" s="449"/>
      <c r="C1058" s="450"/>
      <c r="D1058" s="211"/>
      <c r="E1058" s="211"/>
      <c r="F1058" s="211"/>
      <c r="G1058" s="84"/>
      <c r="H1058" s="211"/>
      <c r="I1058" s="211"/>
      <c r="J1058" s="211"/>
      <c r="K1058" s="211"/>
      <c r="L1058" s="84"/>
      <c r="M1058" s="211"/>
      <c r="N1058" s="211"/>
      <c r="O1058" s="211"/>
      <c r="P1058" s="211"/>
      <c r="Q1058" s="84"/>
      <c r="R1058" s="211"/>
      <c r="S1058" s="211"/>
      <c r="T1058" s="211"/>
      <c r="U1058" s="211"/>
      <c r="V1058" s="84"/>
      <c r="W1058" s="211"/>
      <c r="X1058" s="211"/>
      <c r="Y1058" s="211"/>
      <c r="Z1058" s="211"/>
      <c r="AA1058" s="84"/>
      <c r="AB1058" s="146"/>
      <c r="AC1058" s="211"/>
      <c r="AD1058" s="211"/>
      <c r="AE1058" s="211"/>
      <c r="AF1058" s="84"/>
      <c r="AG1058" s="146"/>
      <c r="AH1058" s="211"/>
      <c r="AI1058" s="211"/>
      <c r="AJ1058" s="211"/>
      <c r="AK1058" s="84"/>
      <c r="AL1058" s="146"/>
      <c r="AM1058" s="211"/>
      <c r="AN1058" s="211"/>
      <c r="AO1058" s="211"/>
      <c r="AP1058" s="436"/>
      <c r="AQ1058" s="146"/>
      <c r="AR1058" s="211"/>
      <c r="AS1058" s="211"/>
      <c r="AT1058" s="211"/>
      <c r="AU1058" s="84"/>
      <c r="AV1058" s="211"/>
      <c r="AW1058" s="211"/>
      <c r="AX1058" s="211"/>
      <c r="AY1058" s="211"/>
      <c r="AZ1058" s="84"/>
      <c r="BA1058" s="211"/>
      <c r="BB1058" s="211"/>
      <c r="BC1058" s="211"/>
      <c r="BD1058" s="211"/>
      <c r="BE1058" s="84"/>
      <c r="BF1058" s="211"/>
      <c r="BG1058" s="451"/>
    </row>
    <row r="1059" spans="1:59" ht="12.75">
      <c r="A1059" s="211"/>
      <c r="B1059" s="449"/>
      <c r="C1059" s="450"/>
      <c r="D1059" s="211"/>
      <c r="E1059" s="211"/>
      <c r="F1059" s="211"/>
      <c r="G1059" s="84"/>
      <c r="H1059" s="211"/>
      <c r="I1059" s="211"/>
      <c r="J1059" s="211"/>
      <c r="K1059" s="211"/>
      <c r="L1059" s="84"/>
      <c r="M1059" s="211"/>
      <c r="N1059" s="211"/>
      <c r="O1059" s="211"/>
      <c r="P1059" s="211"/>
      <c r="Q1059" s="84"/>
      <c r="R1059" s="211"/>
      <c r="S1059" s="211"/>
      <c r="T1059" s="211"/>
      <c r="U1059" s="211"/>
      <c r="V1059" s="84"/>
      <c r="W1059" s="211"/>
      <c r="X1059" s="211"/>
      <c r="Y1059" s="211"/>
      <c r="Z1059" s="211"/>
      <c r="AA1059" s="84"/>
      <c r="AB1059" s="146"/>
      <c r="AC1059" s="211"/>
      <c r="AD1059" s="211"/>
      <c r="AE1059" s="211"/>
      <c r="AF1059" s="84"/>
      <c r="AG1059" s="146"/>
      <c r="AH1059" s="211"/>
      <c r="AI1059" s="211"/>
      <c r="AJ1059" s="211"/>
      <c r="AK1059" s="84"/>
      <c r="AL1059" s="146"/>
      <c r="AM1059" s="211"/>
      <c r="AN1059" s="211"/>
      <c r="AO1059" s="211"/>
      <c r="AP1059" s="436"/>
      <c r="AQ1059" s="146"/>
      <c r="AR1059" s="211"/>
      <c r="AS1059" s="211"/>
      <c r="AT1059" s="211"/>
      <c r="AU1059" s="84"/>
      <c r="AV1059" s="211"/>
      <c r="AW1059" s="211"/>
      <c r="AX1059" s="211"/>
      <c r="AY1059" s="211"/>
      <c r="AZ1059" s="84"/>
      <c r="BA1059" s="211"/>
      <c r="BB1059" s="211"/>
      <c r="BC1059" s="211"/>
      <c r="BD1059" s="211"/>
      <c r="BE1059" s="84"/>
      <c r="BF1059" s="211"/>
      <c r="BG1059" s="451"/>
    </row>
    <row r="1060" spans="1:59" ht="12.75">
      <c r="A1060" s="211"/>
      <c r="B1060" s="449"/>
      <c r="C1060" s="450"/>
      <c r="D1060" s="211"/>
      <c r="E1060" s="211"/>
      <c r="F1060" s="211"/>
      <c r="G1060" s="84"/>
      <c r="H1060" s="211"/>
      <c r="I1060" s="211"/>
      <c r="J1060" s="211"/>
      <c r="K1060" s="211"/>
      <c r="L1060" s="84"/>
      <c r="M1060" s="211"/>
      <c r="N1060" s="211"/>
      <c r="O1060" s="211"/>
      <c r="P1060" s="211"/>
      <c r="Q1060" s="84"/>
      <c r="R1060" s="211"/>
      <c r="S1060" s="211"/>
      <c r="T1060" s="211"/>
      <c r="U1060" s="211"/>
      <c r="V1060" s="84"/>
      <c r="W1060" s="211"/>
      <c r="X1060" s="211"/>
      <c r="Y1060" s="211"/>
      <c r="Z1060" s="211"/>
      <c r="AA1060" s="84"/>
      <c r="AB1060" s="146"/>
      <c r="AC1060" s="211"/>
      <c r="AD1060" s="211"/>
      <c r="AE1060" s="211"/>
      <c r="AF1060" s="84"/>
      <c r="AG1060" s="146"/>
      <c r="AH1060" s="211"/>
      <c r="AI1060" s="211"/>
      <c r="AJ1060" s="211"/>
      <c r="AK1060" s="84"/>
      <c r="AL1060" s="146"/>
      <c r="AM1060" s="211"/>
      <c r="AN1060" s="211"/>
      <c r="AO1060" s="211"/>
      <c r="AP1060" s="436"/>
      <c r="AQ1060" s="146"/>
      <c r="AR1060" s="211"/>
      <c r="AS1060" s="211"/>
      <c r="AT1060" s="211"/>
      <c r="AU1060" s="84"/>
      <c r="AV1060" s="211"/>
      <c r="AW1060" s="211"/>
      <c r="AX1060" s="211"/>
      <c r="AY1060" s="211"/>
      <c r="AZ1060" s="84"/>
      <c r="BA1060" s="211"/>
      <c r="BB1060" s="211"/>
      <c r="BC1060" s="211"/>
      <c r="BD1060" s="211"/>
      <c r="BE1060" s="84"/>
      <c r="BF1060" s="211"/>
      <c r="BG1060" s="451"/>
    </row>
    <row r="1061" spans="1:59" ht="12.75">
      <c r="A1061" s="211"/>
      <c r="B1061" s="449"/>
      <c r="C1061" s="450"/>
      <c r="D1061" s="211"/>
      <c r="E1061" s="211"/>
      <c r="F1061" s="211"/>
      <c r="G1061" s="84"/>
      <c r="H1061" s="211"/>
      <c r="I1061" s="211"/>
      <c r="J1061" s="211"/>
      <c r="K1061" s="211"/>
      <c r="L1061" s="84"/>
      <c r="M1061" s="211"/>
      <c r="N1061" s="211"/>
      <c r="O1061" s="211"/>
      <c r="P1061" s="211"/>
      <c r="Q1061" s="84"/>
      <c r="R1061" s="211"/>
      <c r="S1061" s="211"/>
      <c r="T1061" s="211"/>
      <c r="U1061" s="211"/>
      <c r="V1061" s="84"/>
      <c r="W1061" s="211"/>
      <c r="X1061" s="211"/>
      <c r="Y1061" s="211"/>
      <c r="Z1061" s="211"/>
      <c r="AA1061" s="84"/>
      <c r="AB1061" s="146"/>
      <c r="AC1061" s="211"/>
      <c r="AD1061" s="211"/>
      <c r="AE1061" s="211"/>
      <c r="AF1061" s="84"/>
      <c r="AG1061" s="146"/>
      <c r="AH1061" s="211"/>
      <c r="AI1061" s="211"/>
      <c r="AJ1061" s="211"/>
      <c r="AK1061" s="84"/>
      <c r="AL1061" s="146"/>
      <c r="AM1061" s="211"/>
      <c r="AN1061" s="211"/>
      <c r="AO1061" s="211"/>
      <c r="AP1061" s="436"/>
      <c r="AQ1061" s="146"/>
      <c r="AR1061" s="211"/>
      <c r="AS1061" s="211"/>
      <c r="AT1061" s="211"/>
      <c r="AU1061" s="84"/>
      <c r="AV1061" s="211"/>
      <c r="AW1061" s="211"/>
      <c r="AX1061" s="211"/>
      <c r="AY1061" s="211"/>
      <c r="AZ1061" s="84"/>
      <c r="BA1061" s="211"/>
      <c r="BB1061" s="211"/>
      <c r="BC1061" s="211"/>
      <c r="BD1061" s="211"/>
      <c r="BE1061" s="84"/>
      <c r="BF1061" s="211"/>
      <c r="BG1061" s="451"/>
    </row>
    <row r="1062" spans="1:59" ht="12.75">
      <c r="A1062" s="211"/>
      <c r="B1062" s="449"/>
      <c r="C1062" s="450"/>
      <c r="D1062" s="211"/>
      <c r="E1062" s="211"/>
      <c r="F1062" s="211"/>
      <c r="G1062" s="84"/>
      <c r="H1062" s="211"/>
      <c r="I1062" s="211"/>
      <c r="J1062" s="211"/>
      <c r="K1062" s="211"/>
      <c r="L1062" s="84"/>
      <c r="M1062" s="211"/>
      <c r="N1062" s="211"/>
      <c r="O1062" s="211"/>
      <c r="P1062" s="211"/>
      <c r="Q1062" s="84"/>
      <c r="R1062" s="211"/>
      <c r="S1062" s="211"/>
      <c r="T1062" s="211"/>
      <c r="U1062" s="211"/>
      <c r="V1062" s="84"/>
      <c r="W1062" s="211"/>
      <c r="X1062" s="211"/>
      <c r="Y1062" s="211"/>
      <c r="Z1062" s="211"/>
      <c r="AA1062" s="84"/>
      <c r="AB1062" s="146"/>
      <c r="AC1062" s="211"/>
      <c r="AD1062" s="211"/>
      <c r="AE1062" s="211"/>
      <c r="AF1062" s="84"/>
      <c r="AG1062" s="146"/>
      <c r="AH1062" s="211"/>
      <c r="AI1062" s="211"/>
      <c r="AJ1062" s="211"/>
      <c r="AK1062" s="84"/>
      <c r="AL1062" s="146"/>
      <c r="AM1062" s="211"/>
      <c r="AN1062" s="211"/>
      <c r="AO1062" s="211"/>
      <c r="AP1062" s="436"/>
      <c r="AQ1062" s="146"/>
      <c r="AR1062" s="211"/>
      <c r="AS1062" s="211"/>
      <c r="AT1062" s="211"/>
      <c r="AU1062" s="84"/>
      <c r="AV1062" s="211"/>
      <c r="AW1062" s="211"/>
      <c r="AX1062" s="211"/>
      <c r="AY1062" s="211"/>
      <c r="AZ1062" s="84"/>
      <c r="BA1062" s="211"/>
      <c r="BB1062" s="211"/>
      <c r="BC1062" s="211"/>
      <c r="BD1062" s="211"/>
      <c r="BE1062" s="84"/>
      <c r="BF1062" s="211"/>
      <c r="BG1062" s="451"/>
    </row>
    <row r="1063" spans="1:59" ht="12.75">
      <c r="A1063" s="211"/>
      <c r="B1063" s="449"/>
      <c r="C1063" s="450"/>
      <c r="D1063" s="211"/>
      <c r="E1063" s="211"/>
      <c r="F1063" s="211"/>
      <c r="G1063" s="84"/>
      <c r="H1063" s="211"/>
      <c r="I1063" s="211"/>
      <c r="J1063" s="211"/>
      <c r="K1063" s="211"/>
      <c r="L1063" s="84"/>
      <c r="M1063" s="211"/>
      <c r="N1063" s="211"/>
      <c r="O1063" s="211"/>
      <c r="P1063" s="211"/>
      <c r="Q1063" s="84"/>
      <c r="R1063" s="211"/>
      <c r="S1063" s="211"/>
      <c r="T1063" s="211"/>
      <c r="U1063" s="211"/>
      <c r="V1063" s="84"/>
      <c r="W1063" s="211"/>
      <c r="X1063" s="211"/>
      <c r="Y1063" s="211"/>
      <c r="Z1063" s="211"/>
      <c r="AA1063" s="84"/>
      <c r="AB1063" s="146"/>
      <c r="AC1063" s="211"/>
      <c r="AD1063" s="211"/>
      <c r="AE1063" s="211"/>
      <c r="AF1063" s="84"/>
      <c r="AG1063" s="146"/>
      <c r="AH1063" s="211"/>
      <c r="AI1063" s="211"/>
      <c r="AJ1063" s="211"/>
      <c r="AK1063" s="84"/>
      <c r="AL1063" s="146"/>
      <c r="AM1063" s="211"/>
      <c r="AN1063" s="211"/>
      <c r="AO1063" s="211"/>
      <c r="AP1063" s="436"/>
      <c r="AQ1063" s="146"/>
      <c r="AR1063" s="211"/>
      <c r="AS1063" s="211"/>
      <c r="AT1063" s="211"/>
      <c r="AU1063" s="84"/>
      <c r="AV1063" s="211"/>
      <c r="AW1063" s="211"/>
      <c r="AX1063" s="211"/>
      <c r="AY1063" s="211"/>
      <c r="AZ1063" s="84"/>
      <c r="BA1063" s="211"/>
      <c r="BB1063" s="211"/>
      <c r="BC1063" s="211"/>
      <c r="BD1063" s="211"/>
      <c r="BE1063" s="84"/>
      <c r="BF1063" s="211"/>
      <c r="BG1063" s="451"/>
    </row>
    <row r="1064" spans="1:59" ht="12.75">
      <c r="A1064" s="211"/>
      <c r="B1064" s="449"/>
      <c r="C1064" s="450"/>
      <c r="D1064" s="211"/>
      <c r="E1064" s="211"/>
      <c r="F1064" s="211"/>
      <c r="G1064" s="84"/>
      <c r="H1064" s="211"/>
      <c r="I1064" s="211"/>
      <c r="J1064" s="211"/>
      <c r="K1064" s="211"/>
      <c r="L1064" s="84"/>
      <c r="M1064" s="211"/>
      <c r="N1064" s="211"/>
      <c r="O1064" s="211"/>
      <c r="P1064" s="211"/>
      <c r="Q1064" s="84"/>
      <c r="R1064" s="211"/>
      <c r="S1064" s="211"/>
      <c r="T1064" s="211"/>
      <c r="U1064" s="211"/>
      <c r="V1064" s="84"/>
      <c r="W1064" s="211"/>
      <c r="X1064" s="211"/>
      <c r="Y1064" s="211"/>
      <c r="Z1064" s="211"/>
      <c r="AA1064" s="84"/>
      <c r="AB1064" s="146"/>
      <c r="AC1064" s="211"/>
      <c r="AD1064" s="211"/>
      <c r="AE1064" s="211"/>
      <c r="AF1064" s="84"/>
      <c r="AG1064" s="146"/>
      <c r="AH1064" s="211"/>
      <c r="AI1064" s="211"/>
      <c r="AJ1064" s="211"/>
      <c r="AK1064" s="84"/>
      <c r="AL1064" s="146"/>
      <c r="AM1064" s="211"/>
      <c r="AN1064" s="211"/>
      <c r="AO1064" s="211"/>
      <c r="AP1064" s="436"/>
      <c r="AQ1064" s="146"/>
      <c r="AR1064" s="211"/>
      <c r="AS1064" s="211"/>
      <c r="AT1064" s="211"/>
      <c r="AU1064" s="84"/>
      <c r="AV1064" s="211"/>
      <c r="AW1064" s="211"/>
      <c r="AX1064" s="211"/>
      <c r="AY1064" s="211"/>
      <c r="AZ1064" s="84"/>
      <c r="BA1064" s="211"/>
      <c r="BB1064" s="211"/>
      <c r="BC1064" s="211"/>
      <c r="BD1064" s="211"/>
      <c r="BE1064" s="84"/>
      <c r="BF1064" s="211"/>
      <c r="BG1064" s="451"/>
    </row>
    <row r="1065" spans="1:59" ht="12.75">
      <c r="A1065" s="211"/>
      <c r="B1065" s="449"/>
      <c r="C1065" s="450"/>
      <c r="D1065" s="211"/>
      <c r="E1065" s="211"/>
      <c r="F1065" s="211"/>
      <c r="G1065" s="84"/>
      <c r="H1065" s="211"/>
      <c r="I1065" s="211"/>
      <c r="J1065" s="211"/>
      <c r="K1065" s="211"/>
      <c r="L1065" s="84"/>
      <c r="M1065" s="211"/>
      <c r="N1065" s="211"/>
      <c r="O1065" s="211"/>
      <c r="P1065" s="211"/>
      <c r="Q1065" s="84"/>
      <c r="R1065" s="211"/>
      <c r="S1065" s="211"/>
      <c r="T1065" s="211"/>
      <c r="U1065" s="211"/>
      <c r="V1065" s="84"/>
      <c r="W1065" s="211"/>
      <c r="X1065" s="211"/>
      <c r="Y1065" s="211"/>
      <c r="Z1065" s="211"/>
      <c r="AA1065" s="84"/>
      <c r="AB1065" s="146"/>
      <c r="AC1065" s="211"/>
      <c r="AD1065" s="211"/>
      <c r="AE1065" s="211"/>
      <c r="AF1065" s="84"/>
      <c r="AG1065" s="146"/>
      <c r="AH1065" s="211"/>
      <c r="AI1065" s="211"/>
      <c r="AJ1065" s="211"/>
      <c r="AK1065" s="84"/>
      <c r="AL1065" s="146"/>
      <c r="AM1065" s="211"/>
      <c r="AN1065" s="211"/>
      <c r="AO1065" s="211"/>
      <c r="AP1065" s="436"/>
      <c r="AQ1065" s="146"/>
      <c r="AR1065" s="211"/>
      <c r="AS1065" s="211"/>
      <c r="AT1065" s="211"/>
      <c r="AU1065" s="84"/>
      <c r="AV1065" s="211"/>
      <c r="AW1065" s="211"/>
      <c r="AX1065" s="211"/>
      <c r="AY1065" s="211"/>
      <c r="AZ1065" s="84"/>
      <c r="BA1065" s="211"/>
      <c r="BB1065" s="211"/>
      <c r="BC1065" s="211"/>
      <c r="BD1065" s="211"/>
      <c r="BE1065" s="84"/>
      <c r="BF1065" s="211"/>
      <c r="BG1065" s="451"/>
    </row>
    <row r="1066" spans="1:59" ht="12.75">
      <c r="A1066" s="211"/>
      <c r="B1066" s="449"/>
      <c r="C1066" s="450"/>
      <c r="D1066" s="211"/>
      <c r="E1066" s="211"/>
      <c r="F1066" s="211"/>
      <c r="G1066" s="84"/>
      <c r="H1066" s="211"/>
      <c r="I1066" s="211"/>
      <c r="J1066" s="211"/>
      <c r="K1066" s="211"/>
      <c r="L1066" s="84"/>
      <c r="M1066" s="211"/>
      <c r="N1066" s="211"/>
      <c r="O1066" s="211"/>
      <c r="P1066" s="211"/>
      <c r="Q1066" s="84"/>
      <c r="R1066" s="211"/>
      <c r="S1066" s="211"/>
      <c r="T1066" s="211"/>
      <c r="U1066" s="211"/>
      <c r="V1066" s="84"/>
      <c r="W1066" s="211"/>
      <c r="X1066" s="211"/>
      <c r="Y1066" s="211"/>
      <c r="Z1066" s="211"/>
      <c r="AA1066" s="84"/>
      <c r="AB1066" s="146"/>
      <c r="AC1066" s="211"/>
      <c r="AD1066" s="211"/>
      <c r="AE1066" s="211"/>
      <c r="AF1066" s="84"/>
      <c r="AG1066" s="146"/>
      <c r="AH1066" s="211"/>
      <c r="AI1066" s="211"/>
      <c r="AJ1066" s="211"/>
      <c r="AK1066" s="84"/>
      <c r="AL1066" s="146"/>
      <c r="AM1066" s="211"/>
      <c r="AN1066" s="211"/>
      <c r="AO1066" s="211"/>
      <c r="AP1066" s="436"/>
      <c r="AQ1066" s="146"/>
      <c r="AR1066" s="211"/>
      <c r="AS1066" s="211"/>
      <c r="AT1066" s="211"/>
      <c r="AU1066" s="84"/>
      <c r="AV1066" s="211"/>
      <c r="AW1066" s="211"/>
      <c r="AX1066" s="211"/>
      <c r="AY1066" s="211"/>
      <c r="AZ1066" s="84"/>
      <c r="BA1066" s="211"/>
      <c r="BB1066" s="211"/>
      <c r="BC1066" s="211"/>
      <c r="BD1066" s="211"/>
      <c r="BE1066" s="84"/>
      <c r="BF1066" s="211"/>
      <c r="BG1066" s="451"/>
    </row>
    <row r="1067" spans="1:59" ht="12.75">
      <c r="A1067" s="211"/>
      <c r="B1067" s="449"/>
      <c r="C1067" s="450"/>
      <c r="D1067" s="211"/>
      <c r="E1067" s="211"/>
      <c r="F1067" s="211"/>
      <c r="G1067" s="84"/>
      <c r="H1067" s="211"/>
      <c r="I1067" s="211"/>
      <c r="J1067" s="211"/>
      <c r="K1067" s="211"/>
      <c r="L1067" s="84"/>
      <c r="M1067" s="211"/>
      <c r="N1067" s="211"/>
      <c r="O1067" s="211"/>
      <c r="P1067" s="211"/>
      <c r="Q1067" s="84"/>
      <c r="R1067" s="211"/>
      <c r="S1067" s="211"/>
      <c r="T1067" s="211"/>
      <c r="U1067" s="211"/>
      <c r="V1067" s="84"/>
      <c r="W1067" s="211"/>
      <c r="X1067" s="211"/>
      <c r="Y1067" s="211"/>
      <c r="Z1067" s="211"/>
      <c r="AA1067" s="84"/>
      <c r="AB1067" s="146"/>
      <c r="AC1067" s="211"/>
      <c r="AD1067" s="211"/>
      <c r="AE1067" s="211"/>
      <c r="AF1067" s="84"/>
      <c r="AG1067" s="146"/>
      <c r="AH1067" s="211"/>
      <c r="AI1067" s="211"/>
      <c r="AJ1067" s="211"/>
      <c r="AK1067" s="84"/>
      <c r="AL1067" s="146"/>
      <c r="AM1067" s="211"/>
      <c r="AN1067" s="211"/>
      <c r="AO1067" s="211"/>
      <c r="AP1067" s="436"/>
      <c r="AQ1067" s="146"/>
      <c r="AR1067" s="211"/>
      <c r="AS1067" s="211"/>
      <c r="AT1067" s="211"/>
      <c r="AU1067" s="84"/>
      <c r="AV1067" s="211"/>
      <c r="AW1067" s="211"/>
      <c r="AX1067" s="211"/>
      <c r="AY1067" s="211"/>
      <c r="AZ1067" s="84"/>
      <c r="BA1067" s="211"/>
      <c r="BB1067" s="211"/>
      <c r="BC1067" s="211"/>
      <c r="BD1067" s="211"/>
      <c r="BE1067" s="84"/>
      <c r="BF1067" s="211"/>
      <c r="BG1067" s="451"/>
    </row>
    <row r="1068" spans="1:59" ht="12.75">
      <c r="A1068" s="211"/>
      <c r="B1068" s="449"/>
      <c r="C1068" s="450"/>
      <c r="D1068" s="211"/>
      <c r="E1068" s="211"/>
      <c r="F1068" s="211"/>
      <c r="G1068" s="84"/>
      <c r="H1068" s="211"/>
      <c r="I1068" s="211"/>
      <c r="J1068" s="211"/>
      <c r="K1068" s="211"/>
      <c r="L1068" s="84"/>
      <c r="M1068" s="211"/>
      <c r="N1068" s="211"/>
      <c r="O1068" s="211"/>
      <c r="P1068" s="211"/>
      <c r="Q1068" s="84"/>
      <c r="R1068" s="211"/>
      <c r="S1068" s="211"/>
      <c r="T1068" s="211"/>
      <c r="U1068" s="211"/>
      <c r="V1068" s="84"/>
      <c r="W1068" s="211"/>
      <c r="X1068" s="211"/>
      <c r="Y1068" s="211"/>
      <c r="Z1068" s="211"/>
      <c r="AA1068" s="84"/>
      <c r="AB1068" s="146"/>
      <c r="AC1068" s="211"/>
      <c r="AD1068" s="211"/>
      <c r="AE1068" s="211"/>
      <c r="AF1068" s="84"/>
      <c r="AG1068" s="146"/>
      <c r="AH1068" s="211"/>
      <c r="AI1068" s="211"/>
      <c r="AJ1068" s="211"/>
      <c r="AK1068" s="84"/>
      <c r="AL1068" s="146"/>
      <c r="AM1068" s="211"/>
      <c r="AN1068" s="211"/>
      <c r="AO1068" s="211"/>
      <c r="AP1068" s="436"/>
      <c r="AQ1068" s="146"/>
      <c r="AR1068" s="211"/>
      <c r="AS1068" s="211"/>
      <c r="AT1068" s="211"/>
      <c r="AU1068" s="84"/>
      <c r="AV1068" s="211"/>
      <c r="AW1068" s="211"/>
      <c r="AX1068" s="211"/>
      <c r="AY1068" s="211"/>
      <c r="AZ1068" s="84"/>
      <c r="BA1068" s="211"/>
      <c r="BB1068" s="211"/>
      <c r="BC1068" s="211"/>
      <c r="BD1068" s="211"/>
      <c r="BE1068" s="84"/>
      <c r="BF1068" s="211"/>
      <c r="BG1068" s="451"/>
    </row>
    <row r="1069" spans="1:59" ht="12.75">
      <c r="A1069" s="211"/>
      <c r="B1069" s="449"/>
      <c r="C1069" s="450"/>
      <c r="D1069" s="211"/>
      <c r="E1069" s="211"/>
      <c r="F1069" s="211"/>
      <c r="G1069" s="84"/>
      <c r="H1069" s="211"/>
      <c r="I1069" s="211"/>
      <c r="J1069" s="211"/>
      <c r="K1069" s="211"/>
      <c r="L1069" s="84"/>
      <c r="M1069" s="211"/>
      <c r="N1069" s="211"/>
      <c r="O1069" s="211"/>
      <c r="P1069" s="211"/>
      <c r="Q1069" s="84"/>
      <c r="R1069" s="211"/>
      <c r="S1069" s="211"/>
      <c r="T1069" s="211"/>
      <c r="U1069" s="211"/>
      <c r="V1069" s="84"/>
      <c r="W1069" s="211"/>
      <c r="X1069" s="211"/>
      <c r="Y1069" s="211"/>
      <c r="Z1069" s="211"/>
      <c r="AA1069" s="84"/>
      <c r="AB1069" s="146"/>
      <c r="AC1069" s="211"/>
      <c r="AD1069" s="211"/>
      <c r="AE1069" s="211"/>
      <c r="AF1069" s="84"/>
      <c r="AG1069" s="146"/>
      <c r="AH1069" s="211"/>
      <c r="AI1069" s="211"/>
      <c r="AJ1069" s="211"/>
      <c r="AK1069" s="84"/>
      <c r="AL1069" s="146"/>
      <c r="AM1069" s="211"/>
      <c r="AN1069" s="211"/>
      <c r="AO1069" s="211"/>
      <c r="AP1069" s="436"/>
      <c r="AQ1069" s="146"/>
      <c r="AR1069" s="211"/>
      <c r="AS1069" s="211"/>
      <c r="AT1069" s="211"/>
      <c r="AU1069" s="84"/>
      <c r="AV1069" s="211"/>
      <c r="AW1069" s="211"/>
      <c r="AX1069" s="211"/>
      <c r="AY1069" s="211"/>
      <c r="AZ1069" s="84"/>
      <c r="BA1069" s="211"/>
      <c r="BB1069" s="211"/>
      <c r="BC1069" s="211"/>
      <c r="BD1069" s="211"/>
      <c r="BE1069" s="84"/>
      <c r="BF1069" s="211"/>
      <c r="BG1069" s="451"/>
    </row>
    <row r="1070" spans="1:59" ht="12.75">
      <c r="A1070" s="211"/>
      <c r="B1070" s="449"/>
      <c r="C1070" s="450"/>
      <c r="D1070" s="211"/>
      <c r="E1070" s="211"/>
      <c r="F1070" s="211"/>
      <c r="G1070" s="84"/>
      <c r="H1070" s="211"/>
      <c r="I1070" s="211"/>
      <c r="J1070" s="211"/>
      <c r="K1070" s="211"/>
      <c r="L1070" s="84"/>
      <c r="M1070" s="211"/>
      <c r="N1070" s="211"/>
      <c r="O1070" s="211"/>
      <c r="P1070" s="211"/>
      <c r="Q1070" s="84"/>
      <c r="R1070" s="211"/>
      <c r="S1070" s="211"/>
      <c r="T1070" s="211"/>
      <c r="U1070" s="211"/>
      <c r="V1070" s="84"/>
      <c r="W1070" s="211"/>
      <c r="X1070" s="211"/>
      <c r="Y1070" s="211"/>
      <c r="Z1070" s="211"/>
      <c r="AA1070" s="84"/>
      <c r="AB1070" s="146"/>
      <c r="AC1070" s="211"/>
      <c r="AD1070" s="211"/>
      <c r="AE1070" s="211"/>
      <c r="AF1070" s="84"/>
      <c r="AG1070" s="146"/>
      <c r="AH1070" s="211"/>
      <c r="AI1070" s="211"/>
      <c r="AJ1070" s="211"/>
      <c r="AK1070" s="84"/>
      <c r="AL1070" s="146"/>
      <c r="AM1070" s="211"/>
      <c r="AN1070" s="211"/>
      <c r="AO1070" s="211"/>
      <c r="AP1070" s="436"/>
      <c r="AQ1070" s="146"/>
      <c r="AR1070" s="211"/>
      <c r="AS1070" s="211"/>
      <c r="AT1070" s="211"/>
      <c r="AU1070" s="84"/>
      <c r="AV1070" s="211"/>
      <c r="AW1070" s="211"/>
      <c r="AX1070" s="211"/>
      <c r="AY1070" s="211"/>
      <c r="AZ1070" s="84"/>
      <c r="BA1070" s="211"/>
      <c r="BB1070" s="211"/>
      <c r="BC1070" s="211"/>
      <c r="BD1070" s="211"/>
      <c r="BE1070" s="84"/>
      <c r="BF1070" s="211"/>
      <c r="BG1070" s="451"/>
    </row>
    <row r="1071" spans="1:59" ht="12.75">
      <c r="A1071" s="211"/>
      <c r="B1071" s="449"/>
      <c r="C1071" s="450"/>
      <c r="D1071" s="211"/>
      <c r="E1071" s="211"/>
      <c r="F1071" s="211"/>
      <c r="G1071" s="84"/>
      <c r="H1071" s="211"/>
      <c r="I1071" s="211"/>
      <c r="J1071" s="211"/>
      <c r="K1071" s="211"/>
      <c r="L1071" s="84"/>
      <c r="M1071" s="211"/>
      <c r="N1071" s="211"/>
      <c r="O1071" s="211"/>
      <c r="P1071" s="211"/>
      <c r="Q1071" s="84"/>
      <c r="R1071" s="211"/>
      <c r="S1071" s="211"/>
      <c r="T1071" s="211"/>
      <c r="U1071" s="211"/>
      <c r="V1071" s="84"/>
      <c r="W1071" s="211"/>
      <c r="X1071" s="211"/>
      <c r="Y1071" s="211"/>
      <c r="Z1071" s="211"/>
      <c r="AA1071" s="84"/>
      <c r="AB1071" s="146"/>
      <c r="AC1071" s="211"/>
      <c r="AD1071" s="211"/>
      <c r="AE1071" s="211"/>
      <c r="AF1071" s="84"/>
      <c r="AG1071" s="146"/>
      <c r="AH1071" s="211"/>
      <c r="AI1071" s="211"/>
      <c r="AJ1071" s="211"/>
      <c r="AK1071" s="84"/>
      <c r="AL1071" s="146"/>
      <c r="AM1071" s="211"/>
      <c r="AN1071" s="211"/>
      <c r="AO1071" s="211"/>
      <c r="AP1071" s="436"/>
      <c r="AQ1071" s="146"/>
      <c r="AR1071" s="211"/>
      <c r="AS1071" s="211"/>
      <c r="AT1071" s="211"/>
      <c r="AU1071" s="84"/>
      <c r="AV1071" s="211"/>
      <c r="AW1071" s="211"/>
      <c r="AX1071" s="211"/>
      <c r="AY1071" s="211"/>
      <c r="AZ1071" s="84"/>
      <c r="BA1071" s="211"/>
      <c r="BB1071" s="211"/>
      <c r="BC1071" s="211"/>
      <c r="BD1071" s="211"/>
      <c r="BE1071" s="84"/>
      <c r="BF1071" s="211"/>
      <c r="BG1071" s="451"/>
    </row>
    <row r="1072" spans="1:59" ht="12.75">
      <c r="A1072" s="211"/>
      <c r="B1072" s="449"/>
      <c r="C1072" s="450"/>
      <c r="D1072" s="211"/>
      <c r="E1072" s="211"/>
      <c r="F1072" s="211"/>
      <c r="G1072" s="84"/>
      <c r="H1072" s="211"/>
      <c r="I1072" s="211"/>
      <c r="J1072" s="211"/>
      <c r="K1072" s="211"/>
      <c r="L1072" s="84"/>
      <c r="M1072" s="211"/>
      <c r="N1072" s="211"/>
      <c r="O1072" s="211"/>
      <c r="P1072" s="211"/>
      <c r="Q1072" s="84"/>
      <c r="R1072" s="211"/>
      <c r="S1072" s="211"/>
      <c r="T1072" s="211"/>
      <c r="U1072" s="211"/>
      <c r="V1072" s="84"/>
      <c r="W1072" s="211"/>
      <c r="X1072" s="211"/>
      <c r="Y1072" s="211"/>
      <c r="Z1072" s="211"/>
      <c r="AA1072" s="84"/>
      <c r="AB1072" s="146"/>
      <c r="AC1072" s="211"/>
      <c r="AD1072" s="211"/>
      <c r="AE1072" s="211"/>
      <c r="AF1072" s="84"/>
      <c r="AG1072" s="146"/>
      <c r="AH1072" s="211"/>
      <c r="AI1072" s="211"/>
      <c r="AJ1072" s="211"/>
      <c r="AK1072" s="84"/>
      <c r="AL1072" s="146"/>
      <c r="AM1072" s="211"/>
      <c r="AN1072" s="211"/>
      <c r="AO1072" s="211"/>
      <c r="AP1072" s="436"/>
      <c r="AQ1072" s="146"/>
      <c r="AR1072" s="211"/>
      <c r="AS1072" s="211"/>
      <c r="AT1072" s="211"/>
      <c r="AU1072" s="84"/>
      <c r="AV1072" s="211"/>
      <c r="AW1072" s="211"/>
      <c r="AX1072" s="211"/>
      <c r="AY1072" s="211"/>
      <c r="AZ1072" s="84"/>
      <c r="BA1072" s="211"/>
      <c r="BB1072" s="211"/>
      <c r="BC1072" s="211"/>
      <c r="BD1072" s="211"/>
      <c r="BE1072" s="84"/>
      <c r="BF1072" s="211"/>
      <c r="BG1072" s="451"/>
    </row>
    <row r="1073" spans="1:59" ht="12.75">
      <c r="A1073" s="211"/>
      <c r="B1073" s="449"/>
      <c r="C1073" s="450"/>
      <c r="D1073" s="211"/>
      <c r="E1073" s="211"/>
      <c r="F1073" s="211"/>
      <c r="G1073" s="84"/>
      <c r="H1073" s="211"/>
      <c r="I1073" s="211"/>
      <c r="J1073" s="211"/>
      <c r="K1073" s="211"/>
      <c r="L1073" s="84"/>
      <c r="M1073" s="211"/>
      <c r="N1073" s="211"/>
      <c r="O1073" s="211"/>
      <c r="P1073" s="211"/>
      <c r="Q1073" s="84"/>
      <c r="R1073" s="211"/>
      <c r="S1073" s="211"/>
      <c r="T1073" s="211"/>
      <c r="U1073" s="211"/>
      <c r="V1073" s="84"/>
      <c r="W1073" s="211"/>
      <c r="X1073" s="211"/>
      <c r="Y1073" s="211"/>
      <c r="Z1073" s="211"/>
      <c r="AA1073" s="84"/>
      <c r="AB1073" s="146"/>
      <c r="AC1073" s="211"/>
      <c r="AD1073" s="211"/>
      <c r="AE1073" s="211"/>
      <c r="AF1073" s="84"/>
      <c r="AG1073" s="146"/>
      <c r="AH1073" s="211"/>
      <c r="AI1073" s="211"/>
      <c r="AJ1073" s="211"/>
      <c r="AK1073" s="84"/>
      <c r="AL1073" s="146"/>
      <c r="AM1073" s="211"/>
      <c r="AN1073" s="211"/>
      <c r="AO1073" s="211"/>
      <c r="AP1073" s="436"/>
      <c r="AQ1073" s="146"/>
      <c r="AR1073" s="211"/>
      <c r="AS1073" s="211"/>
      <c r="AT1073" s="211"/>
      <c r="AU1073" s="84"/>
      <c r="AV1073" s="211"/>
      <c r="AW1073" s="211"/>
      <c r="AX1073" s="211"/>
      <c r="AY1073" s="211"/>
      <c r="AZ1073" s="84"/>
      <c r="BA1073" s="211"/>
      <c r="BB1073" s="211"/>
      <c r="BC1073" s="211"/>
      <c r="BD1073" s="211"/>
      <c r="BE1073" s="84"/>
      <c r="BF1073" s="211"/>
      <c r="BG1073" s="451"/>
    </row>
    <row r="1074" spans="1:59" ht="12.75">
      <c r="A1074" s="211"/>
      <c r="B1074" s="449"/>
      <c r="C1074" s="450"/>
      <c r="D1074" s="211"/>
      <c r="E1074" s="211"/>
      <c r="F1074" s="211"/>
      <c r="G1074" s="84"/>
      <c r="H1074" s="211"/>
      <c r="I1074" s="211"/>
      <c r="J1074" s="211"/>
      <c r="K1074" s="211"/>
      <c r="L1074" s="84"/>
      <c r="M1074" s="211"/>
      <c r="N1074" s="211"/>
      <c r="O1074" s="211"/>
      <c r="P1074" s="211"/>
      <c r="Q1074" s="84"/>
      <c r="R1074" s="211"/>
      <c r="S1074" s="211"/>
      <c r="T1074" s="211"/>
      <c r="U1074" s="211"/>
      <c r="V1074" s="84"/>
      <c r="W1074" s="211"/>
      <c r="X1074" s="211"/>
      <c r="Y1074" s="211"/>
      <c r="Z1074" s="211"/>
      <c r="AA1074" s="84"/>
      <c r="AB1074" s="146"/>
      <c r="AC1074" s="211"/>
      <c r="AD1074" s="211"/>
      <c r="AE1074" s="211"/>
      <c r="AF1074" s="84"/>
      <c r="AG1074" s="146"/>
      <c r="AH1074" s="211"/>
      <c r="AI1074" s="211"/>
      <c r="AJ1074" s="211"/>
      <c r="AK1074" s="84"/>
      <c r="AL1074" s="146"/>
      <c r="AM1074" s="211"/>
      <c r="AN1074" s="211"/>
      <c r="AO1074" s="211"/>
      <c r="AP1074" s="436"/>
      <c r="AQ1074" s="146"/>
      <c r="AR1074" s="211"/>
      <c r="AS1074" s="211"/>
      <c r="AT1074" s="211"/>
      <c r="AU1074" s="84"/>
      <c r="AV1074" s="211"/>
      <c r="AW1074" s="211"/>
      <c r="AX1074" s="211"/>
      <c r="AY1074" s="211"/>
      <c r="AZ1074" s="84"/>
      <c r="BA1074" s="211"/>
      <c r="BB1074" s="211"/>
      <c r="BC1074" s="211"/>
      <c r="BD1074" s="211"/>
      <c r="BE1074" s="84"/>
      <c r="BF1074" s="211"/>
      <c r="BG1074" s="451"/>
    </row>
    <row r="1075" spans="1:59" ht="12.75">
      <c r="A1075" s="211"/>
      <c r="B1075" s="449"/>
      <c r="C1075" s="450"/>
      <c r="D1075" s="211"/>
      <c r="E1075" s="211"/>
      <c r="F1075" s="211"/>
      <c r="G1075" s="84"/>
      <c r="H1075" s="211"/>
      <c r="I1075" s="211"/>
      <c r="J1075" s="211"/>
      <c r="K1075" s="211"/>
      <c r="L1075" s="84"/>
      <c r="M1075" s="211"/>
      <c r="N1075" s="211"/>
      <c r="O1075" s="211"/>
      <c r="P1075" s="211"/>
      <c r="Q1075" s="84"/>
      <c r="R1075" s="211"/>
      <c r="S1075" s="211"/>
      <c r="T1075" s="211"/>
      <c r="U1075" s="211"/>
      <c r="V1075" s="84"/>
      <c r="W1075" s="211"/>
      <c r="X1075" s="211"/>
      <c r="Y1075" s="211"/>
      <c r="Z1075" s="211"/>
      <c r="AA1075" s="84"/>
      <c r="AB1075" s="146"/>
      <c r="AC1075" s="211"/>
      <c r="AD1075" s="211"/>
      <c r="AE1075" s="211"/>
      <c r="AF1075" s="84"/>
      <c r="AG1075" s="146"/>
      <c r="AH1075" s="211"/>
      <c r="AI1075" s="211"/>
      <c r="AJ1075" s="211"/>
      <c r="AK1075" s="84"/>
      <c r="AL1075" s="146"/>
      <c r="AM1075" s="211"/>
      <c r="AN1075" s="211"/>
      <c r="AO1075" s="211"/>
      <c r="AP1075" s="436"/>
      <c r="AQ1075" s="146"/>
      <c r="AR1075" s="211"/>
      <c r="AS1075" s="211"/>
      <c r="AT1075" s="211"/>
      <c r="AU1075" s="84"/>
      <c r="AV1075" s="211"/>
      <c r="AW1075" s="211"/>
      <c r="AX1075" s="211"/>
      <c r="AY1075" s="211"/>
      <c r="AZ1075" s="84"/>
      <c r="BA1075" s="211"/>
      <c r="BB1075" s="211"/>
      <c r="BC1075" s="211"/>
      <c r="BD1075" s="211"/>
      <c r="BE1075" s="84"/>
      <c r="BF1075" s="211"/>
      <c r="BG1075" s="451"/>
    </row>
    <row r="1076" spans="1:59" ht="12.75">
      <c r="A1076" s="211"/>
      <c r="B1076" s="449"/>
      <c r="C1076" s="450"/>
      <c r="D1076" s="211"/>
      <c r="E1076" s="211"/>
      <c r="F1076" s="211"/>
      <c r="G1076" s="84"/>
      <c r="H1076" s="211"/>
      <c r="I1076" s="211"/>
      <c r="J1076" s="211"/>
      <c r="K1076" s="211"/>
      <c r="L1076" s="84"/>
      <c r="M1076" s="211"/>
      <c r="N1076" s="211"/>
      <c r="O1076" s="211"/>
      <c r="P1076" s="211"/>
      <c r="Q1076" s="84"/>
      <c r="R1076" s="211"/>
      <c r="S1076" s="211"/>
      <c r="T1076" s="211"/>
      <c r="U1076" s="211"/>
      <c r="V1076" s="84"/>
      <c r="W1076" s="211"/>
      <c r="X1076" s="211"/>
      <c r="Y1076" s="211"/>
      <c r="Z1076" s="211"/>
      <c r="AA1076" s="84"/>
      <c r="AB1076" s="146"/>
      <c r="AC1076" s="211"/>
      <c r="AD1076" s="211"/>
      <c r="AE1076" s="211"/>
      <c r="AF1076" s="84"/>
      <c r="AG1076" s="146"/>
      <c r="AH1076" s="211"/>
      <c r="AI1076" s="211"/>
      <c r="AJ1076" s="211"/>
      <c r="AK1076" s="84"/>
      <c r="AL1076" s="146"/>
      <c r="AM1076" s="211"/>
      <c r="AN1076" s="211"/>
      <c r="AO1076" s="211"/>
      <c r="AP1076" s="436"/>
      <c r="AQ1076" s="146"/>
      <c r="AR1076" s="211"/>
      <c r="AS1076" s="211"/>
      <c r="AT1076" s="211"/>
      <c r="AU1076" s="84"/>
      <c r="AV1076" s="211"/>
      <c r="AW1076" s="211"/>
      <c r="AX1076" s="211"/>
      <c r="AY1076" s="211"/>
      <c r="AZ1076" s="84"/>
      <c r="BA1076" s="211"/>
      <c r="BB1076" s="211"/>
      <c r="BC1076" s="211"/>
      <c r="BD1076" s="211"/>
      <c r="BE1076" s="84"/>
      <c r="BF1076" s="211"/>
      <c r="BG1076" s="451"/>
    </row>
    <row r="1077" spans="1:59" ht="12.75">
      <c r="A1077" s="211"/>
      <c r="B1077" s="449"/>
      <c r="C1077" s="450"/>
      <c r="D1077" s="211"/>
      <c r="E1077" s="211"/>
      <c r="F1077" s="211"/>
      <c r="G1077" s="84"/>
      <c r="H1077" s="211"/>
      <c r="I1077" s="211"/>
      <c r="J1077" s="211"/>
      <c r="K1077" s="211"/>
      <c r="L1077" s="84"/>
      <c r="M1077" s="211"/>
      <c r="N1077" s="211"/>
      <c r="O1077" s="211"/>
      <c r="P1077" s="211"/>
      <c r="Q1077" s="84"/>
      <c r="R1077" s="211"/>
      <c r="S1077" s="211"/>
      <c r="T1077" s="211"/>
      <c r="U1077" s="211"/>
      <c r="V1077" s="84"/>
      <c r="W1077" s="211"/>
      <c r="X1077" s="211"/>
      <c r="Y1077" s="211"/>
      <c r="Z1077" s="211"/>
      <c r="AA1077" s="84"/>
      <c r="AB1077" s="146"/>
      <c r="AC1077" s="211"/>
      <c r="AD1077" s="211"/>
      <c r="AE1077" s="211"/>
      <c r="AF1077" s="84"/>
      <c r="AG1077" s="146"/>
      <c r="AH1077" s="211"/>
      <c r="AI1077" s="211"/>
      <c r="AJ1077" s="211"/>
      <c r="AK1077" s="84"/>
      <c r="AL1077" s="146"/>
      <c r="AM1077" s="211"/>
      <c r="AN1077" s="211"/>
      <c r="AO1077" s="211"/>
      <c r="AP1077" s="436"/>
      <c r="AQ1077" s="146"/>
      <c r="AR1077" s="211"/>
      <c r="AS1077" s="211"/>
      <c r="AT1077" s="211"/>
      <c r="AU1077" s="84"/>
      <c r="AV1077" s="211"/>
      <c r="AW1077" s="211"/>
      <c r="AX1077" s="211"/>
      <c r="AY1077" s="211"/>
      <c r="AZ1077" s="84"/>
      <c r="BA1077" s="211"/>
      <c r="BB1077" s="211"/>
      <c r="BC1077" s="211"/>
      <c r="BD1077" s="211"/>
      <c r="BE1077" s="84"/>
      <c r="BF1077" s="211"/>
      <c r="BG1077" s="451"/>
    </row>
    <row r="1078" spans="1:59" ht="12.75">
      <c r="A1078" s="211"/>
      <c r="B1078" s="449"/>
      <c r="C1078" s="450"/>
      <c r="D1078" s="211"/>
      <c r="E1078" s="211"/>
      <c r="F1078" s="211"/>
      <c r="G1078" s="84"/>
      <c r="H1078" s="211"/>
      <c r="I1078" s="211"/>
      <c r="J1078" s="211"/>
      <c r="K1078" s="211"/>
      <c r="L1078" s="84"/>
      <c r="M1078" s="211"/>
      <c r="N1078" s="211"/>
      <c r="O1078" s="211"/>
      <c r="P1078" s="211"/>
      <c r="Q1078" s="84"/>
      <c r="R1078" s="211"/>
      <c r="S1078" s="211"/>
      <c r="T1078" s="211"/>
      <c r="U1078" s="211"/>
      <c r="V1078" s="84"/>
      <c r="W1078" s="211"/>
      <c r="X1078" s="211"/>
      <c r="Y1078" s="211"/>
      <c r="Z1078" s="211"/>
      <c r="AA1078" s="84"/>
      <c r="AB1078" s="146"/>
      <c r="AC1078" s="211"/>
      <c r="AD1078" s="211"/>
      <c r="AE1078" s="211"/>
      <c r="AF1078" s="84"/>
      <c r="AG1078" s="146"/>
      <c r="AH1078" s="211"/>
      <c r="AI1078" s="211"/>
      <c r="AJ1078" s="211"/>
      <c r="AK1078" s="84"/>
      <c r="AL1078" s="146"/>
      <c r="AM1078" s="211"/>
      <c r="AN1078" s="211"/>
      <c r="AO1078" s="211"/>
      <c r="AP1078" s="436"/>
      <c r="AQ1078" s="146"/>
      <c r="AR1078" s="211"/>
      <c r="AS1078" s="211"/>
      <c r="AT1078" s="211"/>
      <c r="AU1078" s="84"/>
      <c r="AV1078" s="211"/>
      <c r="AW1078" s="211"/>
      <c r="AX1078" s="211"/>
      <c r="AY1078" s="211"/>
      <c r="AZ1078" s="84"/>
      <c r="BA1078" s="211"/>
      <c r="BB1078" s="211"/>
      <c r="BC1078" s="211"/>
      <c r="BD1078" s="211"/>
      <c r="BE1078" s="84"/>
      <c r="BF1078" s="211"/>
      <c r="BG1078" s="451"/>
    </row>
    <row r="1079" spans="1:59" ht="12.75">
      <c r="A1079" s="211"/>
      <c r="B1079" s="449"/>
      <c r="C1079" s="450"/>
      <c r="D1079" s="211"/>
      <c r="E1079" s="211"/>
      <c r="F1079" s="211"/>
      <c r="G1079" s="84"/>
      <c r="H1079" s="211"/>
      <c r="I1079" s="211"/>
      <c r="J1079" s="211"/>
      <c r="K1079" s="211"/>
      <c r="L1079" s="84"/>
      <c r="M1079" s="211"/>
      <c r="N1079" s="211"/>
      <c r="O1079" s="211"/>
      <c r="P1079" s="211"/>
      <c r="Q1079" s="84"/>
      <c r="R1079" s="211"/>
      <c r="S1079" s="211"/>
      <c r="T1079" s="211"/>
      <c r="U1079" s="211"/>
      <c r="V1079" s="84"/>
      <c r="W1079" s="211"/>
      <c r="X1079" s="211"/>
      <c r="Y1079" s="211"/>
      <c r="Z1079" s="211"/>
      <c r="AA1079" s="84"/>
      <c r="AB1079" s="146"/>
      <c r="AC1079" s="211"/>
      <c r="AD1079" s="211"/>
      <c r="AE1079" s="211"/>
      <c r="AF1079" s="84"/>
      <c r="AG1079" s="146"/>
      <c r="AH1079" s="211"/>
      <c r="AI1079" s="211"/>
      <c r="AJ1079" s="211"/>
      <c r="AK1079" s="84"/>
      <c r="AL1079" s="146"/>
      <c r="AM1079" s="211"/>
      <c r="AN1079" s="211"/>
      <c r="AO1079" s="211"/>
      <c r="AP1079" s="436"/>
      <c r="AQ1079" s="146"/>
      <c r="AR1079" s="211"/>
      <c r="AS1079" s="211"/>
      <c r="AT1079" s="211"/>
      <c r="AU1079" s="84"/>
      <c r="AV1079" s="211"/>
      <c r="AW1079" s="211"/>
      <c r="AX1079" s="211"/>
      <c r="AY1079" s="211"/>
      <c r="AZ1079" s="84"/>
      <c r="BA1079" s="211"/>
      <c r="BB1079" s="211"/>
      <c r="BC1079" s="211"/>
      <c r="BD1079" s="211"/>
      <c r="BE1079" s="84"/>
      <c r="BF1079" s="211"/>
      <c r="BG1079" s="451"/>
    </row>
    <row r="1080" spans="1:59" ht="12.75">
      <c r="A1080" s="211"/>
      <c r="B1080" s="449"/>
      <c r="C1080" s="450"/>
      <c r="D1080" s="211"/>
      <c r="E1080" s="211"/>
      <c r="F1080" s="211"/>
      <c r="G1080" s="84"/>
      <c r="H1080" s="211"/>
      <c r="I1080" s="211"/>
      <c r="J1080" s="211"/>
      <c r="K1080" s="211"/>
      <c r="L1080" s="84"/>
      <c r="M1080" s="211"/>
      <c r="N1080" s="211"/>
      <c r="O1080" s="211"/>
      <c r="P1080" s="211"/>
      <c r="Q1080" s="84"/>
      <c r="R1080" s="211"/>
      <c r="S1080" s="211"/>
      <c r="T1080" s="211"/>
      <c r="U1080" s="211"/>
      <c r="V1080" s="84"/>
      <c r="W1080" s="211"/>
      <c r="X1080" s="211"/>
      <c r="Y1080" s="211"/>
      <c r="Z1080" s="211"/>
      <c r="AA1080" s="84"/>
      <c r="AB1080" s="146"/>
      <c r="AC1080" s="211"/>
      <c r="AD1080" s="211"/>
      <c r="AE1080" s="211"/>
      <c r="AF1080" s="84"/>
      <c r="AG1080" s="146"/>
      <c r="AH1080" s="211"/>
      <c r="AI1080" s="211"/>
      <c r="AJ1080" s="211"/>
      <c r="AK1080" s="84"/>
      <c r="AL1080" s="146"/>
      <c r="AM1080" s="211"/>
      <c r="AN1080" s="211"/>
      <c r="AO1080" s="211"/>
      <c r="AP1080" s="436"/>
      <c r="AQ1080" s="146"/>
      <c r="AR1080" s="211"/>
      <c r="AS1080" s="211"/>
      <c r="AT1080" s="211"/>
      <c r="AU1080" s="84"/>
      <c r="AV1080" s="211"/>
      <c r="AW1080" s="211"/>
      <c r="AX1080" s="211"/>
      <c r="AY1080" s="211"/>
      <c r="AZ1080" s="84"/>
      <c r="BA1080" s="211"/>
      <c r="BB1080" s="211"/>
      <c r="BC1080" s="211"/>
      <c r="BD1080" s="211"/>
      <c r="BE1080" s="84"/>
      <c r="BF1080" s="211"/>
      <c r="BG1080" s="451"/>
    </row>
    <row r="1081" spans="1:59" ht="12.75">
      <c r="A1081" s="211"/>
      <c r="B1081" s="449"/>
      <c r="C1081" s="450"/>
      <c r="D1081" s="211"/>
      <c r="E1081" s="211"/>
      <c r="F1081" s="211"/>
      <c r="G1081" s="84"/>
      <c r="H1081" s="211"/>
      <c r="I1081" s="211"/>
      <c r="J1081" s="211"/>
      <c r="K1081" s="211"/>
      <c r="L1081" s="84"/>
      <c r="M1081" s="211"/>
      <c r="N1081" s="211"/>
      <c r="O1081" s="211"/>
      <c r="P1081" s="211"/>
      <c r="Q1081" s="84"/>
      <c r="R1081" s="211"/>
      <c r="S1081" s="211"/>
      <c r="T1081" s="211"/>
      <c r="U1081" s="211"/>
      <c r="V1081" s="84"/>
      <c r="W1081" s="211"/>
      <c r="X1081" s="211"/>
      <c r="Y1081" s="211"/>
      <c r="Z1081" s="211"/>
      <c r="AA1081" s="84"/>
      <c r="AB1081" s="146"/>
      <c r="AC1081" s="211"/>
      <c r="AD1081" s="211"/>
      <c r="AE1081" s="211"/>
      <c r="AF1081" s="84"/>
      <c r="AG1081" s="146"/>
      <c r="AH1081" s="211"/>
      <c r="AI1081" s="211"/>
      <c r="AJ1081" s="211"/>
      <c r="AK1081" s="84"/>
      <c r="AL1081" s="146"/>
      <c r="AM1081" s="211"/>
      <c r="AN1081" s="211"/>
      <c r="AO1081" s="211"/>
      <c r="AP1081" s="436"/>
      <c r="AQ1081" s="146"/>
      <c r="AR1081" s="211"/>
      <c r="AS1081" s="211"/>
      <c r="AT1081" s="211"/>
      <c r="AU1081" s="84"/>
      <c r="AV1081" s="211"/>
      <c r="AW1081" s="211"/>
      <c r="AX1081" s="211"/>
      <c r="AY1081" s="211"/>
      <c r="AZ1081" s="84"/>
      <c r="BA1081" s="211"/>
      <c r="BB1081" s="211"/>
      <c r="BC1081" s="211"/>
      <c r="BD1081" s="211"/>
      <c r="BE1081" s="84"/>
      <c r="BF1081" s="211"/>
      <c r="BG1081" s="451"/>
    </row>
    <row r="1082" spans="1:59" ht="12.75">
      <c r="A1082" s="211"/>
      <c r="B1082" s="449"/>
      <c r="C1082" s="450"/>
      <c r="D1082" s="211"/>
      <c r="E1082" s="211"/>
      <c r="F1082" s="211"/>
      <c r="G1082" s="84"/>
      <c r="H1082" s="211"/>
      <c r="I1082" s="211"/>
      <c r="J1082" s="211"/>
      <c r="K1082" s="211"/>
      <c r="L1082" s="84"/>
      <c r="M1082" s="211"/>
      <c r="N1082" s="211"/>
      <c r="O1082" s="211"/>
      <c r="P1082" s="211"/>
      <c r="Q1082" s="84"/>
      <c r="R1082" s="211"/>
      <c r="S1082" s="211"/>
      <c r="T1082" s="211"/>
      <c r="U1082" s="211"/>
      <c r="V1082" s="84"/>
      <c r="W1082" s="211"/>
      <c r="X1082" s="211"/>
      <c r="Y1082" s="211"/>
      <c r="Z1082" s="211"/>
      <c r="AA1082" s="84"/>
      <c r="AB1082" s="146"/>
      <c r="AC1082" s="211"/>
      <c r="AD1082" s="211"/>
      <c r="AE1082" s="211"/>
      <c r="AF1082" s="84"/>
      <c r="AG1082" s="146"/>
      <c r="AH1082" s="211"/>
      <c r="AI1082" s="211"/>
      <c r="AJ1082" s="211"/>
      <c r="AK1082" s="84"/>
      <c r="AL1082" s="146"/>
      <c r="AM1082" s="211"/>
      <c r="AN1082" s="211"/>
      <c r="AO1082" s="211"/>
      <c r="AP1082" s="436"/>
      <c r="AQ1082" s="146"/>
      <c r="AR1082" s="211"/>
      <c r="AS1082" s="211"/>
      <c r="AT1082" s="211"/>
      <c r="AU1082" s="84"/>
      <c r="AV1082" s="211"/>
      <c r="AW1082" s="211"/>
      <c r="AX1082" s="211"/>
      <c r="AY1082" s="211"/>
      <c r="AZ1082" s="84"/>
      <c r="BA1082" s="211"/>
      <c r="BB1082" s="211"/>
      <c r="BC1082" s="211"/>
      <c r="BD1082" s="211"/>
      <c r="BE1082" s="84"/>
      <c r="BF1082" s="211"/>
      <c r="BG1082" s="451"/>
    </row>
    <row r="1083" spans="1:59" ht="12.75">
      <c r="A1083" s="211"/>
      <c r="B1083" s="449"/>
      <c r="C1083" s="450"/>
      <c r="D1083" s="211"/>
      <c r="E1083" s="211"/>
      <c r="F1083" s="211"/>
      <c r="G1083" s="84"/>
      <c r="H1083" s="211"/>
      <c r="I1083" s="211"/>
      <c r="J1083" s="211"/>
      <c r="K1083" s="211"/>
      <c r="L1083" s="84"/>
      <c r="M1083" s="211"/>
      <c r="N1083" s="211"/>
      <c r="O1083" s="211"/>
      <c r="P1083" s="211"/>
      <c r="Q1083" s="84"/>
      <c r="R1083" s="211"/>
      <c r="S1083" s="211"/>
      <c r="T1083" s="211"/>
      <c r="U1083" s="211"/>
      <c r="V1083" s="84"/>
      <c r="W1083" s="211"/>
      <c r="X1083" s="211"/>
      <c r="Y1083" s="211"/>
      <c r="Z1083" s="211"/>
      <c r="AA1083" s="84"/>
      <c r="AB1083" s="146"/>
      <c r="AC1083" s="211"/>
      <c r="AD1083" s="211"/>
      <c r="AE1083" s="211"/>
      <c r="AF1083" s="84"/>
      <c r="AG1083" s="146"/>
      <c r="AH1083" s="211"/>
      <c r="AI1083" s="211"/>
      <c r="AJ1083" s="211"/>
      <c r="AK1083" s="84"/>
      <c r="AL1083" s="146"/>
      <c r="AM1083" s="211"/>
      <c r="AN1083" s="211"/>
      <c r="AO1083" s="211"/>
      <c r="AP1083" s="436"/>
      <c r="AQ1083" s="146"/>
      <c r="AR1083" s="211"/>
      <c r="AS1083" s="211"/>
      <c r="AT1083" s="211"/>
      <c r="AU1083" s="84"/>
      <c r="AV1083" s="211"/>
      <c r="AW1083" s="211"/>
      <c r="AX1083" s="211"/>
      <c r="AY1083" s="211"/>
      <c r="AZ1083" s="84"/>
      <c r="BA1083" s="211"/>
      <c r="BB1083" s="211"/>
      <c r="BC1083" s="211"/>
      <c r="BD1083" s="211"/>
      <c r="BE1083" s="84"/>
      <c r="BF1083" s="211"/>
      <c r="BG1083" s="451"/>
    </row>
    <row r="1084" spans="1:59" ht="12.75">
      <c r="A1084" s="211"/>
      <c r="B1084" s="449"/>
      <c r="C1084" s="450"/>
      <c r="D1084" s="211"/>
      <c r="E1084" s="211"/>
      <c r="F1084" s="211"/>
      <c r="G1084" s="84"/>
      <c r="H1084" s="211"/>
      <c r="I1084" s="211"/>
      <c r="J1084" s="211"/>
      <c r="K1084" s="211"/>
      <c r="L1084" s="84"/>
      <c r="M1084" s="211"/>
      <c r="N1084" s="211"/>
      <c r="O1084" s="211"/>
      <c r="P1084" s="211"/>
      <c r="Q1084" s="84"/>
      <c r="R1084" s="211"/>
      <c r="S1084" s="211"/>
      <c r="T1084" s="211"/>
      <c r="U1084" s="211"/>
      <c r="V1084" s="84"/>
      <c r="W1084" s="211"/>
      <c r="X1084" s="211"/>
      <c r="Y1084" s="211"/>
      <c r="Z1084" s="211"/>
      <c r="AA1084" s="84"/>
      <c r="AB1084" s="146"/>
      <c r="AC1084" s="211"/>
      <c r="AD1084" s="211"/>
      <c r="AE1084" s="211"/>
      <c r="AF1084" s="84"/>
      <c r="AG1084" s="146"/>
      <c r="AH1084" s="211"/>
      <c r="AI1084" s="211"/>
      <c r="AJ1084" s="211"/>
      <c r="AK1084" s="84"/>
      <c r="AL1084" s="146"/>
      <c r="AM1084" s="211"/>
      <c r="AN1084" s="211"/>
      <c r="AO1084" s="211"/>
      <c r="AP1084" s="436"/>
      <c r="AQ1084" s="146"/>
      <c r="AR1084" s="211"/>
      <c r="AS1084" s="211"/>
      <c r="AT1084" s="211"/>
      <c r="AU1084" s="84"/>
      <c r="AV1084" s="211"/>
      <c r="AW1084" s="211"/>
      <c r="AX1084" s="211"/>
      <c r="AY1084" s="211"/>
      <c r="AZ1084" s="84"/>
      <c r="BA1084" s="211"/>
      <c r="BB1084" s="211"/>
      <c r="BC1084" s="211"/>
      <c r="BD1084" s="211"/>
      <c r="BE1084" s="84"/>
      <c r="BF1084" s="211"/>
      <c r="BG1084" s="451"/>
    </row>
    <row r="1085" spans="1:59" ht="12.75">
      <c r="A1085" s="211"/>
      <c r="B1085" s="449"/>
      <c r="C1085" s="450"/>
      <c r="D1085" s="211"/>
      <c r="E1085" s="211"/>
      <c r="F1085" s="211"/>
      <c r="G1085" s="84"/>
      <c r="H1085" s="211"/>
      <c r="I1085" s="211"/>
      <c r="J1085" s="211"/>
      <c r="K1085" s="211"/>
      <c r="L1085" s="84"/>
      <c r="M1085" s="211"/>
      <c r="N1085" s="211"/>
      <c r="O1085" s="211"/>
      <c r="P1085" s="211"/>
      <c r="Q1085" s="84"/>
      <c r="R1085" s="211"/>
      <c r="S1085" s="211"/>
      <c r="T1085" s="211"/>
      <c r="U1085" s="211"/>
      <c r="V1085" s="84"/>
      <c r="W1085" s="211"/>
      <c r="X1085" s="211"/>
      <c r="Y1085" s="211"/>
      <c r="Z1085" s="211"/>
      <c r="AA1085" s="84"/>
      <c r="AB1085" s="146"/>
      <c r="AC1085" s="211"/>
      <c r="AD1085" s="211"/>
      <c r="AE1085" s="211"/>
      <c r="AF1085" s="84"/>
      <c r="AG1085" s="146"/>
      <c r="AH1085" s="211"/>
      <c r="AI1085" s="211"/>
      <c r="AJ1085" s="211"/>
      <c r="AK1085" s="84"/>
      <c r="AL1085" s="146"/>
      <c r="AM1085" s="211"/>
      <c r="AN1085" s="211"/>
      <c r="AO1085" s="211"/>
      <c r="AP1085" s="436"/>
      <c r="AQ1085" s="146"/>
      <c r="AR1085" s="211"/>
      <c r="AS1085" s="211"/>
      <c r="AT1085" s="211"/>
      <c r="AU1085" s="84"/>
      <c r="AV1085" s="211"/>
      <c r="AW1085" s="211"/>
      <c r="AX1085" s="211"/>
      <c r="AY1085" s="211"/>
      <c r="AZ1085" s="84"/>
      <c r="BA1085" s="211"/>
      <c r="BB1085" s="211"/>
      <c r="BC1085" s="211"/>
      <c r="BD1085" s="211"/>
      <c r="BE1085" s="84"/>
      <c r="BF1085" s="211"/>
      <c r="BG1085" s="451"/>
    </row>
    <row r="1086" spans="1:59" ht="12.75">
      <c r="A1086" s="211"/>
      <c r="B1086" s="449"/>
      <c r="C1086" s="450"/>
      <c r="D1086" s="211"/>
      <c r="E1086" s="211"/>
      <c r="F1086" s="211"/>
      <c r="G1086" s="84"/>
      <c r="H1086" s="211"/>
      <c r="I1086" s="211"/>
      <c r="J1086" s="211"/>
      <c r="K1086" s="211"/>
      <c r="L1086" s="84"/>
      <c r="M1086" s="211"/>
      <c r="N1086" s="211"/>
      <c r="O1086" s="211"/>
      <c r="P1086" s="211"/>
      <c r="Q1086" s="84"/>
      <c r="R1086" s="211"/>
      <c r="S1086" s="211"/>
      <c r="T1086" s="211"/>
      <c r="U1086" s="211"/>
      <c r="V1086" s="84"/>
      <c r="W1086" s="211"/>
      <c r="X1086" s="211"/>
      <c r="Y1086" s="211"/>
      <c r="Z1086" s="211"/>
      <c r="AA1086" s="84"/>
      <c r="AB1086" s="146"/>
      <c r="AC1086" s="211"/>
      <c r="AD1086" s="211"/>
      <c r="AE1086" s="211"/>
      <c r="AF1086" s="84"/>
      <c r="AG1086" s="146"/>
      <c r="AH1086" s="211"/>
      <c r="AI1086" s="211"/>
      <c r="AJ1086" s="211"/>
      <c r="AK1086" s="84"/>
      <c r="AL1086" s="146"/>
      <c r="AM1086" s="211"/>
      <c r="AN1086" s="211"/>
      <c r="AO1086" s="211"/>
      <c r="AP1086" s="436"/>
      <c r="AQ1086" s="146"/>
      <c r="AR1086" s="211"/>
      <c r="AS1086" s="211"/>
      <c r="AT1086" s="211"/>
      <c r="AU1086" s="84"/>
      <c r="AV1086" s="211"/>
      <c r="AW1086" s="211"/>
      <c r="AX1086" s="211"/>
      <c r="AY1086" s="211"/>
      <c r="AZ1086" s="84"/>
      <c r="BA1086" s="211"/>
      <c r="BB1086" s="211"/>
      <c r="BC1086" s="211"/>
      <c r="BD1086" s="211"/>
      <c r="BE1086" s="84"/>
      <c r="BF1086" s="211"/>
      <c r="BG1086" s="451"/>
    </row>
    <row r="1087" spans="1:59" ht="12.75">
      <c r="A1087" s="211"/>
      <c r="B1087" s="449"/>
      <c r="C1087" s="450"/>
      <c r="D1087" s="211"/>
      <c r="E1087" s="211"/>
      <c r="F1087" s="211"/>
      <c r="G1087" s="84"/>
      <c r="H1087" s="211"/>
      <c r="I1087" s="211"/>
      <c r="J1087" s="211"/>
      <c r="K1087" s="211"/>
      <c r="L1087" s="84"/>
      <c r="M1087" s="211"/>
      <c r="N1087" s="211"/>
      <c r="O1087" s="211"/>
      <c r="P1087" s="211"/>
      <c r="Q1087" s="84"/>
      <c r="R1087" s="211"/>
      <c r="S1087" s="211"/>
      <c r="T1087" s="211"/>
      <c r="U1087" s="211"/>
      <c r="V1087" s="84"/>
      <c r="W1087" s="211"/>
      <c r="X1087" s="211"/>
      <c r="Y1087" s="211"/>
      <c r="Z1087" s="211"/>
      <c r="AA1087" s="84"/>
      <c r="AB1087" s="146"/>
      <c r="AC1087" s="211"/>
      <c r="AD1087" s="211"/>
      <c r="AE1087" s="211"/>
      <c r="AF1087" s="84"/>
      <c r="AG1087" s="146"/>
      <c r="AH1087" s="211"/>
      <c r="AI1087" s="211"/>
      <c r="AJ1087" s="211"/>
      <c r="AK1087" s="84"/>
      <c r="AL1087" s="146"/>
      <c r="AM1087" s="211"/>
      <c r="AN1087" s="211"/>
      <c r="AO1087" s="211"/>
      <c r="AP1087" s="436"/>
      <c r="AQ1087" s="146"/>
      <c r="AR1087" s="211"/>
      <c r="AS1087" s="211"/>
      <c r="AT1087" s="211"/>
      <c r="AU1087" s="84"/>
      <c r="AV1087" s="211"/>
      <c r="AW1087" s="211"/>
      <c r="AX1087" s="211"/>
      <c r="AY1087" s="211"/>
      <c r="AZ1087" s="84"/>
      <c r="BA1087" s="211"/>
      <c r="BB1087" s="211"/>
      <c r="BC1087" s="211"/>
      <c r="BD1087" s="211"/>
      <c r="BE1087" s="84"/>
      <c r="BF1087" s="211"/>
      <c r="BG1087" s="451"/>
    </row>
    <row r="1088" spans="1:59" ht="12.75">
      <c r="A1088" s="211"/>
      <c r="B1088" s="449"/>
      <c r="C1088" s="450"/>
      <c r="D1088" s="211"/>
      <c r="E1088" s="211"/>
      <c r="F1088" s="211"/>
      <c r="G1088" s="84"/>
      <c r="H1088" s="211"/>
      <c r="I1088" s="211"/>
      <c r="J1088" s="211"/>
      <c r="K1088" s="211"/>
      <c r="L1088" s="84"/>
      <c r="M1088" s="211"/>
      <c r="N1088" s="211"/>
      <c r="O1088" s="211"/>
      <c r="P1088" s="211"/>
      <c r="Q1088" s="84"/>
      <c r="R1088" s="211"/>
      <c r="S1088" s="211"/>
      <c r="T1088" s="211"/>
      <c r="U1088" s="211"/>
      <c r="V1088" s="84"/>
      <c r="W1088" s="211"/>
      <c r="X1088" s="211"/>
      <c r="Y1088" s="211"/>
      <c r="Z1088" s="211"/>
      <c r="AA1088" s="84"/>
      <c r="AB1088" s="146"/>
      <c r="AC1088" s="211"/>
      <c r="AD1088" s="211"/>
      <c r="AE1088" s="211"/>
      <c r="AF1088" s="84"/>
      <c r="AG1088" s="146"/>
      <c r="AH1088" s="211"/>
      <c r="AI1088" s="211"/>
      <c r="AJ1088" s="211"/>
      <c r="AK1088" s="84"/>
      <c r="AL1088" s="146"/>
      <c r="AM1088" s="211"/>
      <c r="AN1088" s="211"/>
      <c r="AO1088" s="211"/>
      <c r="AP1088" s="436"/>
      <c r="AQ1088" s="146"/>
      <c r="AR1088" s="211"/>
      <c r="AS1088" s="211"/>
      <c r="AT1088" s="211"/>
      <c r="AU1088" s="84"/>
      <c r="AV1088" s="211"/>
      <c r="AW1088" s="211"/>
      <c r="AX1088" s="211"/>
      <c r="AY1088" s="211"/>
      <c r="AZ1088" s="84"/>
      <c r="BA1088" s="211"/>
      <c r="BB1088" s="211"/>
      <c r="BC1088" s="211"/>
      <c r="BD1088" s="211"/>
      <c r="BE1088" s="84"/>
      <c r="BF1088" s="211"/>
      <c r="BG1088" s="451"/>
    </row>
    <row r="1089" spans="1:59" ht="12.75">
      <c r="A1089" s="211"/>
      <c r="B1089" s="449"/>
      <c r="C1089" s="450"/>
      <c r="D1089" s="211"/>
      <c r="E1089" s="211"/>
      <c r="F1089" s="211"/>
      <c r="G1089" s="84"/>
      <c r="H1089" s="211"/>
      <c r="I1089" s="211"/>
      <c r="J1089" s="211"/>
      <c r="K1089" s="211"/>
      <c r="L1089" s="84"/>
      <c r="M1089" s="211"/>
      <c r="N1089" s="211"/>
      <c r="O1089" s="211"/>
      <c r="P1089" s="211"/>
      <c r="Q1089" s="84"/>
      <c r="R1089" s="211"/>
      <c r="S1089" s="211"/>
      <c r="T1089" s="211"/>
      <c r="U1089" s="211"/>
      <c r="V1089" s="84"/>
      <c r="W1089" s="211"/>
      <c r="X1089" s="211"/>
      <c r="Y1089" s="211"/>
      <c r="Z1089" s="211"/>
      <c r="AA1089" s="84"/>
      <c r="AB1089" s="146"/>
      <c r="AC1089" s="211"/>
      <c r="AD1089" s="211"/>
      <c r="AE1089" s="211"/>
      <c r="AF1089" s="84"/>
      <c r="AG1089" s="146"/>
      <c r="AH1089" s="211"/>
      <c r="AI1089" s="211"/>
      <c r="AJ1089" s="211"/>
      <c r="AK1089" s="84"/>
      <c r="AL1089" s="146"/>
      <c r="AM1089" s="211"/>
      <c r="AN1089" s="211"/>
      <c r="AO1089" s="211"/>
      <c r="AP1089" s="436"/>
      <c r="AQ1089" s="146"/>
      <c r="AR1089" s="211"/>
      <c r="AS1089" s="211"/>
      <c r="AT1089" s="211"/>
      <c r="AU1089" s="84"/>
      <c r="AV1089" s="211"/>
      <c r="AW1089" s="211"/>
      <c r="AX1089" s="211"/>
      <c r="AY1089" s="211"/>
      <c r="AZ1089" s="84"/>
      <c r="BA1089" s="211"/>
      <c r="BB1089" s="211"/>
      <c r="BC1089" s="211"/>
      <c r="BD1089" s="211"/>
      <c r="BE1089" s="84"/>
      <c r="BF1089" s="211"/>
      <c r="BG1089" s="451"/>
    </row>
    <row r="1090" spans="1:59" ht="12.75">
      <c r="A1090" s="211"/>
      <c r="B1090" s="449"/>
      <c r="C1090" s="450"/>
      <c r="D1090" s="211"/>
      <c r="E1090" s="211"/>
      <c r="F1090" s="211"/>
      <c r="G1090" s="84"/>
      <c r="H1090" s="211"/>
      <c r="I1090" s="211"/>
      <c r="J1090" s="211"/>
      <c r="K1090" s="211"/>
      <c r="L1090" s="84"/>
      <c r="M1090" s="211"/>
      <c r="N1090" s="211"/>
      <c r="O1090" s="211"/>
      <c r="P1090" s="211"/>
      <c r="Q1090" s="84"/>
      <c r="R1090" s="211"/>
      <c r="S1090" s="211"/>
      <c r="T1090" s="211"/>
      <c r="U1090" s="211"/>
      <c r="V1090" s="84"/>
      <c r="W1090" s="211"/>
      <c r="X1090" s="211"/>
      <c r="Y1090" s="211"/>
      <c r="Z1090" s="211"/>
      <c r="AA1090" s="84"/>
      <c r="AB1090" s="146"/>
      <c r="AC1090" s="211"/>
      <c r="AD1090" s="211"/>
      <c r="AE1090" s="211"/>
      <c r="AF1090" s="84"/>
      <c r="AG1090" s="146"/>
      <c r="AH1090" s="211"/>
      <c r="AI1090" s="211"/>
      <c r="AJ1090" s="211"/>
      <c r="AK1090" s="84"/>
      <c r="AL1090" s="146"/>
      <c r="AM1090" s="211"/>
      <c r="AN1090" s="211"/>
      <c r="AO1090" s="211"/>
      <c r="AP1090" s="436"/>
      <c r="AQ1090" s="146"/>
      <c r="AR1090" s="211"/>
      <c r="AS1090" s="211"/>
      <c r="AT1090" s="211"/>
      <c r="AU1090" s="84"/>
      <c r="AV1090" s="211"/>
      <c r="AW1090" s="211"/>
      <c r="AX1090" s="211"/>
      <c r="AY1090" s="211"/>
      <c r="AZ1090" s="84"/>
      <c r="BA1090" s="211"/>
      <c r="BB1090" s="211"/>
      <c r="BC1090" s="211"/>
      <c r="BD1090" s="211"/>
      <c r="BE1090" s="84"/>
      <c r="BF1090" s="211"/>
      <c r="BG1090" s="451"/>
    </row>
    <row r="1091" spans="1:59" ht="12.75">
      <c r="A1091" s="211"/>
      <c r="B1091" s="449"/>
      <c r="C1091" s="450"/>
      <c r="D1091" s="211"/>
      <c r="E1091" s="211"/>
      <c r="F1091" s="211"/>
      <c r="G1091" s="84"/>
      <c r="H1091" s="211"/>
      <c r="I1091" s="211"/>
      <c r="J1091" s="211"/>
      <c r="K1091" s="211"/>
      <c r="L1091" s="84"/>
      <c r="M1091" s="211"/>
      <c r="N1091" s="211"/>
      <c r="O1091" s="211"/>
      <c r="P1091" s="211"/>
      <c r="Q1091" s="84"/>
      <c r="R1091" s="211"/>
      <c r="S1091" s="211"/>
      <c r="T1091" s="211"/>
      <c r="U1091" s="211"/>
      <c r="V1091" s="84"/>
      <c r="W1091" s="211"/>
      <c r="X1091" s="211"/>
      <c r="Y1091" s="211"/>
      <c r="Z1091" s="211"/>
      <c r="AA1091" s="84"/>
      <c r="AB1091" s="146"/>
      <c r="AC1091" s="211"/>
      <c r="AD1091" s="211"/>
      <c r="AE1091" s="211"/>
      <c r="AF1091" s="84"/>
      <c r="AG1091" s="146"/>
      <c r="AH1091" s="211"/>
      <c r="AI1091" s="211"/>
      <c r="AJ1091" s="211"/>
      <c r="AK1091" s="84"/>
      <c r="AL1091" s="146"/>
      <c r="AM1091" s="211"/>
      <c r="AN1091" s="211"/>
      <c r="AO1091" s="211"/>
      <c r="AP1091" s="436"/>
      <c r="AQ1091" s="146"/>
      <c r="AR1091" s="211"/>
      <c r="AS1091" s="211"/>
      <c r="AT1091" s="211"/>
      <c r="AU1091" s="84"/>
      <c r="AV1091" s="211"/>
      <c r="AW1091" s="211"/>
      <c r="AX1091" s="211"/>
      <c r="AY1091" s="211"/>
      <c r="AZ1091" s="84"/>
      <c r="BA1091" s="211"/>
      <c r="BB1091" s="211"/>
      <c r="BC1091" s="211"/>
      <c r="BD1091" s="211"/>
      <c r="BE1091" s="84"/>
      <c r="BF1091" s="211"/>
      <c r="BG1091" s="451"/>
    </row>
    <row r="1092" spans="1:59" ht="12.75">
      <c r="A1092" s="211"/>
      <c r="B1092" s="449"/>
      <c r="C1092" s="450"/>
      <c r="D1092" s="211"/>
      <c r="E1092" s="211"/>
      <c r="F1092" s="211"/>
      <c r="G1092" s="84"/>
      <c r="H1092" s="211"/>
      <c r="I1092" s="211"/>
      <c r="J1092" s="211"/>
      <c r="K1092" s="211"/>
      <c r="L1092" s="84"/>
      <c r="M1092" s="211"/>
      <c r="N1092" s="211"/>
      <c r="O1092" s="211"/>
      <c r="P1092" s="211"/>
      <c r="Q1092" s="84"/>
      <c r="R1092" s="211"/>
      <c r="S1092" s="211"/>
      <c r="T1092" s="211"/>
      <c r="U1092" s="211"/>
      <c r="V1092" s="84"/>
      <c r="W1092" s="211"/>
      <c r="X1092" s="211"/>
      <c r="Y1092" s="211"/>
      <c r="Z1092" s="211"/>
      <c r="AA1092" s="84"/>
      <c r="AB1092" s="146"/>
      <c r="AC1092" s="211"/>
      <c r="AD1092" s="211"/>
      <c r="AE1092" s="211"/>
      <c r="AF1092" s="84"/>
      <c r="AG1092" s="146"/>
      <c r="AH1092" s="211"/>
      <c r="AI1092" s="211"/>
      <c r="AJ1092" s="211"/>
      <c r="AK1092" s="84"/>
      <c r="AL1092" s="146"/>
      <c r="AM1092" s="211"/>
      <c r="AN1092" s="211"/>
      <c r="AO1092" s="211"/>
      <c r="AP1092" s="436"/>
      <c r="AQ1092" s="146"/>
      <c r="AR1092" s="211"/>
      <c r="AS1092" s="211"/>
      <c r="AT1092" s="211"/>
      <c r="AU1092" s="84"/>
      <c r="AV1092" s="211"/>
      <c r="AW1092" s="211"/>
      <c r="AX1092" s="211"/>
      <c r="AY1092" s="211"/>
      <c r="AZ1092" s="84"/>
      <c r="BA1092" s="211"/>
      <c r="BB1092" s="211"/>
      <c r="BC1092" s="211"/>
      <c r="BD1092" s="211"/>
      <c r="BE1092" s="84"/>
      <c r="BF1092" s="211"/>
      <c r="BG1092" s="451"/>
    </row>
    <row r="1093" spans="1:59" ht="12.75">
      <c r="A1093" s="211"/>
      <c r="B1093" s="449"/>
      <c r="C1093" s="450"/>
      <c r="D1093" s="211"/>
      <c r="E1093" s="211"/>
      <c r="F1093" s="211"/>
      <c r="G1093" s="84"/>
      <c r="H1093" s="211"/>
      <c r="I1093" s="211"/>
      <c r="J1093" s="211"/>
      <c r="K1093" s="211"/>
      <c r="L1093" s="84"/>
      <c r="M1093" s="211"/>
      <c r="N1093" s="211"/>
      <c r="O1093" s="211"/>
      <c r="P1093" s="211"/>
      <c r="Q1093" s="84"/>
      <c r="R1093" s="211"/>
      <c r="S1093" s="211"/>
      <c r="T1093" s="211"/>
      <c r="U1093" s="211"/>
      <c r="V1093" s="84"/>
      <c r="W1093" s="211"/>
      <c r="X1093" s="211"/>
      <c r="Y1093" s="211"/>
      <c r="Z1093" s="211"/>
      <c r="AA1093" s="84"/>
      <c r="AB1093" s="146"/>
      <c r="AC1093" s="211"/>
      <c r="AD1093" s="211"/>
      <c r="AE1093" s="211"/>
      <c r="AF1093" s="84"/>
      <c r="AG1093" s="146"/>
      <c r="AH1093" s="211"/>
      <c r="AI1093" s="211"/>
      <c r="AJ1093" s="211"/>
      <c r="AK1093" s="84"/>
      <c r="AL1093" s="146"/>
      <c r="AM1093" s="211"/>
      <c r="AN1093" s="211"/>
      <c r="AO1093" s="211"/>
      <c r="AP1093" s="436"/>
      <c r="AQ1093" s="146"/>
      <c r="AR1093" s="211"/>
      <c r="AS1093" s="211"/>
      <c r="AT1093" s="211"/>
      <c r="AU1093" s="84"/>
      <c r="AV1093" s="211"/>
      <c r="AW1093" s="211"/>
      <c r="AX1093" s="211"/>
      <c r="AY1093" s="211"/>
      <c r="AZ1093" s="84"/>
      <c r="BA1093" s="211"/>
      <c r="BB1093" s="211"/>
      <c r="BC1093" s="211"/>
      <c r="BD1093" s="211"/>
      <c r="BE1093" s="84"/>
      <c r="BF1093" s="211"/>
      <c r="BG1093" s="451"/>
    </row>
    <row r="1094" spans="1:59" ht="12.75">
      <c r="A1094" s="211"/>
      <c r="B1094" s="449"/>
      <c r="C1094" s="450"/>
      <c r="D1094" s="211"/>
      <c r="E1094" s="211"/>
      <c r="F1094" s="211"/>
      <c r="G1094" s="84"/>
      <c r="H1094" s="211"/>
      <c r="I1094" s="211"/>
      <c r="J1094" s="211"/>
      <c r="K1094" s="211"/>
      <c r="L1094" s="84"/>
      <c r="M1094" s="211"/>
      <c r="N1094" s="211"/>
      <c r="O1094" s="211"/>
      <c r="P1094" s="211"/>
      <c r="Q1094" s="84"/>
      <c r="R1094" s="211"/>
      <c r="S1094" s="211"/>
      <c r="T1094" s="211"/>
      <c r="U1094" s="211"/>
      <c r="V1094" s="84"/>
      <c r="W1094" s="211"/>
      <c r="X1094" s="211"/>
      <c r="Y1094" s="211"/>
      <c r="Z1094" s="211"/>
      <c r="AA1094" s="84"/>
      <c r="AB1094" s="146"/>
      <c r="AC1094" s="211"/>
      <c r="AD1094" s="211"/>
      <c r="AE1094" s="211"/>
      <c r="AF1094" s="84"/>
      <c r="AG1094" s="146"/>
      <c r="AH1094" s="211"/>
      <c r="AI1094" s="211"/>
      <c r="AJ1094" s="211"/>
      <c r="AK1094" s="84"/>
      <c r="AL1094" s="146"/>
      <c r="AM1094" s="211"/>
      <c r="AN1094" s="211"/>
      <c r="AO1094" s="211"/>
      <c r="AP1094" s="436"/>
      <c r="AQ1094" s="146"/>
      <c r="AR1094" s="211"/>
      <c r="AS1094" s="211"/>
      <c r="AT1094" s="211"/>
      <c r="AU1094" s="84"/>
      <c r="AV1094" s="211"/>
      <c r="AW1094" s="211"/>
      <c r="AX1094" s="211"/>
      <c r="AY1094" s="211"/>
      <c r="AZ1094" s="84"/>
      <c r="BA1094" s="211"/>
      <c r="BB1094" s="211"/>
      <c r="BC1094" s="211"/>
      <c r="BD1094" s="211"/>
      <c r="BE1094" s="84"/>
      <c r="BF1094" s="211"/>
      <c r="BG1094" s="451"/>
    </row>
    <row r="1095" spans="1:59" ht="12.75">
      <c r="A1095" s="211"/>
      <c r="B1095" s="449"/>
      <c r="C1095" s="450"/>
      <c r="D1095" s="211"/>
      <c r="E1095" s="211"/>
      <c r="F1095" s="211"/>
      <c r="G1095" s="84"/>
      <c r="H1095" s="211"/>
      <c r="I1095" s="211"/>
      <c r="J1095" s="211"/>
      <c r="K1095" s="211"/>
      <c r="L1095" s="84"/>
      <c r="M1095" s="211"/>
      <c r="N1095" s="211"/>
      <c r="O1095" s="211"/>
      <c r="P1095" s="211"/>
      <c r="Q1095" s="84"/>
      <c r="R1095" s="211"/>
      <c r="S1095" s="211"/>
      <c r="T1095" s="211"/>
      <c r="U1095" s="211"/>
      <c r="V1095" s="84"/>
      <c r="W1095" s="211"/>
      <c r="X1095" s="211"/>
      <c r="Y1095" s="211"/>
      <c r="Z1095" s="211"/>
      <c r="AA1095" s="84"/>
      <c r="AB1095" s="146"/>
      <c r="AC1095" s="211"/>
      <c r="AD1095" s="211"/>
      <c r="AE1095" s="211"/>
      <c r="AF1095" s="84"/>
      <c r="AG1095" s="146"/>
      <c r="AH1095" s="211"/>
      <c r="AI1095" s="211"/>
      <c r="AJ1095" s="211"/>
      <c r="AK1095" s="84"/>
      <c r="AL1095" s="146"/>
      <c r="AM1095" s="211"/>
      <c r="AN1095" s="211"/>
      <c r="AO1095" s="211"/>
      <c r="AP1095" s="436"/>
      <c r="AQ1095" s="146"/>
      <c r="AR1095" s="211"/>
      <c r="AS1095" s="211"/>
      <c r="AT1095" s="211"/>
      <c r="AU1095" s="84"/>
      <c r="AV1095" s="211"/>
      <c r="AW1095" s="211"/>
      <c r="AX1095" s="211"/>
      <c r="AY1095" s="211"/>
      <c r="AZ1095" s="84"/>
      <c r="BA1095" s="211"/>
      <c r="BB1095" s="211"/>
      <c r="BC1095" s="211"/>
      <c r="BD1095" s="211"/>
      <c r="BE1095" s="84"/>
      <c r="BF1095" s="211"/>
      <c r="BG1095" s="451"/>
    </row>
    <row r="1096" spans="1:59" ht="12.75">
      <c r="A1096" s="211"/>
      <c r="B1096" s="449"/>
      <c r="C1096" s="450"/>
      <c r="D1096" s="211"/>
      <c r="E1096" s="211"/>
      <c r="F1096" s="211"/>
      <c r="G1096" s="84"/>
      <c r="H1096" s="211"/>
      <c r="I1096" s="211"/>
      <c r="J1096" s="211"/>
      <c r="K1096" s="211"/>
      <c r="L1096" s="84"/>
      <c r="M1096" s="211"/>
      <c r="N1096" s="211"/>
      <c r="O1096" s="211"/>
      <c r="P1096" s="211"/>
      <c r="Q1096" s="84"/>
      <c r="R1096" s="211"/>
      <c r="S1096" s="211"/>
      <c r="T1096" s="211"/>
      <c r="U1096" s="211"/>
      <c r="V1096" s="84"/>
      <c r="W1096" s="211"/>
      <c r="X1096" s="211"/>
      <c r="Y1096" s="211"/>
      <c r="Z1096" s="211"/>
      <c r="AA1096" s="84"/>
      <c r="AB1096" s="146"/>
      <c r="AC1096" s="211"/>
      <c r="AD1096" s="211"/>
      <c r="AE1096" s="211"/>
      <c r="AF1096" s="84"/>
      <c r="AG1096" s="146"/>
      <c r="AH1096" s="211"/>
      <c r="AI1096" s="211"/>
      <c r="AJ1096" s="211"/>
      <c r="AK1096" s="84"/>
      <c r="AL1096" s="146"/>
      <c r="AM1096" s="211"/>
      <c r="AN1096" s="211"/>
      <c r="AO1096" s="211"/>
      <c r="AP1096" s="436"/>
      <c r="AQ1096" s="146"/>
      <c r="AR1096" s="211"/>
      <c r="AS1096" s="211"/>
      <c r="AT1096" s="211"/>
      <c r="AU1096" s="84"/>
      <c r="AV1096" s="211"/>
      <c r="AW1096" s="211"/>
      <c r="AX1096" s="211"/>
      <c r="AY1096" s="211"/>
      <c r="AZ1096" s="84"/>
      <c r="BA1096" s="211"/>
      <c r="BB1096" s="211"/>
      <c r="BC1096" s="211"/>
      <c r="BD1096" s="211"/>
      <c r="BE1096" s="84"/>
      <c r="BF1096" s="211"/>
      <c r="BG1096" s="451"/>
    </row>
    <row r="1097" spans="1:59" ht="12.75">
      <c r="A1097" s="211"/>
      <c r="B1097" s="449"/>
      <c r="C1097" s="450"/>
      <c r="D1097" s="211"/>
      <c r="E1097" s="211"/>
      <c r="F1097" s="211"/>
      <c r="G1097" s="84"/>
      <c r="H1097" s="211"/>
      <c r="I1097" s="211"/>
      <c r="J1097" s="211"/>
      <c r="K1097" s="211"/>
      <c r="L1097" s="84"/>
      <c r="M1097" s="211"/>
      <c r="N1097" s="211"/>
      <c r="O1097" s="211"/>
      <c r="P1097" s="211"/>
      <c r="Q1097" s="84"/>
      <c r="R1097" s="211"/>
      <c r="S1097" s="211"/>
      <c r="T1097" s="211"/>
      <c r="U1097" s="211"/>
      <c r="V1097" s="84"/>
      <c r="W1097" s="211"/>
      <c r="X1097" s="211"/>
      <c r="Y1097" s="211"/>
      <c r="Z1097" s="211"/>
      <c r="AA1097" s="84"/>
      <c r="AB1097" s="146"/>
      <c r="AC1097" s="211"/>
      <c r="AD1097" s="211"/>
      <c r="AE1097" s="211"/>
      <c r="AF1097" s="84"/>
      <c r="AG1097" s="146"/>
      <c r="AH1097" s="211"/>
      <c r="AI1097" s="211"/>
      <c r="AJ1097" s="211"/>
      <c r="AK1097" s="84"/>
      <c r="AL1097" s="146"/>
      <c r="AM1097" s="211"/>
      <c r="AN1097" s="211"/>
      <c r="AO1097" s="211"/>
      <c r="AP1097" s="436"/>
      <c r="AQ1097" s="146"/>
      <c r="AR1097" s="211"/>
      <c r="AS1097" s="211"/>
      <c r="AT1097" s="211"/>
      <c r="AU1097" s="84"/>
      <c r="AV1097" s="211"/>
      <c r="AW1097" s="211"/>
      <c r="AX1097" s="211"/>
      <c r="AY1097" s="211"/>
      <c r="AZ1097" s="84"/>
      <c r="BA1097" s="211"/>
      <c r="BB1097" s="211"/>
      <c r="BC1097" s="211"/>
      <c r="BD1097" s="211"/>
      <c r="BE1097" s="84"/>
      <c r="BF1097" s="211"/>
      <c r="BG1097" s="451"/>
    </row>
    <row r="1098" spans="1:59" ht="12.75">
      <c r="A1098" s="211"/>
      <c r="B1098" s="449"/>
      <c r="C1098" s="450"/>
      <c r="D1098" s="211"/>
      <c r="E1098" s="211"/>
      <c r="F1098" s="211"/>
      <c r="G1098" s="84"/>
      <c r="H1098" s="211"/>
      <c r="I1098" s="211"/>
      <c r="J1098" s="211"/>
      <c r="K1098" s="211"/>
      <c r="L1098" s="84"/>
      <c r="M1098" s="211"/>
      <c r="N1098" s="211"/>
      <c r="O1098" s="211"/>
      <c r="P1098" s="211"/>
      <c r="Q1098" s="84"/>
      <c r="R1098" s="211"/>
      <c r="S1098" s="211"/>
      <c r="T1098" s="211"/>
      <c r="U1098" s="211"/>
      <c r="V1098" s="84"/>
      <c r="W1098" s="211"/>
      <c r="X1098" s="211"/>
      <c r="Y1098" s="211"/>
      <c r="Z1098" s="211"/>
      <c r="AA1098" s="84"/>
      <c r="AB1098" s="146"/>
      <c r="AC1098" s="211"/>
      <c r="AD1098" s="211"/>
      <c r="AE1098" s="211"/>
      <c r="AF1098" s="84"/>
      <c r="AG1098" s="146"/>
      <c r="AH1098" s="211"/>
      <c r="AI1098" s="211"/>
      <c r="AJ1098" s="211"/>
      <c r="AK1098" s="84"/>
      <c r="AL1098" s="146"/>
      <c r="AM1098" s="211"/>
      <c r="AN1098" s="211"/>
      <c r="AO1098" s="211"/>
      <c r="AP1098" s="436"/>
      <c r="AQ1098" s="146"/>
      <c r="AR1098" s="211"/>
      <c r="AS1098" s="211"/>
      <c r="AT1098" s="211"/>
      <c r="AU1098" s="84"/>
      <c r="AV1098" s="211"/>
      <c r="AW1098" s="211"/>
      <c r="AX1098" s="211"/>
      <c r="AY1098" s="211"/>
      <c r="AZ1098" s="84"/>
      <c r="BA1098" s="211"/>
      <c r="BB1098" s="211"/>
      <c r="BC1098" s="211"/>
      <c r="BD1098" s="211"/>
      <c r="BE1098" s="84"/>
      <c r="BF1098" s="211"/>
      <c r="BG1098" s="451"/>
    </row>
    <row r="1099" spans="1:59" ht="12.75">
      <c r="A1099" s="211"/>
      <c r="B1099" s="449"/>
      <c r="C1099" s="450"/>
      <c r="D1099" s="211"/>
      <c r="E1099" s="211"/>
      <c r="F1099" s="211"/>
      <c r="G1099" s="84"/>
      <c r="H1099" s="211"/>
      <c r="I1099" s="211"/>
      <c r="J1099" s="211"/>
      <c r="K1099" s="211"/>
      <c r="L1099" s="84"/>
      <c r="M1099" s="211"/>
      <c r="N1099" s="211"/>
      <c r="O1099" s="211"/>
      <c r="P1099" s="211"/>
      <c r="Q1099" s="84"/>
      <c r="R1099" s="211"/>
      <c r="S1099" s="211"/>
      <c r="T1099" s="211"/>
      <c r="U1099" s="211"/>
      <c r="V1099" s="84"/>
      <c r="W1099" s="211"/>
      <c r="X1099" s="211"/>
      <c r="Y1099" s="211"/>
      <c r="Z1099" s="211"/>
      <c r="AA1099" s="84"/>
      <c r="AB1099" s="146"/>
      <c r="AC1099" s="211"/>
      <c r="AD1099" s="211"/>
      <c r="AE1099" s="211"/>
      <c r="AF1099" s="84"/>
      <c r="AG1099" s="146"/>
      <c r="AH1099" s="211"/>
      <c r="AI1099" s="211"/>
      <c r="AJ1099" s="211"/>
      <c r="AK1099" s="84"/>
      <c r="AL1099" s="146"/>
      <c r="AM1099" s="211"/>
      <c r="AN1099" s="211"/>
      <c r="AO1099" s="211"/>
      <c r="AP1099" s="436"/>
      <c r="AQ1099" s="146"/>
      <c r="AR1099" s="211"/>
      <c r="AS1099" s="211"/>
      <c r="AT1099" s="211"/>
      <c r="AU1099" s="84"/>
      <c r="AV1099" s="211"/>
      <c r="AW1099" s="211"/>
      <c r="AX1099" s="211"/>
      <c r="AY1099" s="211"/>
      <c r="AZ1099" s="84"/>
      <c r="BA1099" s="211"/>
      <c r="BB1099" s="211"/>
      <c r="BC1099" s="211"/>
      <c r="BD1099" s="211"/>
      <c r="BE1099" s="84"/>
      <c r="BF1099" s="211"/>
      <c r="BG1099" s="451"/>
    </row>
    <row r="1100" spans="1:59" ht="12.75">
      <c r="A1100" s="211"/>
      <c r="B1100" s="449"/>
      <c r="C1100" s="450"/>
      <c r="D1100" s="211"/>
      <c r="E1100" s="211"/>
      <c r="F1100" s="211"/>
      <c r="G1100" s="84"/>
      <c r="H1100" s="211"/>
      <c r="I1100" s="211"/>
      <c r="J1100" s="211"/>
      <c r="K1100" s="211"/>
      <c r="L1100" s="84"/>
      <c r="M1100" s="211"/>
      <c r="N1100" s="211"/>
      <c r="O1100" s="211"/>
      <c r="P1100" s="211"/>
      <c r="Q1100" s="84"/>
      <c r="R1100" s="211"/>
      <c r="S1100" s="211"/>
      <c r="T1100" s="211"/>
      <c r="U1100" s="211"/>
      <c r="V1100" s="84"/>
      <c r="W1100" s="211"/>
      <c r="X1100" s="211"/>
      <c r="Y1100" s="211"/>
      <c r="Z1100" s="211"/>
      <c r="AA1100" s="84"/>
      <c r="AB1100" s="146"/>
      <c r="AC1100" s="211"/>
      <c r="AD1100" s="211"/>
      <c r="AE1100" s="211"/>
      <c r="AF1100" s="84"/>
      <c r="AG1100" s="146"/>
      <c r="AH1100" s="211"/>
      <c r="AI1100" s="211"/>
      <c r="AJ1100" s="211"/>
      <c r="AK1100" s="84"/>
      <c r="AL1100" s="146"/>
      <c r="AM1100" s="211"/>
      <c r="AN1100" s="211"/>
      <c r="AO1100" s="211"/>
      <c r="AP1100" s="436"/>
      <c r="AQ1100" s="146"/>
      <c r="AR1100" s="211"/>
      <c r="AS1100" s="211"/>
      <c r="AT1100" s="211"/>
      <c r="AU1100" s="84"/>
      <c r="AV1100" s="211"/>
      <c r="AW1100" s="211"/>
      <c r="AX1100" s="211"/>
      <c r="AY1100" s="211"/>
      <c r="AZ1100" s="84"/>
      <c r="BA1100" s="211"/>
      <c r="BB1100" s="211"/>
      <c r="BC1100" s="211"/>
      <c r="BD1100" s="211"/>
      <c r="BE1100" s="84"/>
      <c r="BF1100" s="211"/>
      <c r="BG1100" s="451"/>
    </row>
    <row r="1101" spans="1:59" ht="12.75">
      <c r="A1101" s="211"/>
      <c r="B1101" s="449"/>
      <c r="C1101" s="450"/>
      <c r="D1101" s="211"/>
      <c r="E1101" s="211"/>
      <c r="F1101" s="211"/>
      <c r="G1101" s="84"/>
      <c r="H1101" s="211"/>
      <c r="I1101" s="211"/>
      <c r="J1101" s="211"/>
      <c r="K1101" s="211"/>
      <c r="L1101" s="84"/>
      <c r="M1101" s="211"/>
      <c r="N1101" s="211"/>
      <c r="O1101" s="211"/>
      <c r="P1101" s="211"/>
      <c r="Q1101" s="84"/>
      <c r="R1101" s="211"/>
      <c r="S1101" s="211"/>
      <c r="T1101" s="211"/>
      <c r="U1101" s="211"/>
      <c r="V1101" s="84"/>
      <c r="W1101" s="211"/>
      <c r="X1101" s="211"/>
      <c r="Y1101" s="211"/>
      <c r="Z1101" s="211"/>
      <c r="AA1101" s="84"/>
      <c r="AB1101" s="146"/>
      <c r="AC1101" s="211"/>
      <c r="AD1101" s="211"/>
      <c r="AE1101" s="211"/>
      <c r="AF1101" s="84"/>
      <c r="AG1101" s="146"/>
      <c r="AH1101" s="211"/>
      <c r="AI1101" s="211"/>
      <c r="AJ1101" s="211"/>
      <c r="AK1101" s="84"/>
      <c r="AL1101" s="146"/>
      <c r="AM1101" s="211"/>
      <c r="AN1101" s="211"/>
      <c r="AO1101" s="211"/>
      <c r="AP1101" s="436"/>
      <c r="AQ1101" s="146"/>
      <c r="AR1101" s="211"/>
      <c r="AS1101" s="211"/>
      <c r="AT1101" s="211"/>
      <c r="AU1101" s="84"/>
      <c r="AV1101" s="211"/>
      <c r="AW1101" s="211"/>
      <c r="AX1101" s="211"/>
      <c r="AY1101" s="211"/>
      <c r="AZ1101" s="84"/>
      <c r="BA1101" s="211"/>
      <c r="BB1101" s="211"/>
      <c r="BC1101" s="211"/>
      <c r="BD1101" s="211"/>
      <c r="BE1101" s="84"/>
      <c r="BF1101" s="211"/>
      <c r="BG1101" s="451"/>
    </row>
    <row r="1102" spans="1:59" ht="12.75">
      <c r="A1102" s="211"/>
      <c r="B1102" s="449"/>
      <c r="C1102" s="450"/>
      <c r="D1102" s="211"/>
      <c r="E1102" s="211"/>
      <c r="F1102" s="211"/>
      <c r="G1102" s="84"/>
      <c r="H1102" s="211"/>
      <c r="I1102" s="211"/>
      <c r="J1102" s="211"/>
      <c r="K1102" s="211"/>
      <c r="L1102" s="84"/>
      <c r="M1102" s="211"/>
      <c r="N1102" s="211"/>
      <c r="O1102" s="211"/>
      <c r="P1102" s="211"/>
      <c r="Q1102" s="84"/>
      <c r="R1102" s="211"/>
      <c r="S1102" s="211"/>
      <c r="T1102" s="211"/>
      <c r="U1102" s="211"/>
      <c r="V1102" s="84"/>
      <c r="W1102" s="211"/>
      <c r="X1102" s="211"/>
      <c r="Y1102" s="211"/>
      <c r="Z1102" s="211"/>
      <c r="AA1102" s="84"/>
      <c r="AB1102" s="146"/>
      <c r="AC1102" s="211"/>
      <c r="AD1102" s="211"/>
      <c r="AE1102" s="211"/>
      <c r="AF1102" s="84"/>
      <c r="AG1102" s="146"/>
      <c r="AH1102" s="211"/>
      <c r="AI1102" s="211"/>
      <c r="AJ1102" s="211"/>
      <c r="AK1102" s="84"/>
      <c r="AL1102" s="146"/>
      <c r="AM1102" s="211"/>
      <c r="AN1102" s="211"/>
      <c r="AO1102" s="211"/>
      <c r="AP1102" s="436"/>
      <c r="AQ1102" s="146"/>
      <c r="AR1102" s="211"/>
      <c r="AS1102" s="211"/>
      <c r="AT1102" s="211"/>
      <c r="AU1102" s="84"/>
      <c r="AV1102" s="211"/>
      <c r="AW1102" s="211"/>
      <c r="AX1102" s="211"/>
      <c r="AY1102" s="211"/>
      <c r="AZ1102" s="84"/>
      <c r="BA1102" s="211"/>
      <c r="BB1102" s="211"/>
      <c r="BC1102" s="211"/>
      <c r="BD1102" s="211"/>
      <c r="BE1102" s="84"/>
      <c r="BF1102" s="211"/>
      <c r="BG1102" s="451"/>
    </row>
    <row r="1103" spans="1:59" ht="12.75">
      <c r="A1103" s="211"/>
      <c r="B1103" s="449"/>
      <c r="C1103" s="450"/>
      <c r="D1103" s="211"/>
      <c r="E1103" s="211"/>
      <c r="F1103" s="211"/>
      <c r="G1103" s="84"/>
      <c r="H1103" s="211"/>
      <c r="I1103" s="211"/>
      <c r="J1103" s="211"/>
      <c r="K1103" s="211"/>
      <c r="L1103" s="84"/>
      <c r="M1103" s="211"/>
      <c r="N1103" s="211"/>
      <c r="O1103" s="211"/>
      <c r="P1103" s="211"/>
      <c r="Q1103" s="84"/>
      <c r="R1103" s="211"/>
      <c r="S1103" s="211"/>
      <c r="T1103" s="211"/>
      <c r="U1103" s="211"/>
      <c r="V1103" s="84"/>
      <c r="W1103" s="211"/>
      <c r="X1103" s="211"/>
      <c r="Y1103" s="211"/>
      <c r="Z1103" s="211"/>
      <c r="AA1103" s="84"/>
      <c r="AB1103" s="146"/>
      <c r="AC1103" s="211"/>
      <c r="AD1103" s="211"/>
      <c r="AE1103" s="211"/>
      <c r="AF1103" s="84"/>
      <c r="AG1103" s="146"/>
      <c r="AH1103" s="211"/>
      <c r="AI1103" s="211"/>
      <c r="AJ1103" s="211"/>
      <c r="AK1103" s="84"/>
      <c r="AL1103" s="146"/>
      <c r="AM1103" s="211"/>
      <c r="AN1103" s="211"/>
      <c r="AO1103" s="211"/>
      <c r="AP1103" s="436"/>
      <c r="AQ1103" s="146"/>
      <c r="AR1103" s="211"/>
      <c r="AS1103" s="211"/>
      <c r="AT1103" s="211"/>
      <c r="AU1103" s="84"/>
      <c r="AV1103" s="211"/>
      <c r="AW1103" s="211"/>
      <c r="AX1103" s="211"/>
      <c r="AY1103" s="211"/>
      <c r="AZ1103" s="84"/>
      <c r="BA1103" s="211"/>
      <c r="BB1103" s="211"/>
      <c r="BC1103" s="211"/>
      <c r="BD1103" s="211"/>
      <c r="BE1103" s="84"/>
      <c r="BF1103" s="211"/>
      <c r="BG1103" s="451"/>
    </row>
    <row r="1104" spans="1:59" ht="12.75">
      <c r="A1104" s="211"/>
      <c r="B1104" s="449"/>
      <c r="C1104" s="450"/>
      <c r="D1104" s="211"/>
      <c r="E1104" s="211"/>
      <c r="F1104" s="211"/>
      <c r="G1104" s="84"/>
      <c r="H1104" s="211"/>
      <c r="I1104" s="211"/>
      <c r="J1104" s="211"/>
      <c r="K1104" s="211"/>
      <c r="L1104" s="84"/>
      <c r="M1104" s="211"/>
      <c r="N1104" s="211"/>
      <c r="O1104" s="211"/>
      <c r="P1104" s="211"/>
      <c r="Q1104" s="84"/>
      <c r="R1104" s="211"/>
      <c r="S1104" s="211"/>
      <c r="T1104" s="211"/>
      <c r="U1104" s="211"/>
      <c r="V1104" s="84"/>
      <c r="W1104" s="211"/>
      <c r="X1104" s="211"/>
      <c r="Y1104" s="211"/>
      <c r="Z1104" s="211"/>
      <c r="AA1104" s="84"/>
      <c r="AB1104" s="146"/>
      <c r="AC1104" s="211"/>
      <c r="AD1104" s="211"/>
      <c r="AE1104" s="211"/>
      <c r="AF1104" s="84"/>
      <c r="AG1104" s="146"/>
      <c r="AH1104" s="211"/>
      <c r="AI1104" s="211"/>
      <c r="AJ1104" s="211"/>
      <c r="AK1104" s="84"/>
      <c r="AL1104" s="146"/>
      <c r="AM1104" s="211"/>
      <c r="AN1104" s="211"/>
      <c r="AO1104" s="211"/>
      <c r="AP1104" s="436"/>
      <c r="AQ1104" s="146"/>
      <c r="AR1104" s="211"/>
      <c r="AS1104" s="211"/>
      <c r="AT1104" s="211"/>
      <c r="AU1104" s="84"/>
      <c r="AV1104" s="211"/>
      <c r="AW1104" s="211"/>
      <c r="AX1104" s="211"/>
      <c r="AY1104" s="211"/>
      <c r="AZ1104" s="84"/>
      <c r="BA1104" s="211"/>
      <c r="BB1104" s="211"/>
      <c r="BC1104" s="211"/>
      <c r="BD1104" s="211"/>
      <c r="BE1104" s="84"/>
      <c r="BF1104" s="211"/>
      <c r="BG1104" s="451"/>
    </row>
    <row r="1105" spans="1:59" ht="12.75">
      <c r="A1105" s="211"/>
      <c r="B1105" s="449"/>
      <c r="C1105" s="450"/>
      <c r="D1105" s="211"/>
      <c r="E1105" s="211"/>
      <c r="F1105" s="211"/>
      <c r="G1105" s="84"/>
      <c r="H1105" s="211"/>
      <c r="I1105" s="211"/>
      <c r="J1105" s="211"/>
      <c r="K1105" s="211"/>
      <c r="L1105" s="84"/>
      <c r="M1105" s="211"/>
      <c r="N1105" s="211"/>
      <c r="O1105" s="211"/>
      <c r="P1105" s="211"/>
      <c r="Q1105" s="84"/>
      <c r="R1105" s="211"/>
      <c r="S1105" s="211"/>
      <c r="T1105" s="211"/>
      <c r="U1105" s="211"/>
      <c r="V1105" s="84"/>
      <c r="W1105" s="211"/>
      <c r="X1105" s="211"/>
      <c r="Y1105" s="211"/>
      <c r="Z1105" s="211"/>
      <c r="AA1105" s="84"/>
      <c r="AB1105" s="146"/>
      <c r="AC1105" s="211"/>
      <c r="AD1105" s="211"/>
      <c r="AE1105" s="211"/>
      <c r="AF1105" s="84"/>
      <c r="AG1105" s="146"/>
      <c r="AH1105" s="211"/>
      <c r="AI1105" s="211"/>
      <c r="AJ1105" s="211"/>
      <c r="AK1105" s="84"/>
      <c r="AL1105" s="146"/>
      <c r="AM1105" s="211"/>
      <c r="AN1105" s="211"/>
      <c r="AO1105" s="211"/>
      <c r="AP1105" s="436"/>
      <c r="AQ1105" s="146"/>
      <c r="AR1105" s="211"/>
      <c r="AS1105" s="211"/>
      <c r="AT1105" s="211"/>
      <c r="AU1105" s="84"/>
      <c r="AV1105" s="211"/>
      <c r="AW1105" s="211"/>
      <c r="AX1105" s="211"/>
      <c r="AY1105" s="211"/>
      <c r="AZ1105" s="84"/>
      <c r="BA1105" s="211"/>
      <c r="BB1105" s="211"/>
      <c r="BC1105" s="211"/>
      <c r="BD1105" s="211"/>
      <c r="BE1105" s="84"/>
      <c r="BF1105" s="211"/>
      <c r="BG1105" s="451"/>
    </row>
    <row r="1106" spans="1:59" ht="12.75">
      <c r="A1106" s="211"/>
      <c r="B1106" s="449"/>
      <c r="C1106" s="450"/>
      <c r="D1106" s="211"/>
      <c r="E1106" s="211"/>
      <c r="F1106" s="211"/>
      <c r="G1106" s="84"/>
      <c r="H1106" s="211"/>
      <c r="I1106" s="211"/>
      <c r="J1106" s="211"/>
      <c r="K1106" s="211"/>
      <c r="L1106" s="84"/>
      <c r="M1106" s="211"/>
      <c r="N1106" s="211"/>
      <c r="O1106" s="211"/>
      <c r="P1106" s="211"/>
      <c r="Q1106" s="84"/>
      <c r="R1106" s="211"/>
      <c r="S1106" s="211"/>
      <c r="T1106" s="211"/>
      <c r="U1106" s="211"/>
      <c r="V1106" s="84"/>
      <c r="W1106" s="211"/>
      <c r="X1106" s="211"/>
      <c r="Y1106" s="211"/>
      <c r="Z1106" s="211"/>
      <c r="AA1106" s="84"/>
      <c r="AB1106" s="146"/>
      <c r="AC1106" s="211"/>
      <c r="AD1106" s="211"/>
      <c r="AE1106" s="211"/>
      <c r="AF1106" s="84"/>
      <c r="AG1106" s="146"/>
      <c r="AH1106" s="211"/>
      <c r="AI1106" s="211"/>
      <c r="AJ1106" s="211"/>
      <c r="AK1106" s="84"/>
      <c r="AL1106" s="146"/>
      <c r="AM1106" s="211"/>
      <c r="AN1106" s="211"/>
      <c r="AO1106" s="211"/>
      <c r="AP1106" s="436"/>
      <c r="AQ1106" s="146"/>
      <c r="AR1106" s="211"/>
      <c r="AS1106" s="211"/>
      <c r="AT1106" s="211"/>
      <c r="AU1106" s="84"/>
      <c r="AV1106" s="211"/>
      <c r="AW1106" s="211"/>
      <c r="AX1106" s="211"/>
      <c r="AY1106" s="211"/>
      <c r="AZ1106" s="84"/>
      <c r="BA1106" s="211"/>
      <c r="BB1106" s="211"/>
      <c r="BC1106" s="211"/>
      <c r="BD1106" s="211"/>
      <c r="BE1106" s="84"/>
      <c r="BF1106" s="211"/>
      <c r="BG1106" s="451"/>
    </row>
    <row r="1107" spans="1:59" ht="12.75">
      <c r="A1107" s="211"/>
      <c r="B1107" s="449"/>
      <c r="C1107" s="450"/>
      <c r="D1107" s="211"/>
      <c r="E1107" s="211"/>
      <c r="F1107" s="211"/>
      <c r="G1107" s="84"/>
      <c r="H1107" s="211"/>
      <c r="I1107" s="211"/>
      <c r="J1107" s="211"/>
      <c r="K1107" s="211"/>
      <c r="L1107" s="84"/>
      <c r="M1107" s="211"/>
      <c r="N1107" s="211"/>
      <c r="O1107" s="211"/>
      <c r="P1107" s="211"/>
      <c r="Q1107" s="84"/>
      <c r="R1107" s="211"/>
      <c r="S1107" s="211"/>
      <c r="T1107" s="211"/>
      <c r="U1107" s="211"/>
      <c r="V1107" s="84"/>
      <c r="W1107" s="211"/>
      <c r="X1107" s="211"/>
      <c r="Y1107" s="211"/>
      <c r="Z1107" s="211"/>
      <c r="AA1107" s="84"/>
      <c r="AB1107" s="146"/>
      <c r="AC1107" s="211"/>
      <c r="AD1107" s="211"/>
      <c r="AE1107" s="211"/>
      <c r="AF1107" s="84"/>
      <c r="AG1107" s="146"/>
      <c r="AH1107" s="211"/>
      <c r="AI1107" s="211"/>
      <c r="AJ1107" s="211"/>
      <c r="AK1107" s="84"/>
      <c r="AL1107" s="146"/>
      <c r="AM1107" s="211"/>
      <c r="AN1107" s="211"/>
      <c r="AO1107" s="211"/>
      <c r="AP1107" s="436"/>
      <c r="AQ1107" s="146"/>
      <c r="AR1107" s="211"/>
      <c r="AS1107" s="211"/>
      <c r="AT1107" s="211"/>
      <c r="AU1107" s="84"/>
      <c r="AV1107" s="211"/>
      <c r="AW1107" s="211"/>
      <c r="AX1107" s="211"/>
      <c r="AY1107" s="211"/>
      <c r="AZ1107" s="84"/>
      <c r="BA1107" s="211"/>
      <c r="BB1107" s="211"/>
      <c r="BC1107" s="211"/>
      <c r="BD1107" s="211"/>
      <c r="BE1107" s="84"/>
      <c r="BF1107" s="211"/>
      <c r="BG1107" s="451"/>
    </row>
    <row r="1108" spans="1:59" ht="12.75">
      <c r="A1108" s="211"/>
      <c r="B1108" s="449"/>
      <c r="C1108" s="450"/>
      <c r="D1108" s="211"/>
      <c r="E1108" s="211"/>
      <c r="F1108" s="211"/>
      <c r="G1108" s="84"/>
      <c r="H1108" s="211"/>
      <c r="I1108" s="211"/>
      <c r="J1108" s="211"/>
      <c r="K1108" s="211"/>
      <c r="L1108" s="84"/>
      <c r="M1108" s="211"/>
      <c r="N1108" s="211"/>
      <c r="O1108" s="211"/>
      <c r="P1108" s="211"/>
      <c r="Q1108" s="84"/>
      <c r="R1108" s="211"/>
      <c r="S1108" s="211"/>
      <c r="T1108" s="211"/>
      <c r="U1108" s="211"/>
      <c r="V1108" s="84"/>
      <c r="W1108" s="211"/>
      <c r="X1108" s="211"/>
      <c r="Y1108" s="211"/>
      <c r="Z1108" s="211"/>
      <c r="AA1108" s="84"/>
      <c r="AB1108" s="146"/>
      <c r="AC1108" s="211"/>
      <c r="AD1108" s="211"/>
      <c r="AE1108" s="211"/>
      <c r="AF1108" s="84"/>
      <c r="AG1108" s="146"/>
      <c r="AH1108" s="211"/>
      <c r="AI1108" s="211"/>
      <c r="AJ1108" s="211"/>
      <c r="AK1108" s="84"/>
      <c r="AL1108" s="146"/>
      <c r="AM1108" s="211"/>
      <c r="AN1108" s="211"/>
      <c r="AO1108" s="211"/>
      <c r="AP1108" s="436"/>
      <c r="AQ1108" s="146"/>
      <c r="AR1108" s="211"/>
      <c r="AS1108" s="211"/>
      <c r="AT1108" s="211"/>
      <c r="AU1108" s="84"/>
      <c r="AV1108" s="211"/>
      <c r="AW1108" s="211"/>
      <c r="AX1108" s="211"/>
      <c r="AY1108" s="211"/>
      <c r="AZ1108" s="84"/>
      <c r="BA1108" s="211"/>
      <c r="BB1108" s="211"/>
      <c r="BC1108" s="211"/>
      <c r="BD1108" s="211"/>
      <c r="BE1108" s="84"/>
      <c r="BF1108" s="211"/>
      <c r="BG1108" s="451"/>
    </row>
    <row r="1109" spans="1:59" ht="12.75">
      <c r="A1109" s="211"/>
      <c r="B1109" s="449"/>
      <c r="C1109" s="450"/>
      <c r="D1109" s="211"/>
      <c r="E1109" s="211"/>
      <c r="F1109" s="211"/>
      <c r="G1109" s="84"/>
      <c r="H1109" s="211"/>
      <c r="I1109" s="211"/>
      <c r="J1109" s="211"/>
      <c r="K1109" s="211"/>
      <c r="L1109" s="84"/>
      <c r="M1109" s="211"/>
      <c r="N1109" s="211"/>
      <c r="O1109" s="211"/>
      <c r="P1109" s="211"/>
      <c r="Q1109" s="84"/>
      <c r="R1109" s="211"/>
      <c r="S1109" s="211"/>
      <c r="T1109" s="211"/>
      <c r="U1109" s="211"/>
      <c r="V1109" s="84"/>
      <c r="W1109" s="211"/>
      <c r="X1109" s="211"/>
      <c r="Y1109" s="211"/>
      <c r="Z1109" s="211"/>
      <c r="AA1109" s="84"/>
      <c r="AB1109" s="146"/>
      <c r="AC1109" s="211"/>
      <c r="AD1109" s="211"/>
      <c r="AE1109" s="211"/>
      <c r="AF1109" s="84"/>
      <c r="AG1109" s="146"/>
      <c r="AH1109" s="211"/>
      <c r="AI1109" s="211"/>
      <c r="AJ1109" s="211"/>
      <c r="AK1109" s="84"/>
      <c r="AL1109" s="146"/>
      <c r="AM1109" s="211"/>
      <c r="AN1109" s="211"/>
      <c r="AO1109" s="211"/>
      <c r="AP1109" s="436"/>
      <c r="AQ1109" s="146"/>
      <c r="AR1109" s="211"/>
      <c r="AS1109" s="211"/>
      <c r="AT1109" s="211"/>
      <c r="AU1109" s="84"/>
      <c r="AV1109" s="211"/>
      <c r="AW1109" s="211"/>
      <c r="AX1109" s="211"/>
      <c r="AY1109" s="211"/>
      <c r="AZ1109" s="84"/>
      <c r="BA1109" s="211"/>
      <c r="BB1109" s="211"/>
      <c r="BC1109" s="211"/>
      <c r="BD1109" s="211"/>
      <c r="BE1109" s="84"/>
      <c r="BF1109" s="211"/>
      <c r="BG1109" s="451"/>
    </row>
    <row r="1110" spans="1:59" ht="12.75">
      <c r="A1110" s="211"/>
      <c r="B1110" s="449"/>
      <c r="C1110" s="450"/>
      <c r="D1110" s="211"/>
      <c r="E1110" s="211"/>
      <c r="F1110" s="211"/>
      <c r="G1110" s="84"/>
      <c r="H1110" s="211"/>
      <c r="I1110" s="211"/>
      <c r="J1110" s="211"/>
      <c r="K1110" s="211"/>
      <c r="L1110" s="84"/>
      <c r="M1110" s="211"/>
      <c r="N1110" s="211"/>
      <c r="O1110" s="211"/>
      <c r="P1110" s="211"/>
      <c r="Q1110" s="84"/>
      <c r="R1110" s="211"/>
      <c r="S1110" s="211"/>
      <c r="T1110" s="211"/>
      <c r="U1110" s="211"/>
      <c r="V1110" s="84"/>
      <c r="W1110" s="211"/>
      <c r="X1110" s="211"/>
      <c r="Y1110" s="211"/>
      <c r="Z1110" s="211"/>
      <c r="AA1110" s="84"/>
      <c r="AB1110" s="146"/>
      <c r="AC1110" s="211"/>
      <c r="AD1110" s="211"/>
      <c r="AE1110" s="211"/>
      <c r="AF1110" s="84"/>
      <c r="AG1110" s="146"/>
      <c r="AH1110" s="211"/>
      <c r="AI1110" s="211"/>
      <c r="AJ1110" s="211"/>
      <c r="AK1110" s="84"/>
      <c r="AL1110" s="146"/>
      <c r="AM1110" s="211"/>
      <c r="AN1110" s="211"/>
      <c r="AO1110" s="211"/>
      <c r="AP1110" s="436"/>
      <c r="AQ1110" s="146"/>
      <c r="AR1110" s="211"/>
      <c r="AS1110" s="211"/>
      <c r="AT1110" s="211"/>
      <c r="AU1110" s="84"/>
      <c r="AV1110" s="211"/>
      <c r="AW1110" s="211"/>
      <c r="AX1110" s="211"/>
      <c r="AY1110" s="211"/>
      <c r="AZ1110" s="84"/>
      <c r="BA1110" s="211"/>
      <c r="BB1110" s="211"/>
      <c r="BC1110" s="211"/>
      <c r="BD1110" s="211"/>
      <c r="BE1110" s="84"/>
      <c r="BF1110" s="211"/>
      <c r="BG1110" s="451"/>
    </row>
    <row r="1111" spans="1:59" ht="12.75">
      <c r="A1111" s="211"/>
      <c r="B1111" s="449"/>
      <c r="C1111" s="450"/>
      <c r="D1111" s="211"/>
      <c r="E1111" s="211"/>
      <c r="F1111" s="211"/>
      <c r="G1111" s="84"/>
      <c r="H1111" s="211"/>
      <c r="I1111" s="211"/>
      <c r="J1111" s="211"/>
      <c r="K1111" s="211"/>
      <c r="L1111" s="84"/>
      <c r="M1111" s="211"/>
      <c r="N1111" s="211"/>
      <c r="O1111" s="211"/>
      <c r="P1111" s="211"/>
      <c r="Q1111" s="84"/>
      <c r="R1111" s="211"/>
      <c r="S1111" s="211"/>
      <c r="T1111" s="211"/>
      <c r="U1111" s="211"/>
      <c r="V1111" s="84"/>
      <c r="W1111" s="211"/>
      <c r="X1111" s="211"/>
      <c r="Y1111" s="211"/>
      <c r="Z1111" s="211"/>
      <c r="AA1111" s="84"/>
      <c r="AB1111" s="146"/>
      <c r="AC1111" s="211"/>
      <c r="AD1111" s="211"/>
      <c r="AE1111" s="211"/>
      <c r="AF1111" s="84"/>
      <c r="AG1111" s="146"/>
      <c r="AH1111" s="211"/>
      <c r="AI1111" s="211"/>
      <c r="AJ1111" s="211"/>
      <c r="AK1111" s="84"/>
      <c r="AL1111" s="146"/>
      <c r="AM1111" s="211"/>
      <c r="AN1111" s="211"/>
      <c r="AO1111" s="211"/>
      <c r="AP1111" s="436"/>
      <c r="AQ1111" s="146"/>
      <c r="AR1111" s="211"/>
      <c r="AS1111" s="211"/>
      <c r="AT1111" s="211"/>
      <c r="AU1111" s="84"/>
      <c r="AV1111" s="211"/>
      <c r="AW1111" s="211"/>
      <c r="AX1111" s="211"/>
      <c r="AY1111" s="211"/>
      <c r="AZ1111" s="84"/>
      <c r="BA1111" s="211"/>
      <c r="BB1111" s="211"/>
      <c r="BC1111" s="211"/>
      <c r="BD1111" s="211"/>
      <c r="BE1111" s="84"/>
      <c r="BF1111" s="211"/>
      <c r="BG1111" s="451"/>
    </row>
    <row r="1112" spans="1:59" ht="12.75">
      <c r="A1112" s="211"/>
      <c r="B1112" s="449"/>
      <c r="C1112" s="450"/>
      <c r="D1112" s="211"/>
      <c r="E1112" s="211"/>
      <c r="F1112" s="211"/>
      <c r="G1112" s="84"/>
      <c r="H1112" s="211"/>
      <c r="I1112" s="211"/>
      <c r="J1112" s="211"/>
      <c r="K1112" s="211"/>
      <c r="L1112" s="84"/>
      <c r="M1112" s="211"/>
      <c r="N1112" s="211"/>
      <c r="O1112" s="211"/>
      <c r="P1112" s="211"/>
      <c r="Q1112" s="84"/>
      <c r="R1112" s="211"/>
      <c r="S1112" s="211"/>
      <c r="T1112" s="211"/>
      <c r="U1112" s="211"/>
      <c r="V1112" s="84"/>
      <c r="W1112" s="211"/>
      <c r="X1112" s="211"/>
      <c r="Y1112" s="211"/>
      <c r="Z1112" s="211"/>
      <c r="AA1112" s="84"/>
      <c r="AB1112" s="146"/>
      <c r="AC1112" s="211"/>
      <c r="AD1112" s="211"/>
      <c r="AE1112" s="211"/>
      <c r="AF1112" s="84"/>
      <c r="AG1112" s="146"/>
      <c r="AH1112" s="211"/>
      <c r="AI1112" s="211"/>
      <c r="AJ1112" s="211"/>
      <c r="AK1112" s="84"/>
      <c r="AL1112" s="146"/>
      <c r="AM1112" s="211"/>
      <c r="AN1112" s="211"/>
      <c r="AO1112" s="211"/>
      <c r="AP1112" s="436"/>
      <c r="AQ1112" s="146"/>
      <c r="AR1112" s="211"/>
      <c r="AS1112" s="211"/>
      <c r="AT1112" s="211"/>
      <c r="AU1112" s="84"/>
      <c r="AV1112" s="211"/>
      <c r="AW1112" s="211"/>
      <c r="AX1112" s="211"/>
      <c r="AY1112" s="211"/>
      <c r="AZ1112" s="84"/>
      <c r="BA1112" s="211"/>
      <c r="BB1112" s="211"/>
      <c r="BC1112" s="211"/>
      <c r="BD1112" s="211"/>
      <c r="BE1112" s="84"/>
      <c r="BF1112" s="211"/>
      <c r="BG1112" s="451"/>
    </row>
    <row r="1113" spans="1:59" ht="12.75">
      <c r="A1113" s="211"/>
      <c r="B1113" s="449"/>
      <c r="C1113" s="450"/>
      <c r="D1113" s="211"/>
      <c r="E1113" s="211"/>
      <c r="F1113" s="211"/>
      <c r="G1113" s="84"/>
      <c r="H1113" s="211"/>
      <c r="I1113" s="211"/>
      <c r="J1113" s="211"/>
      <c r="K1113" s="211"/>
      <c r="L1113" s="84"/>
      <c r="M1113" s="211"/>
      <c r="N1113" s="211"/>
      <c r="O1113" s="211"/>
      <c r="P1113" s="211"/>
      <c r="Q1113" s="84"/>
      <c r="R1113" s="211"/>
      <c r="S1113" s="211"/>
      <c r="T1113" s="211"/>
      <c r="U1113" s="211"/>
      <c r="V1113" s="84"/>
      <c r="W1113" s="211"/>
      <c r="X1113" s="211"/>
      <c r="Y1113" s="211"/>
      <c r="Z1113" s="211"/>
      <c r="AA1113" s="84"/>
      <c r="AB1113" s="146"/>
      <c r="AC1113" s="211"/>
      <c r="AD1113" s="211"/>
      <c r="AE1113" s="211"/>
      <c r="AF1113" s="84"/>
      <c r="AG1113" s="146"/>
      <c r="AH1113" s="211"/>
      <c r="AI1113" s="211"/>
      <c r="AJ1113" s="211"/>
      <c r="AK1113" s="84"/>
      <c r="AL1113" s="146"/>
      <c r="AM1113" s="211"/>
      <c r="AN1113" s="211"/>
      <c r="AO1113" s="211"/>
      <c r="AP1113" s="436"/>
      <c r="AQ1113" s="146"/>
      <c r="AR1113" s="211"/>
      <c r="AS1113" s="211"/>
      <c r="AT1113" s="211"/>
      <c r="AU1113" s="84"/>
      <c r="AV1113" s="211"/>
      <c r="AW1113" s="211"/>
      <c r="AX1113" s="211"/>
      <c r="AY1113" s="211"/>
      <c r="AZ1113" s="84"/>
      <c r="BA1113" s="211"/>
      <c r="BB1113" s="211"/>
      <c r="BC1113" s="211"/>
      <c r="BD1113" s="211"/>
      <c r="BE1113" s="84"/>
      <c r="BF1113" s="211"/>
      <c r="BG1113" s="451"/>
    </row>
    <row r="1114" spans="1:59" ht="12.75">
      <c r="A1114" s="211"/>
      <c r="B1114" s="449"/>
      <c r="C1114" s="450"/>
      <c r="D1114" s="211"/>
      <c r="E1114" s="211"/>
      <c r="F1114" s="211"/>
      <c r="G1114" s="84"/>
      <c r="H1114" s="211"/>
      <c r="I1114" s="211"/>
      <c r="J1114" s="211"/>
      <c r="K1114" s="211"/>
      <c r="L1114" s="84"/>
      <c r="M1114" s="211"/>
      <c r="N1114" s="211"/>
      <c r="O1114" s="211"/>
      <c r="P1114" s="211"/>
      <c r="Q1114" s="84"/>
      <c r="R1114" s="211"/>
      <c r="S1114" s="211"/>
      <c r="T1114" s="211"/>
      <c r="U1114" s="211"/>
      <c r="V1114" s="84"/>
      <c r="W1114" s="211"/>
      <c r="X1114" s="211"/>
      <c r="Y1114" s="211"/>
      <c r="Z1114" s="211"/>
      <c r="AA1114" s="84"/>
      <c r="AB1114" s="146"/>
      <c r="AC1114" s="211"/>
      <c r="AD1114" s="211"/>
      <c r="AE1114" s="211"/>
      <c r="AF1114" s="84"/>
      <c r="AG1114" s="146"/>
      <c r="AH1114" s="211"/>
      <c r="AI1114" s="211"/>
      <c r="AJ1114" s="211"/>
      <c r="AK1114" s="84"/>
      <c r="AL1114" s="146"/>
      <c r="AM1114" s="211"/>
      <c r="AN1114" s="211"/>
      <c r="AO1114" s="211"/>
      <c r="AP1114" s="436"/>
      <c r="AQ1114" s="146"/>
      <c r="AR1114" s="211"/>
      <c r="AS1114" s="211"/>
      <c r="AT1114" s="211"/>
      <c r="AU1114" s="84"/>
      <c r="AV1114" s="211"/>
      <c r="AW1114" s="211"/>
      <c r="AX1114" s="211"/>
      <c r="AY1114" s="211"/>
      <c r="AZ1114" s="84"/>
      <c r="BA1114" s="211"/>
      <c r="BB1114" s="211"/>
      <c r="BC1114" s="211"/>
      <c r="BD1114" s="211"/>
      <c r="BE1114" s="84"/>
      <c r="BF1114" s="211"/>
      <c r="BG1114" s="451"/>
    </row>
    <row r="1115" spans="1:59" ht="12.75">
      <c r="A1115" s="211"/>
      <c r="B1115" s="449"/>
      <c r="C1115" s="450"/>
      <c r="D1115" s="211"/>
      <c r="E1115" s="211"/>
      <c r="F1115" s="211"/>
      <c r="G1115" s="84"/>
      <c r="H1115" s="211"/>
      <c r="I1115" s="211"/>
      <c r="J1115" s="211"/>
      <c r="K1115" s="211"/>
      <c r="L1115" s="84"/>
      <c r="M1115" s="211"/>
      <c r="N1115" s="211"/>
      <c r="O1115" s="211"/>
      <c r="P1115" s="211"/>
      <c r="Q1115" s="84"/>
      <c r="R1115" s="211"/>
      <c r="S1115" s="211"/>
      <c r="T1115" s="211"/>
      <c r="U1115" s="211"/>
      <c r="V1115" s="84"/>
      <c r="W1115" s="211"/>
      <c r="X1115" s="211"/>
      <c r="Y1115" s="211"/>
      <c r="Z1115" s="211"/>
      <c r="AA1115" s="84"/>
      <c r="AB1115" s="146"/>
      <c r="AC1115" s="211"/>
      <c r="AD1115" s="211"/>
      <c r="AE1115" s="211"/>
      <c r="AF1115" s="84"/>
      <c r="AG1115" s="146"/>
      <c r="AH1115" s="211"/>
      <c r="AI1115" s="211"/>
      <c r="AJ1115" s="211"/>
      <c r="AK1115" s="84"/>
      <c r="AL1115" s="146"/>
      <c r="AM1115" s="211"/>
      <c r="AN1115" s="211"/>
      <c r="AO1115" s="211"/>
      <c r="AP1115" s="436"/>
      <c r="AQ1115" s="146"/>
      <c r="AR1115" s="211"/>
      <c r="AS1115" s="211"/>
      <c r="AT1115" s="211"/>
      <c r="AU1115" s="84"/>
      <c r="AV1115" s="211"/>
      <c r="AW1115" s="211"/>
      <c r="AX1115" s="211"/>
      <c r="AY1115" s="211"/>
      <c r="AZ1115" s="84"/>
      <c r="BA1115" s="211"/>
      <c r="BB1115" s="211"/>
      <c r="BC1115" s="211"/>
      <c r="BD1115" s="211"/>
      <c r="BE1115" s="84"/>
      <c r="BF1115" s="211"/>
      <c r="BG1115" s="451"/>
    </row>
    <row r="1116" spans="1:59" ht="12.75">
      <c r="A1116" s="211"/>
      <c r="B1116" s="449"/>
      <c r="C1116" s="450"/>
      <c r="D1116" s="211"/>
      <c r="E1116" s="211"/>
      <c r="F1116" s="211"/>
      <c r="G1116" s="84"/>
      <c r="H1116" s="211"/>
      <c r="I1116" s="211"/>
      <c r="J1116" s="211"/>
      <c r="K1116" s="211"/>
      <c r="L1116" s="84"/>
      <c r="M1116" s="211"/>
      <c r="N1116" s="211"/>
      <c r="O1116" s="211"/>
      <c r="P1116" s="211"/>
      <c r="Q1116" s="84"/>
      <c r="R1116" s="211"/>
      <c r="S1116" s="211"/>
      <c r="T1116" s="211"/>
      <c r="U1116" s="211"/>
      <c r="V1116" s="84"/>
      <c r="W1116" s="211"/>
      <c r="X1116" s="211"/>
      <c r="Y1116" s="211"/>
      <c r="Z1116" s="211"/>
      <c r="AA1116" s="84"/>
      <c r="AB1116" s="146"/>
      <c r="AC1116" s="211"/>
      <c r="AD1116" s="211"/>
      <c r="AE1116" s="211"/>
      <c r="AF1116" s="84"/>
      <c r="AG1116" s="146"/>
      <c r="AH1116" s="211"/>
      <c r="AI1116" s="211"/>
      <c r="AJ1116" s="211"/>
      <c r="AK1116" s="84"/>
      <c r="AL1116" s="146"/>
      <c r="AM1116" s="211"/>
      <c r="AN1116" s="211"/>
      <c r="AO1116" s="211"/>
      <c r="AP1116" s="436"/>
      <c r="AQ1116" s="146"/>
      <c r="AR1116" s="211"/>
      <c r="AS1116" s="211"/>
      <c r="AT1116" s="211"/>
      <c r="AU1116" s="84"/>
      <c r="AV1116" s="211"/>
      <c r="AW1116" s="211"/>
      <c r="AX1116" s="211"/>
      <c r="AY1116" s="211"/>
      <c r="AZ1116" s="84"/>
      <c r="BA1116" s="211"/>
      <c r="BB1116" s="211"/>
      <c r="BC1116" s="211"/>
      <c r="BD1116" s="211"/>
      <c r="BE1116" s="84"/>
      <c r="BF1116" s="211"/>
      <c r="BG1116" s="451"/>
    </row>
    <row r="1117" spans="1:59" ht="12.75">
      <c r="A1117" s="211"/>
      <c r="B1117" s="449"/>
      <c r="C1117" s="450"/>
      <c r="D1117" s="211"/>
      <c r="E1117" s="211"/>
      <c r="F1117" s="211"/>
      <c r="G1117" s="84"/>
      <c r="H1117" s="211"/>
      <c r="I1117" s="211"/>
      <c r="J1117" s="211"/>
      <c r="K1117" s="211"/>
      <c r="L1117" s="84"/>
      <c r="M1117" s="211"/>
      <c r="N1117" s="211"/>
      <c r="O1117" s="211"/>
      <c r="P1117" s="211"/>
      <c r="Q1117" s="84"/>
      <c r="R1117" s="211"/>
      <c r="S1117" s="211"/>
      <c r="T1117" s="211"/>
      <c r="U1117" s="211"/>
      <c r="V1117" s="84"/>
      <c r="W1117" s="211"/>
      <c r="X1117" s="211"/>
      <c r="Y1117" s="211"/>
      <c r="Z1117" s="211"/>
      <c r="AA1117" s="84"/>
      <c r="AB1117" s="146"/>
      <c r="AC1117" s="211"/>
      <c r="AD1117" s="211"/>
      <c r="AE1117" s="211"/>
      <c r="AF1117" s="84"/>
      <c r="AG1117" s="146"/>
      <c r="AH1117" s="211"/>
      <c r="AI1117" s="211"/>
      <c r="AJ1117" s="211"/>
      <c r="AK1117" s="84"/>
      <c r="AL1117" s="146"/>
      <c r="AM1117" s="211"/>
      <c r="AN1117" s="211"/>
      <c r="AO1117" s="211"/>
      <c r="AP1117" s="436"/>
      <c r="AQ1117" s="146"/>
      <c r="AR1117" s="211"/>
      <c r="AS1117" s="211"/>
      <c r="AT1117" s="211"/>
      <c r="AU1117" s="84"/>
      <c r="AV1117" s="211"/>
      <c r="AW1117" s="211"/>
      <c r="AX1117" s="211"/>
      <c r="AY1117" s="211"/>
      <c r="AZ1117" s="84"/>
      <c r="BA1117" s="211"/>
      <c r="BB1117" s="211"/>
      <c r="BC1117" s="211"/>
      <c r="BD1117" s="211"/>
      <c r="BE1117" s="84"/>
      <c r="BF1117" s="211"/>
      <c r="BG1117" s="451"/>
    </row>
    <row r="1118" spans="1:59" ht="12.75">
      <c r="A1118" s="211"/>
      <c r="B1118" s="449"/>
      <c r="C1118" s="450"/>
      <c r="D1118" s="211"/>
      <c r="E1118" s="211"/>
      <c r="F1118" s="211"/>
      <c r="G1118" s="84"/>
      <c r="H1118" s="211"/>
      <c r="I1118" s="211"/>
      <c r="J1118" s="211"/>
      <c r="K1118" s="211"/>
      <c r="L1118" s="84"/>
      <c r="M1118" s="211"/>
      <c r="N1118" s="211"/>
      <c r="O1118" s="211"/>
      <c r="P1118" s="211"/>
      <c r="Q1118" s="84"/>
      <c r="R1118" s="211"/>
      <c r="S1118" s="211"/>
      <c r="T1118" s="211"/>
      <c r="U1118" s="211"/>
      <c r="V1118" s="84"/>
      <c r="W1118" s="211"/>
      <c r="X1118" s="211"/>
      <c r="Y1118" s="211"/>
      <c r="Z1118" s="211"/>
      <c r="AA1118" s="84"/>
      <c r="AB1118" s="146"/>
      <c r="AC1118" s="211"/>
      <c r="AD1118" s="211"/>
      <c r="AE1118" s="211"/>
      <c r="AF1118" s="84"/>
      <c r="AG1118" s="146"/>
      <c r="AH1118" s="211"/>
      <c r="AI1118" s="211"/>
      <c r="AJ1118" s="211"/>
      <c r="AK1118" s="84"/>
      <c r="AL1118" s="146"/>
      <c r="AM1118" s="211"/>
      <c r="AN1118" s="211"/>
      <c r="AO1118" s="211"/>
      <c r="AP1118" s="436"/>
      <c r="AQ1118" s="146"/>
      <c r="AR1118" s="211"/>
      <c r="AS1118" s="211"/>
      <c r="AT1118" s="211"/>
      <c r="AU1118" s="84"/>
      <c r="AV1118" s="211"/>
      <c r="AW1118" s="211"/>
      <c r="AX1118" s="211"/>
      <c r="AY1118" s="211"/>
      <c r="AZ1118" s="84"/>
      <c r="BA1118" s="211"/>
      <c r="BB1118" s="211"/>
      <c r="BC1118" s="211"/>
      <c r="BD1118" s="211"/>
      <c r="BE1118" s="84"/>
      <c r="BF1118" s="211"/>
      <c r="BG1118" s="451"/>
    </row>
    <row r="1119" spans="1:59" ht="12.75">
      <c r="A1119" s="211"/>
      <c r="B1119" s="449"/>
      <c r="C1119" s="450"/>
      <c r="D1119" s="211"/>
      <c r="E1119" s="211"/>
      <c r="F1119" s="211"/>
      <c r="G1119" s="84"/>
      <c r="H1119" s="211"/>
      <c r="I1119" s="211"/>
      <c r="J1119" s="211"/>
      <c r="K1119" s="211"/>
      <c r="L1119" s="84"/>
      <c r="M1119" s="211"/>
      <c r="N1119" s="211"/>
      <c r="O1119" s="211"/>
      <c r="P1119" s="211"/>
      <c r="Q1119" s="84"/>
      <c r="R1119" s="211"/>
      <c r="S1119" s="211"/>
      <c r="T1119" s="211"/>
      <c r="U1119" s="211"/>
      <c r="V1119" s="84"/>
      <c r="W1119" s="211"/>
      <c r="X1119" s="211"/>
      <c r="Y1119" s="211"/>
      <c r="Z1119" s="211"/>
      <c r="AA1119" s="84"/>
      <c r="AB1119" s="146"/>
      <c r="AC1119" s="211"/>
      <c r="AD1119" s="211"/>
      <c r="AE1119" s="211"/>
      <c r="AF1119" s="84"/>
      <c r="AG1119" s="146"/>
      <c r="AH1119" s="211"/>
      <c r="AI1119" s="211"/>
      <c r="AJ1119" s="211"/>
      <c r="AK1119" s="84"/>
      <c r="AL1119" s="146"/>
      <c r="AM1119" s="211"/>
      <c r="AN1119" s="211"/>
      <c r="AO1119" s="211"/>
      <c r="AP1119" s="436"/>
      <c r="AQ1119" s="146"/>
      <c r="AR1119" s="211"/>
      <c r="AS1119" s="211"/>
      <c r="AT1119" s="211"/>
      <c r="AU1119" s="84"/>
      <c r="AV1119" s="211"/>
      <c r="AW1119" s="211"/>
      <c r="AX1119" s="211"/>
      <c r="AY1119" s="211"/>
      <c r="AZ1119" s="84"/>
      <c r="BA1119" s="211"/>
      <c r="BB1119" s="211"/>
      <c r="BC1119" s="211"/>
      <c r="BD1119" s="211"/>
      <c r="BE1119" s="84"/>
      <c r="BF1119" s="211"/>
      <c r="BG1119" s="451"/>
    </row>
    <row r="1120" spans="1:59" ht="12.75">
      <c r="A1120" s="211"/>
      <c r="B1120" s="449"/>
      <c r="C1120" s="450"/>
      <c r="D1120" s="211"/>
      <c r="E1120" s="211"/>
      <c r="F1120" s="211"/>
      <c r="G1120" s="84"/>
      <c r="H1120" s="211"/>
      <c r="I1120" s="211"/>
      <c r="J1120" s="211"/>
      <c r="K1120" s="211"/>
      <c r="L1120" s="84"/>
      <c r="M1120" s="211"/>
      <c r="N1120" s="211"/>
      <c r="O1120" s="211"/>
      <c r="P1120" s="211"/>
      <c r="Q1120" s="84"/>
      <c r="R1120" s="211"/>
      <c r="S1120" s="211"/>
      <c r="T1120" s="211"/>
      <c r="U1120" s="211"/>
      <c r="V1120" s="84"/>
      <c r="W1120" s="211"/>
      <c r="X1120" s="211"/>
      <c r="Y1120" s="211"/>
      <c r="Z1120" s="211"/>
      <c r="AA1120" s="84"/>
      <c r="AB1120" s="146"/>
      <c r="AC1120" s="211"/>
      <c r="AD1120" s="211"/>
      <c r="AE1120" s="211"/>
      <c r="AF1120" s="84"/>
      <c r="AG1120" s="146"/>
      <c r="AH1120" s="211"/>
      <c r="AI1120" s="211"/>
      <c r="AJ1120" s="211"/>
      <c r="AK1120" s="84"/>
      <c r="AL1120" s="146"/>
      <c r="AM1120" s="211"/>
      <c r="AN1120" s="211"/>
      <c r="AO1120" s="211"/>
      <c r="AP1120" s="436"/>
      <c r="AQ1120" s="146"/>
      <c r="AR1120" s="211"/>
      <c r="AS1120" s="211"/>
      <c r="AT1120" s="211"/>
      <c r="AU1120" s="84"/>
      <c r="AV1120" s="211"/>
      <c r="AW1120" s="211"/>
      <c r="AX1120" s="211"/>
      <c r="AY1120" s="211"/>
      <c r="AZ1120" s="84"/>
      <c r="BA1120" s="211"/>
      <c r="BB1120" s="211"/>
      <c r="BC1120" s="211"/>
      <c r="BD1120" s="211"/>
      <c r="BE1120" s="84"/>
      <c r="BF1120" s="211"/>
      <c r="BG1120" s="451"/>
    </row>
    <row r="1121" spans="1:59" ht="12.75">
      <c r="A1121" s="211"/>
      <c r="B1121" s="449"/>
      <c r="C1121" s="450"/>
      <c r="D1121" s="211"/>
      <c r="E1121" s="211"/>
      <c r="F1121" s="211"/>
      <c r="G1121" s="84"/>
      <c r="H1121" s="211"/>
      <c r="I1121" s="211"/>
      <c r="J1121" s="211"/>
      <c r="K1121" s="211"/>
      <c r="L1121" s="84"/>
      <c r="M1121" s="211"/>
      <c r="N1121" s="211"/>
      <c r="O1121" s="211"/>
      <c r="P1121" s="211"/>
      <c r="Q1121" s="84"/>
      <c r="R1121" s="211"/>
      <c r="S1121" s="211"/>
      <c r="T1121" s="211"/>
      <c r="U1121" s="211"/>
      <c r="V1121" s="84"/>
      <c r="W1121" s="211"/>
      <c r="X1121" s="211"/>
      <c r="Y1121" s="211"/>
      <c r="Z1121" s="211"/>
      <c r="AA1121" s="84"/>
      <c r="AB1121" s="146"/>
      <c r="AC1121" s="211"/>
      <c r="AD1121" s="211"/>
      <c r="AE1121" s="211"/>
      <c r="AF1121" s="84"/>
      <c r="AG1121" s="146"/>
      <c r="AH1121" s="211"/>
      <c r="AI1121" s="211"/>
      <c r="AJ1121" s="211"/>
      <c r="AK1121" s="84"/>
      <c r="AL1121" s="146"/>
      <c r="AM1121" s="211"/>
      <c r="AN1121" s="211"/>
      <c r="AO1121" s="211"/>
      <c r="AP1121" s="436"/>
      <c r="AQ1121" s="146"/>
      <c r="AR1121" s="211"/>
      <c r="AS1121" s="211"/>
      <c r="AT1121" s="211"/>
      <c r="AU1121" s="84"/>
      <c r="AV1121" s="211"/>
      <c r="AW1121" s="211"/>
      <c r="AX1121" s="211"/>
      <c r="AY1121" s="211"/>
      <c r="AZ1121" s="84"/>
      <c r="BA1121" s="211"/>
      <c r="BB1121" s="211"/>
      <c r="BC1121" s="211"/>
      <c r="BD1121" s="211"/>
      <c r="BE1121" s="84"/>
      <c r="BF1121" s="211"/>
      <c r="BG1121" s="451"/>
    </row>
    <row r="1122" spans="1:59" ht="12.75">
      <c r="A1122" s="211"/>
      <c r="B1122" s="449"/>
      <c r="C1122" s="450"/>
      <c r="D1122" s="211"/>
      <c r="E1122" s="211"/>
      <c r="F1122" s="211"/>
      <c r="G1122" s="84"/>
      <c r="H1122" s="211"/>
      <c r="I1122" s="211"/>
      <c r="J1122" s="211"/>
      <c r="K1122" s="211"/>
      <c r="L1122" s="84"/>
      <c r="M1122" s="211"/>
      <c r="N1122" s="211"/>
      <c r="O1122" s="211"/>
      <c r="P1122" s="211"/>
      <c r="Q1122" s="84"/>
      <c r="R1122" s="211"/>
      <c r="S1122" s="211"/>
      <c r="T1122" s="211"/>
      <c r="U1122" s="211"/>
      <c r="V1122" s="84"/>
      <c r="W1122" s="211"/>
      <c r="X1122" s="211"/>
      <c r="Y1122" s="211"/>
      <c r="Z1122" s="211"/>
      <c r="AA1122" s="84"/>
      <c r="AB1122" s="146"/>
      <c r="AC1122" s="211"/>
      <c r="AD1122" s="211"/>
      <c r="AE1122" s="211"/>
      <c r="AF1122" s="84"/>
      <c r="AG1122" s="146"/>
      <c r="AH1122" s="211"/>
      <c r="AI1122" s="211"/>
      <c r="AJ1122" s="211"/>
      <c r="AK1122" s="84"/>
      <c r="AL1122" s="146"/>
      <c r="AM1122" s="211"/>
      <c r="AN1122" s="211"/>
      <c r="AO1122" s="211"/>
      <c r="AP1122" s="436"/>
      <c r="AQ1122" s="146"/>
      <c r="AR1122" s="211"/>
      <c r="AS1122" s="211"/>
      <c r="AT1122" s="211"/>
      <c r="AU1122" s="84"/>
      <c r="AV1122" s="211"/>
      <c r="AW1122" s="211"/>
      <c r="AX1122" s="211"/>
      <c r="AY1122" s="211"/>
      <c r="AZ1122" s="84"/>
      <c r="BA1122" s="211"/>
      <c r="BB1122" s="211"/>
      <c r="BC1122" s="211"/>
      <c r="BD1122" s="211"/>
      <c r="BE1122" s="84"/>
      <c r="BF1122" s="211"/>
      <c r="BG1122" s="451"/>
    </row>
    <row r="1123" spans="1:59" ht="12.75">
      <c r="A1123" s="211"/>
      <c r="B1123" s="449"/>
      <c r="C1123" s="450"/>
      <c r="D1123" s="211"/>
      <c r="E1123" s="211"/>
      <c r="F1123" s="211"/>
      <c r="G1123" s="84"/>
      <c r="H1123" s="211"/>
      <c r="I1123" s="211"/>
      <c r="J1123" s="211"/>
      <c r="K1123" s="211"/>
      <c r="L1123" s="84"/>
      <c r="M1123" s="211"/>
      <c r="N1123" s="211"/>
      <c r="O1123" s="211"/>
      <c r="P1123" s="211"/>
      <c r="Q1123" s="84"/>
      <c r="R1123" s="211"/>
      <c r="S1123" s="211"/>
      <c r="T1123" s="211"/>
      <c r="U1123" s="211"/>
      <c r="V1123" s="84"/>
      <c r="W1123" s="211"/>
      <c r="X1123" s="211"/>
      <c r="Y1123" s="211"/>
      <c r="Z1123" s="211"/>
      <c r="AA1123" s="84"/>
      <c r="AB1123" s="146"/>
      <c r="AC1123" s="211"/>
      <c r="AD1123" s="211"/>
      <c r="AE1123" s="211"/>
      <c r="AF1123" s="84"/>
      <c r="AG1123" s="146"/>
      <c r="AH1123" s="211"/>
      <c r="AI1123" s="211"/>
      <c r="AJ1123" s="211"/>
      <c r="AK1123" s="84"/>
      <c r="AL1123" s="146"/>
      <c r="AM1123" s="211"/>
      <c r="AN1123" s="211"/>
      <c r="AO1123" s="211"/>
      <c r="AP1123" s="436"/>
      <c r="AQ1123" s="146"/>
      <c r="AR1123" s="211"/>
      <c r="AS1123" s="211"/>
      <c r="AT1123" s="211"/>
      <c r="AU1123" s="84"/>
      <c r="AV1123" s="211"/>
      <c r="AW1123" s="211"/>
      <c r="AX1123" s="211"/>
      <c r="AY1123" s="211"/>
      <c r="AZ1123" s="84"/>
      <c r="BA1123" s="211"/>
      <c r="BB1123" s="211"/>
      <c r="BC1123" s="211"/>
      <c r="BD1123" s="211"/>
      <c r="BE1123" s="84"/>
      <c r="BF1123" s="211"/>
      <c r="BG1123" s="451"/>
    </row>
    <row r="1124" spans="1:59" ht="12.75">
      <c r="A1124" s="211"/>
      <c r="B1124" s="449"/>
      <c r="C1124" s="450"/>
      <c r="D1124" s="211"/>
      <c r="E1124" s="211"/>
      <c r="F1124" s="211"/>
      <c r="G1124" s="84"/>
      <c r="H1124" s="211"/>
      <c r="I1124" s="211"/>
      <c r="J1124" s="211"/>
      <c r="K1124" s="211"/>
      <c r="L1124" s="84"/>
      <c r="M1124" s="211"/>
      <c r="N1124" s="211"/>
      <c r="O1124" s="211"/>
      <c r="P1124" s="211"/>
      <c r="Q1124" s="84"/>
      <c r="R1124" s="211"/>
      <c r="S1124" s="211"/>
      <c r="T1124" s="211"/>
      <c r="U1124" s="211"/>
      <c r="V1124" s="84"/>
      <c r="W1124" s="211"/>
      <c r="X1124" s="211"/>
      <c r="Y1124" s="211"/>
      <c r="Z1124" s="211"/>
      <c r="AA1124" s="84"/>
      <c r="AB1124" s="146"/>
      <c r="AC1124" s="211"/>
      <c r="AD1124" s="211"/>
      <c r="AE1124" s="211"/>
      <c r="AF1124" s="84"/>
      <c r="AG1124" s="146"/>
      <c r="AH1124" s="211"/>
      <c r="AI1124" s="211"/>
      <c r="AJ1124" s="211"/>
      <c r="AK1124" s="84"/>
      <c r="AL1124" s="146"/>
      <c r="AM1124" s="211"/>
      <c r="AN1124" s="211"/>
      <c r="AO1124" s="211"/>
      <c r="AP1124" s="436"/>
      <c r="AQ1124" s="146"/>
      <c r="AR1124" s="211"/>
      <c r="AS1124" s="211"/>
      <c r="AT1124" s="211"/>
      <c r="AU1124" s="84"/>
      <c r="AV1124" s="211"/>
      <c r="AW1124" s="211"/>
      <c r="AX1124" s="211"/>
      <c r="AY1124" s="211"/>
      <c r="AZ1124" s="84"/>
      <c r="BA1124" s="211"/>
      <c r="BB1124" s="211"/>
      <c r="BC1124" s="211"/>
      <c r="BD1124" s="211"/>
      <c r="BE1124" s="84"/>
      <c r="BF1124" s="211"/>
      <c r="BG1124" s="451"/>
    </row>
    <row r="1125" spans="1:59" ht="12.75">
      <c r="A1125" s="211"/>
      <c r="B1125" s="449"/>
      <c r="C1125" s="450"/>
      <c r="D1125" s="211"/>
      <c r="E1125" s="211"/>
      <c r="F1125" s="211"/>
      <c r="G1125" s="84"/>
      <c r="H1125" s="211"/>
      <c r="I1125" s="211"/>
      <c r="J1125" s="211"/>
      <c r="K1125" s="211"/>
      <c r="L1125" s="84"/>
      <c r="M1125" s="211"/>
      <c r="N1125" s="211"/>
      <c r="O1125" s="211"/>
      <c r="P1125" s="211"/>
      <c r="Q1125" s="84"/>
      <c r="R1125" s="211"/>
      <c r="S1125" s="211"/>
      <c r="T1125" s="211"/>
      <c r="U1125" s="211"/>
      <c r="V1125" s="84"/>
      <c r="W1125" s="211"/>
      <c r="X1125" s="211"/>
      <c r="Y1125" s="211"/>
      <c r="Z1125" s="211"/>
      <c r="AA1125" s="84"/>
      <c r="AB1125" s="146"/>
      <c r="AC1125" s="211"/>
      <c r="AD1125" s="211"/>
      <c r="AE1125" s="211"/>
      <c r="AF1125" s="84"/>
      <c r="AG1125" s="146"/>
      <c r="AH1125" s="211"/>
      <c r="AI1125" s="211"/>
      <c r="AJ1125" s="211"/>
      <c r="AK1125" s="84"/>
      <c r="AL1125" s="146"/>
      <c r="AM1125" s="211"/>
      <c r="AN1125" s="211"/>
      <c r="AO1125" s="211"/>
      <c r="AP1125" s="436"/>
      <c r="AQ1125" s="146"/>
      <c r="AR1125" s="211"/>
      <c r="AS1125" s="211"/>
      <c r="AT1125" s="211"/>
      <c r="AU1125" s="84"/>
      <c r="AV1125" s="211"/>
      <c r="AW1125" s="211"/>
      <c r="AX1125" s="211"/>
      <c r="AY1125" s="211"/>
      <c r="AZ1125" s="84"/>
      <c r="BA1125" s="211"/>
      <c r="BB1125" s="211"/>
      <c r="BC1125" s="211"/>
      <c r="BD1125" s="211"/>
      <c r="BE1125" s="84"/>
      <c r="BF1125" s="211"/>
      <c r="BG1125" s="451"/>
    </row>
    <row r="1126" spans="1:59" ht="12.75">
      <c r="A1126" s="211"/>
      <c r="B1126" s="449"/>
      <c r="C1126" s="450"/>
      <c r="D1126" s="211"/>
      <c r="E1126" s="211"/>
      <c r="F1126" s="211"/>
      <c r="G1126" s="84"/>
      <c r="H1126" s="211"/>
      <c r="I1126" s="211"/>
      <c r="J1126" s="211"/>
      <c r="K1126" s="211"/>
      <c r="L1126" s="84"/>
      <c r="M1126" s="211"/>
      <c r="N1126" s="211"/>
      <c r="O1126" s="211"/>
      <c r="P1126" s="211"/>
      <c r="Q1126" s="84"/>
      <c r="R1126" s="211"/>
      <c r="S1126" s="211"/>
      <c r="T1126" s="211"/>
      <c r="U1126" s="211"/>
      <c r="V1126" s="84"/>
      <c r="W1126" s="211"/>
      <c r="X1126" s="211"/>
      <c r="Y1126" s="211"/>
      <c r="Z1126" s="211"/>
      <c r="AA1126" s="84"/>
      <c r="AB1126" s="146"/>
      <c r="AC1126" s="211"/>
      <c r="AD1126" s="211"/>
      <c r="AE1126" s="211"/>
      <c r="AF1126" s="84"/>
      <c r="AG1126" s="146"/>
      <c r="AH1126" s="211"/>
      <c r="AI1126" s="211"/>
      <c r="AJ1126" s="211"/>
      <c r="AK1126" s="84"/>
      <c r="AL1126" s="146"/>
      <c r="AM1126" s="211"/>
      <c r="AN1126" s="211"/>
      <c r="AO1126" s="211"/>
      <c r="AP1126" s="436"/>
      <c r="AQ1126" s="146"/>
      <c r="AR1126" s="211"/>
      <c r="AS1126" s="211"/>
      <c r="AT1126" s="211"/>
      <c r="AU1126" s="84"/>
      <c r="AV1126" s="211"/>
      <c r="AW1126" s="211"/>
      <c r="AX1126" s="211"/>
      <c r="AY1126" s="211"/>
      <c r="AZ1126" s="84"/>
      <c r="BA1126" s="211"/>
      <c r="BB1126" s="211"/>
      <c r="BC1126" s="211"/>
      <c r="BD1126" s="211"/>
      <c r="BE1126" s="84"/>
      <c r="BF1126" s="211"/>
      <c r="BG1126" s="451"/>
    </row>
    <row r="1127" spans="1:59" ht="12.75">
      <c r="A1127" s="211"/>
      <c r="B1127" s="449"/>
      <c r="C1127" s="450"/>
      <c r="D1127" s="211"/>
      <c r="E1127" s="211"/>
      <c r="F1127" s="211"/>
      <c r="G1127" s="84"/>
      <c r="H1127" s="211"/>
      <c r="I1127" s="211"/>
      <c r="J1127" s="211"/>
      <c r="K1127" s="211"/>
      <c r="L1127" s="84"/>
      <c r="M1127" s="211"/>
      <c r="N1127" s="211"/>
      <c r="O1127" s="211"/>
      <c r="P1127" s="211"/>
      <c r="Q1127" s="84"/>
      <c r="R1127" s="211"/>
      <c r="S1127" s="211"/>
      <c r="T1127" s="211"/>
      <c r="U1127" s="211"/>
      <c r="V1127" s="84"/>
      <c r="W1127" s="211"/>
      <c r="X1127" s="211"/>
      <c r="Y1127" s="211"/>
      <c r="Z1127" s="211"/>
      <c r="AA1127" s="84"/>
      <c r="AB1127" s="146"/>
      <c r="AC1127" s="211"/>
      <c r="AD1127" s="211"/>
      <c r="AE1127" s="211"/>
      <c r="AF1127" s="84"/>
      <c r="AG1127" s="146"/>
      <c r="AH1127" s="211"/>
      <c r="AI1127" s="211"/>
      <c r="AJ1127" s="211"/>
      <c r="AK1127" s="84"/>
      <c r="AL1127" s="146"/>
      <c r="AM1127" s="211"/>
      <c r="AN1127" s="211"/>
      <c r="AO1127" s="211"/>
      <c r="AP1127" s="436"/>
      <c r="AQ1127" s="146"/>
      <c r="AR1127" s="211"/>
      <c r="AS1127" s="211"/>
      <c r="AT1127" s="211"/>
      <c r="AU1127" s="84"/>
      <c r="AV1127" s="211"/>
      <c r="AW1127" s="211"/>
      <c r="AX1127" s="211"/>
      <c r="AY1127" s="211"/>
      <c r="AZ1127" s="84"/>
      <c r="BA1127" s="211"/>
      <c r="BB1127" s="211"/>
      <c r="BC1127" s="211"/>
      <c r="BD1127" s="211"/>
      <c r="BE1127" s="84"/>
      <c r="BF1127" s="211"/>
      <c r="BG1127" s="451"/>
    </row>
    <row r="1128" spans="1:59" ht="12.75">
      <c r="A1128" s="211"/>
      <c r="B1128" s="449"/>
      <c r="C1128" s="450"/>
      <c r="D1128" s="211"/>
      <c r="E1128" s="211"/>
      <c r="F1128" s="211"/>
      <c r="G1128" s="84"/>
      <c r="H1128" s="211"/>
      <c r="I1128" s="211"/>
      <c r="J1128" s="211"/>
      <c r="K1128" s="211"/>
      <c r="L1128" s="84"/>
      <c r="M1128" s="211"/>
      <c r="N1128" s="211"/>
      <c r="O1128" s="211"/>
      <c r="P1128" s="211"/>
      <c r="Q1128" s="84"/>
      <c r="R1128" s="211"/>
      <c r="S1128" s="211"/>
      <c r="T1128" s="211"/>
      <c r="U1128" s="211"/>
      <c r="V1128" s="84"/>
      <c r="W1128" s="211"/>
      <c r="X1128" s="211"/>
      <c r="Y1128" s="211"/>
      <c r="Z1128" s="211"/>
      <c r="AA1128" s="84"/>
      <c r="AB1128" s="146"/>
      <c r="AC1128" s="211"/>
      <c r="AD1128" s="211"/>
      <c r="AE1128" s="211"/>
      <c r="AF1128" s="84"/>
      <c r="AG1128" s="146"/>
      <c r="AH1128" s="211"/>
      <c r="AI1128" s="211"/>
      <c r="AJ1128" s="211"/>
      <c r="AK1128" s="84"/>
      <c r="AL1128" s="146"/>
      <c r="AM1128" s="211"/>
      <c r="AN1128" s="211"/>
      <c r="AO1128" s="211"/>
      <c r="AP1128" s="436"/>
      <c r="AQ1128" s="146"/>
      <c r="AR1128" s="211"/>
      <c r="AS1128" s="211"/>
      <c r="AT1128" s="211"/>
      <c r="AU1128" s="84"/>
      <c r="AV1128" s="211"/>
      <c r="AW1128" s="211"/>
      <c r="AX1128" s="211"/>
      <c r="AY1128" s="211"/>
      <c r="AZ1128" s="84"/>
      <c r="BA1128" s="211"/>
      <c r="BB1128" s="211"/>
      <c r="BC1128" s="211"/>
      <c r="BD1128" s="211"/>
      <c r="BE1128" s="84"/>
      <c r="BF1128" s="211"/>
      <c r="BG1128" s="451"/>
    </row>
    <row r="1129" spans="1:59" ht="12.75">
      <c r="A1129" s="211"/>
      <c r="B1129" s="449"/>
      <c r="C1129" s="450"/>
      <c r="D1129" s="211"/>
      <c r="E1129" s="211"/>
      <c r="F1129" s="211"/>
      <c r="G1129" s="84"/>
      <c r="H1129" s="211"/>
      <c r="I1129" s="211"/>
      <c r="J1129" s="211"/>
      <c r="K1129" s="211"/>
      <c r="L1129" s="84"/>
      <c r="M1129" s="211"/>
      <c r="N1129" s="211"/>
      <c r="O1129" s="211"/>
      <c r="P1129" s="211"/>
      <c r="Q1129" s="84"/>
      <c r="R1129" s="211"/>
      <c r="S1129" s="211"/>
      <c r="T1129" s="211"/>
      <c r="U1129" s="211"/>
      <c r="V1129" s="84"/>
      <c r="W1129" s="211"/>
      <c r="X1129" s="211"/>
      <c r="Y1129" s="211"/>
      <c r="Z1129" s="211"/>
      <c r="AA1129" s="84"/>
      <c r="AB1129" s="146"/>
      <c r="AC1129" s="211"/>
      <c r="AD1129" s="211"/>
      <c r="AE1129" s="211"/>
      <c r="AF1129" s="84"/>
      <c r="AG1129" s="146"/>
      <c r="AH1129" s="211"/>
      <c r="AI1129" s="211"/>
      <c r="AJ1129" s="211"/>
      <c r="AK1129" s="84"/>
      <c r="AL1129" s="146"/>
      <c r="AM1129" s="211"/>
      <c r="AN1129" s="211"/>
      <c r="AO1129" s="211"/>
      <c r="AP1129" s="436"/>
      <c r="AQ1129" s="146"/>
      <c r="AR1129" s="211"/>
      <c r="AS1129" s="211"/>
      <c r="AT1129" s="211"/>
      <c r="AU1129" s="84"/>
      <c r="AV1129" s="211"/>
      <c r="AW1129" s="211"/>
      <c r="AX1129" s="211"/>
      <c r="AY1129" s="211"/>
      <c r="AZ1129" s="84"/>
      <c r="BA1129" s="211"/>
      <c r="BB1129" s="211"/>
      <c r="BC1129" s="211"/>
      <c r="BD1129" s="211"/>
      <c r="BE1129" s="84"/>
      <c r="BF1129" s="211"/>
      <c r="BG1129" s="451"/>
    </row>
    <row r="1130" spans="1:59" ht="12.75">
      <c r="A1130" s="211"/>
      <c r="B1130" s="449"/>
      <c r="C1130" s="450"/>
      <c r="D1130" s="211"/>
      <c r="E1130" s="211"/>
      <c r="F1130" s="211"/>
      <c r="G1130" s="84"/>
      <c r="H1130" s="211"/>
      <c r="I1130" s="211"/>
      <c r="J1130" s="211"/>
      <c r="K1130" s="211"/>
      <c r="L1130" s="84"/>
      <c r="M1130" s="211"/>
      <c r="N1130" s="211"/>
      <c r="O1130" s="211"/>
      <c r="P1130" s="211"/>
      <c r="Q1130" s="84"/>
      <c r="R1130" s="211"/>
      <c r="S1130" s="211"/>
      <c r="T1130" s="211"/>
      <c r="U1130" s="211"/>
      <c r="V1130" s="84"/>
      <c r="W1130" s="211"/>
      <c r="X1130" s="211"/>
      <c r="Y1130" s="211"/>
      <c r="Z1130" s="211"/>
      <c r="AA1130" s="84"/>
      <c r="AB1130" s="146"/>
      <c r="AC1130" s="211"/>
      <c r="AD1130" s="211"/>
      <c r="AE1130" s="211"/>
      <c r="AF1130" s="84"/>
      <c r="AG1130" s="146"/>
      <c r="AH1130" s="211"/>
      <c r="AI1130" s="211"/>
      <c r="AJ1130" s="211"/>
      <c r="AK1130" s="84"/>
      <c r="AL1130" s="146"/>
      <c r="AM1130" s="211"/>
      <c r="AN1130" s="211"/>
      <c r="AO1130" s="211"/>
      <c r="AP1130" s="436"/>
      <c r="AQ1130" s="146"/>
      <c r="AR1130" s="211"/>
      <c r="AS1130" s="211"/>
      <c r="AT1130" s="211"/>
      <c r="AU1130" s="84"/>
      <c r="AV1130" s="211"/>
      <c r="AW1130" s="211"/>
      <c r="AX1130" s="211"/>
      <c r="AY1130" s="211"/>
      <c r="AZ1130" s="84"/>
      <c r="BA1130" s="211"/>
      <c r="BB1130" s="211"/>
      <c r="BC1130" s="211"/>
      <c r="BD1130" s="211"/>
      <c r="BE1130" s="84"/>
      <c r="BF1130" s="211"/>
      <c r="BG1130" s="451"/>
    </row>
    <row r="1131" spans="1:59" ht="12.75">
      <c r="A1131" s="211"/>
      <c r="B1131" s="449"/>
      <c r="C1131" s="450"/>
      <c r="D1131" s="211"/>
      <c r="E1131" s="211"/>
      <c r="F1131" s="211"/>
      <c r="G1131" s="84"/>
      <c r="H1131" s="211"/>
      <c r="I1131" s="211"/>
      <c r="J1131" s="211"/>
      <c r="K1131" s="211"/>
      <c r="L1131" s="84"/>
      <c r="M1131" s="211"/>
      <c r="N1131" s="211"/>
      <c r="O1131" s="211"/>
      <c r="P1131" s="211"/>
      <c r="Q1131" s="84"/>
      <c r="R1131" s="211"/>
      <c r="S1131" s="211"/>
      <c r="T1131" s="211"/>
      <c r="U1131" s="211"/>
      <c r="V1131" s="84"/>
      <c r="W1131" s="211"/>
      <c r="X1131" s="211"/>
      <c r="Y1131" s="211"/>
      <c r="Z1131" s="211"/>
      <c r="AA1131" s="84"/>
      <c r="AB1131" s="146"/>
      <c r="AC1131" s="211"/>
      <c r="AD1131" s="211"/>
      <c r="AE1131" s="211"/>
      <c r="AF1131" s="84"/>
      <c r="AG1131" s="146"/>
      <c r="AH1131" s="211"/>
      <c r="AI1131" s="211"/>
      <c r="AJ1131" s="211"/>
      <c r="AK1131" s="84"/>
      <c r="AL1131" s="146"/>
      <c r="AM1131" s="211"/>
      <c r="AN1131" s="211"/>
      <c r="AO1131" s="211"/>
      <c r="AP1131" s="436"/>
      <c r="AQ1131" s="146"/>
      <c r="AR1131" s="211"/>
      <c r="AS1131" s="211"/>
      <c r="AT1131" s="211"/>
      <c r="AU1131" s="84"/>
      <c r="AV1131" s="211"/>
      <c r="AW1131" s="211"/>
      <c r="AX1131" s="211"/>
      <c r="AY1131" s="211"/>
      <c r="AZ1131" s="84"/>
      <c r="BA1131" s="211"/>
      <c r="BB1131" s="211"/>
      <c r="BC1131" s="211"/>
      <c r="BD1131" s="211"/>
      <c r="BE1131" s="84"/>
      <c r="BF1131" s="211"/>
      <c r="BG1131" s="451"/>
    </row>
    <row r="1132" spans="1:59" ht="12.75">
      <c r="A1132" s="211"/>
      <c r="B1132" s="449"/>
      <c r="C1132" s="450"/>
      <c r="D1132" s="211"/>
      <c r="E1132" s="211"/>
      <c r="F1132" s="211"/>
      <c r="G1132" s="84"/>
      <c r="H1132" s="211"/>
      <c r="I1132" s="211"/>
      <c r="J1132" s="211"/>
      <c r="K1132" s="211"/>
      <c r="L1132" s="84"/>
      <c r="M1132" s="211"/>
      <c r="N1132" s="211"/>
      <c r="O1132" s="211"/>
      <c r="P1132" s="211"/>
      <c r="Q1132" s="84"/>
      <c r="R1132" s="211"/>
      <c r="S1132" s="211"/>
      <c r="T1132" s="211"/>
      <c r="U1132" s="211"/>
      <c r="V1132" s="84"/>
      <c r="W1132" s="211"/>
      <c r="X1132" s="211"/>
      <c r="Y1132" s="211"/>
      <c r="Z1132" s="211"/>
      <c r="AA1132" s="84"/>
      <c r="AB1132" s="146"/>
      <c r="AC1132" s="211"/>
      <c r="AD1132" s="211"/>
      <c r="AE1132" s="211"/>
      <c r="AF1132" s="84"/>
      <c r="AG1132" s="146"/>
      <c r="AH1132" s="211"/>
      <c r="AI1132" s="211"/>
      <c r="AJ1132" s="211"/>
      <c r="AK1132" s="84"/>
      <c r="AL1132" s="146"/>
      <c r="AM1132" s="211"/>
      <c r="AN1132" s="211"/>
      <c r="AO1132" s="211"/>
      <c r="AP1132" s="436"/>
      <c r="AQ1132" s="146"/>
      <c r="AR1132" s="211"/>
      <c r="AS1132" s="211"/>
      <c r="AT1132" s="211"/>
      <c r="AU1132" s="84"/>
      <c r="AV1132" s="211"/>
      <c r="AW1132" s="211"/>
      <c r="AX1132" s="211"/>
      <c r="AY1132" s="211"/>
      <c r="AZ1132" s="84"/>
      <c r="BA1132" s="211"/>
      <c r="BB1132" s="211"/>
      <c r="BC1132" s="211"/>
      <c r="BD1132" s="211"/>
      <c r="BE1132" s="84"/>
      <c r="BF1132" s="211"/>
      <c r="BG1132" s="451"/>
    </row>
    <row r="1133" spans="1:59" ht="12.75">
      <c r="A1133" s="211"/>
      <c r="B1133" s="449"/>
      <c r="C1133" s="450"/>
      <c r="D1133" s="211"/>
      <c r="E1133" s="211"/>
      <c r="F1133" s="211"/>
      <c r="G1133" s="84"/>
      <c r="H1133" s="211"/>
      <c r="I1133" s="211"/>
      <c r="J1133" s="211"/>
      <c r="K1133" s="211"/>
      <c r="L1133" s="84"/>
      <c r="M1133" s="211"/>
      <c r="N1133" s="211"/>
      <c r="O1133" s="211"/>
      <c r="P1133" s="211"/>
      <c r="Q1133" s="84"/>
      <c r="R1133" s="211"/>
      <c r="S1133" s="211"/>
      <c r="T1133" s="211"/>
      <c r="U1133" s="211"/>
      <c r="V1133" s="84"/>
      <c r="W1133" s="211"/>
      <c r="X1133" s="211"/>
      <c r="Y1133" s="211"/>
      <c r="Z1133" s="211"/>
      <c r="AA1133" s="84"/>
      <c r="AB1133" s="146"/>
      <c r="AC1133" s="211"/>
      <c r="AD1133" s="211"/>
      <c r="AE1133" s="211"/>
      <c r="AF1133" s="84"/>
      <c r="AG1133" s="146"/>
      <c r="AH1133" s="211"/>
      <c r="AI1133" s="211"/>
      <c r="AJ1133" s="211"/>
      <c r="AK1133" s="84"/>
      <c r="AL1133" s="146"/>
      <c r="AM1133" s="211"/>
      <c r="AN1133" s="211"/>
      <c r="AO1133" s="211"/>
      <c r="AP1133" s="436"/>
      <c r="AQ1133" s="146"/>
      <c r="AR1133" s="211"/>
      <c r="AS1133" s="211"/>
      <c r="AT1133" s="211"/>
      <c r="AU1133" s="84"/>
      <c r="AV1133" s="211"/>
      <c r="AW1133" s="211"/>
      <c r="AX1133" s="211"/>
      <c r="AY1133" s="211"/>
      <c r="AZ1133" s="84"/>
      <c r="BA1133" s="211"/>
      <c r="BB1133" s="211"/>
      <c r="BC1133" s="211"/>
      <c r="BD1133" s="211"/>
      <c r="BE1133" s="84"/>
      <c r="BF1133" s="211"/>
      <c r="BG1133" s="451"/>
    </row>
    <row r="1134" spans="1:59" ht="12.75">
      <c r="A1134" s="211"/>
      <c r="B1134" s="449"/>
      <c r="C1134" s="450"/>
      <c r="D1134" s="211"/>
      <c r="E1134" s="211"/>
      <c r="F1134" s="211"/>
      <c r="G1134" s="84"/>
      <c r="H1134" s="211"/>
      <c r="I1134" s="211"/>
      <c r="J1134" s="211"/>
      <c r="K1134" s="211"/>
      <c r="L1134" s="84"/>
      <c r="M1134" s="211"/>
      <c r="N1134" s="211"/>
      <c r="O1134" s="211"/>
      <c r="P1134" s="211"/>
      <c r="Q1134" s="84"/>
      <c r="R1134" s="211"/>
      <c r="S1134" s="211"/>
      <c r="T1134" s="211"/>
      <c r="U1134" s="211"/>
      <c r="V1134" s="84"/>
      <c r="W1134" s="211"/>
      <c r="X1134" s="211"/>
      <c r="Y1134" s="211"/>
      <c r="Z1134" s="211"/>
      <c r="AA1134" s="84"/>
      <c r="AB1134" s="146"/>
      <c r="AC1134" s="211"/>
      <c r="AD1134" s="211"/>
      <c r="AE1134" s="211"/>
      <c r="AF1134" s="84"/>
      <c r="AG1134" s="146"/>
      <c r="AH1134" s="211"/>
      <c r="AI1134" s="211"/>
      <c r="AJ1134" s="211"/>
      <c r="AK1134" s="84"/>
      <c r="AL1134" s="146"/>
      <c r="AM1134" s="211"/>
      <c r="AN1134" s="211"/>
      <c r="AO1134" s="211"/>
      <c r="AP1134" s="436"/>
      <c r="AQ1134" s="146"/>
      <c r="AR1134" s="211"/>
      <c r="AS1134" s="211"/>
      <c r="AT1134" s="211"/>
      <c r="AU1134" s="84"/>
      <c r="AV1134" s="211"/>
      <c r="AW1134" s="211"/>
      <c r="AX1134" s="211"/>
      <c r="AY1134" s="211"/>
      <c r="AZ1134" s="84"/>
      <c r="BA1134" s="211"/>
      <c r="BB1134" s="211"/>
      <c r="BC1134" s="211"/>
      <c r="BD1134" s="211"/>
      <c r="BE1134" s="84"/>
      <c r="BF1134" s="211"/>
      <c r="BG1134" s="451"/>
    </row>
    <row r="1135" spans="1:59" ht="12.75">
      <c r="A1135" s="211"/>
      <c r="B1135" s="449"/>
      <c r="C1135" s="450"/>
      <c r="D1135" s="211"/>
      <c r="E1135" s="211"/>
      <c r="F1135" s="211"/>
      <c r="G1135" s="84"/>
      <c r="H1135" s="211"/>
      <c r="I1135" s="211"/>
      <c r="J1135" s="211"/>
      <c r="K1135" s="211"/>
      <c r="L1135" s="84"/>
      <c r="M1135" s="211"/>
      <c r="N1135" s="211"/>
      <c r="O1135" s="211"/>
      <c r="P1135" s="211"/>
      <c r="Q1135" s="84"/>
      <c r="R1135" s="211"/>
      <c r="S1135" s="211"/>
      <c r="T1135" s="211"/>
      <c r="U1135" s="211"/>
      <c r="V1135" s="84"/>
      <c r="W1135" s="211"/>
      <c r="X1135" s="211"/>
      <c r="Y1135" s="211"/>
      <c r="Z1135" s="211"/>
      <c r="AA1135" s="84"/>
      <c r="AB1135" s="146"/>
      <c r="AC1135" s="211"/>
      <c r="AD1135" s="211"/>
      <c r="AE1135" s="211"/>
      <c r="AF1135" s="84"/>
      <c r="AG1135" s="146"/>
      <c r="AH1135" s="211"/>
      <c r="AI1135" s="211"/>
      <c r="AJ1135" s="211"/>
      <c r="AK1135" s="84"/>
      <c r="AL1135" s="146"/>
      <c r="AM1135" s="211"/>
      <c r="AN1135" s="211"/>
      <c r="AO1135" s="211"/>
      <c r="AP1135" s="436"/>
      <c r="AQ1135" s="146"/>
      <c r="AR1135" s="211"/>
      <c r="AS1135" s="211"/>
      <c r="AT1135" s="211"/>
      <c r="AU1135" s="84"/>
      <c r="AV1135" s="211"/>
      <c r="AW1135" s="211"/>
      <c r="AX1135" s="211"/>
      <c r="AY1135" s="211"/>
      <c r="AZ1135" s="84"/>
      <c r="BA1135" s="211"/>
      <c r="BB1135" s="211"/>
      <c r="BC1135" s="211"/>
      <c r="BD1135" s="211"/>
      <c r="BE1135" s="84"/>
      <c r="BF1135" s="211"/>
      <c r="BG1135" s="451"/>
    </row>
    <row r="1136" spans="1:59" ht="12.75">
      <c r="A1136" s="211"/>
      <c r="B1136" s="449"/>
      <c r="C1136" s="450"/>
      <c r="D1136" s="211"/>
      <c r="E1136" s="211"/>
      <c r="F1136" s="211"/>
      <c r="G1136" s="84"/>
      <c r="H1136" s="211"/>
      <c r="I1136" s="211"/>
      <c r="J1136" s="211"/>
      <c r="K1136" s="211"/>
      <c r="L1136" s="84"/>
      <c r="M1136" s="211"/>
      <c r="N1136" s="211"/>
      <c r="O1136" s="211"/>
      <c r="P1136" s="211"/>
      <c r="Q1136" s="84"/>
      <c r="R1136" s="211"/>
      <c r="S1136" s="211"/>
      <c r="T1136" s="211"/>
      <c r="U1136" s="211"/>
      <c r="V1136" s="84"/>
      <c r="W1136" s="211"/>
      <c r="X1136" s="211"/>
      <c r="Y1136" s="211"/>
      <c r="Z1136" s="211"/>
      <c r="AA1136" s="84"/>
      <c r="AB1136" s="146"/>
      <c r="AC1136" s="211"/>
      <c r="AD1136" s="211"/>
      <c r="AE1136" s="211"/>
      <c r="AF1136" s="84"/>
      <c r="AG1136" s="146"/>
      <c r="AH1136" s="211"/>
      <c r="AI1136" s="211"/>
      <c r="AJ1136" s="211"/>
      <c r="AK1136" s="84"/>
      <c r="AL1136" s="146"/>
      <c r="AM1136" s="211"/>
      <c r="AN1136" s="211"/>
      <c r="AO1136" s="211"/>
      <c r="AP1136" s="436"/>
      <c r="AQ1136" s="146"/>
      <c r="AR1136" s="211"/>
      <c r="AS1136" s="211"/>
      <c r="AT1136" s="211"/>
      <c r="AU1136" s="84"/>
      <c r="AV1136" s="211"/>
      <c r="AW1136" s="211"/>
      <c r="AX1136" s="211"/>
      <c r="AY1136" s="211"/>
      <c r="AZ1136" s="84"/>
      <c r="BA1136" s="211"/>
      <c r="BB1136" s="211"/>
      <c r="BC1136" s="211"/>
      <c r="BD1136" s="211"/>
      <c r="BE1136" s="84"/>
      <c r="BF1136" s="211"/>
      <c r="BG1136" s="451"/>
    </row>
    <row r="1137" spans="1:59" ht="12.75">
      <c r="A1137" s="211"/>
      <c r="B1137" s="449"/>
      <c r="C1137" s="450"/>
      <c r="D1137" s="211"/>
      <c r="E1137" s="211"/>
      <c r="F1137" s="211"/>
      <c r="G1137" s="84"/>
      <c r="H1137" s="211"/>
      <c r="I1137" s="211"/>
      <c r="J1137" s="211"/>
      <c r="K1137" s="211"/>
      <c r="L1137" s="84"/>
      <c r="M1137" s="211"/>
      <c r="N1137" s="211"/>
      <c r="O1137" s="211"/>
      <c r="P1137" s="211"/>
      <c r="Q1137" s="84"/>
      <c r="R1137" s="211"/>
      <c r="S1137" s="211"/>
      <c r="T1137" s="211"/>
      <c r="U1137" s="211"/>
      <c r="V1137" s="84"/>
      <c r="W1137" s="211"/>
      <c r="X1137" s="211"/>
      <c r="Y1137" s="211"/>
      <c r="Z1137" s="211"/>
      <c r="AA1137" s="84"/>
      <c r="AB1137" s="146"/>
      <c r="AC1137" s="211"/>
      <c r="AD1137" s="211"/>
      <c r="AE1137" s="211"/>
      <c r="AF1137" s="84"/>
      <c r="AG1137" s="146"/>
      <c r="AH1137" s="211"/>
      <c r="AI1137" s="211"/>
      <c r="AJ1137" s="211"/>
      <c r="AK1137" s="84"/>
      <c r="AL1137" s="146"/>
      <c r="AM1137" s="211"/>
      <c r="AN1137" s="211"/>
      <c r="AO1137" s="211"/>
      <c r="AP1137" s="436"/>
      <c r="AQ1137" s="146"/>
      <c r="AR1137" s="211"/>
      <c r="AS1137" s="211"/>
      <c r="AT1137" s="211"/>
      <c r="AU1137" s="84"/>
      <c r="AV1137" s="211"/>
      <c r="AW1137" s="211"/>
      <c r="AX1137" s="211"/>
      <c r="AY1137" s="211"/>
      <c r="AZ1137" s="84"/>
      <c r="BA1137" s="211"/>
      <c r="BB1137" s="211"/>
      <c r="BC1137" s="211"/>
      <c r="BD1137" s="211"/>
      <c r="BE1137" s="84"/>
      <c r="BF1137" s="211"/>
      <c r="BG1137" s="451"/>
    </row>
    <row r="1138" spans="1:59" ht="12.75">
      <c r="A1138" s="211"/>
      <c r="B1138" s="449"/>
      <c r="C1138" s="450"/>
      <c r="D1138" s="211"/>
      <c r="E1138" s="211"/>
      <c r="F1138" s="211"/>
      <c r="G1138" s="84"/>
      <c r="H1138" s="211"/>
      <c r="I1138" s="211"/>
      <c r="J1138" s="211"/>
      <c r="K1138" s="211"/>
      <c r="L1138" s="84"/>
      <c r="M1138" s="211"/>
      <c r="N1138" s="211"/>
      <c r="O1138" s="211"/>
      <c r="P1138" s="211"/>
      <c r="Q1138" s="84"/>
      <c r="R1138" s="211"/>
      <c r="S1138" s="211"/>
      <c r="T1138" s="211"/>
      <c r="U1138" s="211"/>
      <c r="V1138" s="84"/>
      <c r="W1138" s="211"/>
      <c r="X1138" s="211"/>
      <c r="Y1138" s="211"/>
      <c r="Z1138" s="211"/>
      <c r="AA1138" s="84"/>
      <c r="AB1138" s="146"/>
      <c r="AC1138" s="211"/>
      <c r="AD1138" s="211"/>
      <c r="AE1138" s="211"/>
      <c r="AF1138" s="84"/>
      <c r="AG1138" s="146"/>
      <c r="AH1138" s="211"/>
      <c r="AI1138" s="211"/>
      <c r="AJ1138" s="211"/>
      <c r="AK1138" s="84"/>
      <c r="AL1138" s="146"/>
      <c r="AM1138" s="211"/>
      <c r="AN1138" s="211"/>
      <c r="AO1138" s="211"/>
      <c r="AP1138" s="436"/>
      <c r="AQ1138" s="146"/>
      <c r="AR1138" s="211"/>
      <c r="AS1138" s="211"/>
      <c r="AT1138" s="211"/>
      <c r="AU1138" s="84"/>
      <c r="AV1138" s="211"/>
      <c r="AW1138" s="211"/>
      <c r="AX1138" s="211"/>
      <c r="AY1138" s="211"/>
      <c r="AZ1138" s="84"/>
      <c r="BA1138" s="211"/>
      <c r="BB1138" s="211"/>
      <c r="BC1138" s="211"/>
      <c r="BD1138" s="211"/>
      <c r="BE1138" s="84"/>
      <c r="BF1138" s="211"/>
      <c r="BG1138" s="451"/>
    </row>
    <row r="1139" spans="1:59" ht="12.75">
      <c r="A1139" s="211"/>
      <c r="B1139" s="449"/>
      <c r="C1139" s="450"/>
      <c r="D1139" s="211"/>
      <c r="E1139" s="211"/>
      <c r="F1139" s="211"/>
      <c r="G1139" s="84"/>
      <c r="H1139" s="211"/>
      <c r="I1139" s="211"/>
      <c r="J1139" s="211"/>
      <c r="K1139" s="211"/>
      <c r="L1139" s="84"/>
      <c r="M1139" s="211"/>
      <c r="N1139" s="211"/>
      <c r="O1139" s="211"/>
      <c r="P1139" s="211"/>
      <c r="Q1139" s="84"/>
      <c r="R1139" s="211"/>
      <c r="S1139" s="211"/>
      <c r="T1139" s="211"/>
      <c r="U1139" s="211"/>
      <c r="V1139" s="84"/>
      <c r="W1139" s="211"/>
      <c r="X1139" s="211"/>
      <c r="Y1139" s="211"/>
      <c r="Z1139" s="211"/>
      <c r="AA1139" s="84"/>
      <c r="AB1139" s="146"/>
      <c r="AC1139" s="211"/>
      <c r="AD1139" s="211"/>
      <c r="AE1139" s="211"/>
      <c r="AF1139" s="84"/>
      <c r="AG1139" s="146"/>
      <c r="AH1139" s="211"/>
      <c r="AI1139" s="211"/>
      <c r="AJ1139" s="211"/>
      <c r="AK1139" s="84"/>
      <c r="AL1139" s="146"/>
      <c r="AM1139" s="211"/>
      <c r="AN1139" s="211"/>
      <c r="AO1139" s="211"/>
      <c r="AP1139" s="436"/>
      <c r="AQ1139" s="146"/>
      <c r="AR1139" s="211"/>
      <c r="AS1139" s="211"/>
      <c r="AT1139" s="211"/>
      <c r="AU1139" s="84"/>
      <c r="AV1139" s="211"/>
      <c r="AW1139" s="211"/>
      <c r="AX1139" s="211"/>
      <c r="AY1139" s="211"/>
      <c r="AZ1139" s="84"/>
      <c r="BA1139" s="211"/>
      <c r="BB1139" s="211"/>
      <c r="BC1139" s="211"/>
      <c r="BD1139" s="211"/>
      <c r="BE1139" s="84"/>
      <c r="BF1139" s="211"/>
      <c r="BG1139" s="451"/>
    </row>
    <row r="1140" spans="1:59" ht="12.75">
      <c r="A1140" s="211"/>
      <c r="B1140" s="449"/>
      <c r="C1140" s="450"/>
      <c r="D1140" s="211"/>
      <c r="E1140" s="211"/>
      <c r="F1140" s="211"/>
      <c r="G1140" s="84"/>
      <c r="H1140" s="211"/>
      <c r="I1140" s="211"/>
      <c r="J1140" s="211"/>
      <c r="K1140" s="211"/>
      <c r="L1140" s="84"/>
      <c r="M1140" s="211"/>
      <c r="N1140" s="211"/>
      <c r="O1140" s="211"/>
      <c r="P1140" s="211"/>
      <c r="Q1140" s="84"/>
      <c r="R1140" s="211"/>
      <c r="S1140" s="211"/>
      <c r="T1140" s="211"/>
      <c r="U1140" s="211"/>
      <c r="V1140" s="84"/>
      <c r="W1140" s="211"/>
      <c r="X1140" s="211"/>
      <c r="Y1140" s="211"/>
      <c r="Z1140" s="211"/>
      <c r="AA1140" s="84"/>
      <c r="AB1140" s="146"/>
      <c r="AC1140" s="211"/>
      <c r="AD1140" s="211"/>
      <c r="AE1140" s="211"/>
      <c r="AF1140" s="84"/>
      <c r="AG1140" s="146"/>
      <c r="AH1140" s="211"/>
      <c r="AI1140" s="211"/>
      <c r="AJ1140" s="211"/>
      <c r="AK1140" s="84"/>
      <c r="AL1140" s="146"/>
      <c r="AM1140" s="211"/>
      <c r="AN1140" s="211"/>
      <c r="AO1140" s="211"/>
      <c r="AP1140" s="436"/>
      <c r="AQ1140" s="146"/>
      <c r="AR1140" s="211"/>
      <c r="AS1140" s="211"/>
      <c r="AT1140" s="211"/>
      <c r="AU1140" s="84"/>
      <c r="AV1140" s="211"/>
      <c r="AW1140" s="211"/>
      <c r="AX1140" s="211"/>
      <c r="AY1140" s="211"/>
      <c r="AZ1140" s="84"/>
      <c r="BA1140" s="211"/>
      <c r="BB1140" s="211"/>
      <c r="BC1140" s="211"/>
      <c r="BD1140" s="211"/>
      <c r="BE1140" s="84"/>
      <c r="BF1140" s="211"/>
      <c r="BG1140" s="451"/>
    </row>
    <row r="1141" spans="1:59" ht="12.75">
      <c r="A1141" s="211"/>
      <c r="B1141" s="449"/>
      <c r="C1141" s="450"/>
      <c r="D1141" s="211"/>
      <c r="E1141" s="211"/>
      <c r="F1141" s="211"/>
      <c r="G1141" s="84"/>
      <c r="H1141" s="211"/>
      <c r="I1141" s="211"/>
      <c r="J1141" s="211"/>
      <c r="K1141" s="211"/>
      <c r="L1141" s="84"/>
      <c r="M1141" s="211"/>
      <c r="N1141" s="211"/>
      <c r="O1141" s="211"/>
      <c r="P1141" s="211"/>
      <c r="Q1141" s="84"/>
      <c r="R1141" s="211"/>
      <c r="S1141" s="211"/>
      <c r="T1141" s="211"/>
      <c r="U1141" s="211"/>
      <c r="V1141" s="84"/>
      <c r="W1141" s="211"/>
      <c r="X1141" s="211"/>
      <c r="Y1141" s="211"/>
      <c r="Z1141" s="211"/>
      <c r="AA1141" s="84"/>
      <c r="AB1141" s="146"/>
      <c r="AC1141" s="211"/>
      <c r="AD1141" s="211"/>
      <c r="AE1141" s="211"/>
      <c r="AF1141" s="84"/>
      <c r="AG1141" s="146"/>
      <c r="AH1141" s="211"/>
      <c r="AI1141" s="211"/>
      <c r="AJ1141" s="211"/>
      <c r="AK1141" s="84"/>
      <c r="AL1141" s="146"/>
      <c r="AM1141" s="211"/>
      <c r="AN1141" s="211"/>
      <c r="AO1141" s="211"/>
      <c r="AP1141" s="436"/>
      <c r="AQ1141" s="146"/>
      <c r="AR1141" s="211"/>
      <c r="AS1141" s="211"/>
      <c r="AT1141" s="211"/>
      <c r="AU1141" s="84"/>
      <c r="AV1141" s="211"/>
      <c r="AW1141" s="211"/>
      <c r="AX1141" s="211"/>
      <c r="AY1141" s="211"/>
      <c r="AZ1141" s="84"/>
      <c r="BA1141" s="211"/>
      <c r="BB1141" s="211"/>
      <c r="BC1141" s="211"/>
      <c r="BD1141" s="211"/>
      <c r="BE1141" s="84"/>
      <c r="BF1141" s="211"/>
      <c r="BG1141" s="451"/>
    </row>
    <row r="1142" spans="1:59" ht="12.75">
      <c r="A1142" s="211"/>
      <c r="B1142" s="449"/>
      <c r="C1142" s="450"/>
      <c r="D1142" s="211"/>
      <c r="E1142" s="211"/>
      <c r="F1142" s="211"/>
      <c r="G1142" s="84"/>
      <c r="H1142" s="211"/>
      <c r="I1142" s="211"/>
      <c r="J1142" s="211"/>
      <c r="K1142" s="211"/>
      <c r="L1142" s="84"/>
      <c r="M1142" s="211"/>
      <c r="N1142" s="211"/>
      <c r="O1142" s="211"/>
      <c r="P1142" s="211"/>
      <c r="Q1142" s="84"/>
      <c r="R1142" s="211"/>
      <c r="S1142" s="211"/>
      <c r="T1142" s="211"/>
      <c r="U1142" s="211"/>
      <c r="V1142" s="84"/>
      <c r="W1142" s="211"/>
      <c r="X1142" s="211"/>
      <c r="Y1142" s="211"/>
      <c r="Z1142" s="211"/>
      <c r="AA1142" s="84"/>
      <c r="AB1142" s="146"/>
      <c r="AC1142" s="211"/>
      <c r="AD1142" s="211"/>
      <c r="AE1142" s="211"/>
      <c r="AF1142" s="84"/>
      <c r="AG1142" s="146"/>
      <c r="AH1142" s="211"/>
      <c r="AI1142" s="211"/>
      <c r="AJ1142" s="211"/>
      <c r="AK1142" s="84"/>
      <c r="AL1142" s="146"/>
      <c r="AM1142" s="211"/>
      <c r="AN1142" s="211"/>
      <c r="AO1142" s="211"/>
      <c r="AP1142" s="436"/>
      <c r="AQ1142" s="146"/>
      <c r="AR1142" s="211"/>
      <c r="AS1142" s="211"/>
      <c r="AT1142" s="211"/>
      <c r="AU1142" s="84"/>
      <c r="AV1142" s="211"/>
      <c r="AW1142" s="211"/>
      <c r="AX1142" s="211"/>
      <c r="AY1142" s="211"/>
      <c r="AZ1142" s="84"/>
      <c r="BA1142" s="211"/>
      <c r="BB1142" s="211"/>
      <c r="BC1142" s="211"/>
      <c r="BD1142" s="211"/>
      <c r="BE1142" s="84"/>
      <c r="BF1142" s="211"/>
      <c r="BG1142" s="451"/>
    </row>
    <row r="1143" spans="1:59" ht="12.75">
      <c r="A1143" s="211"/>
      <c r="B1143" s="449"/>
      <c r="C1143" s="450"/>
      <c r="D1143" s="211"/>
      <c r="E1143" s="211"/>
      <c r="F1143" s="211"/>
      <c r="G1143" s="84"/>
      <c r="H1143" s="211"/>
      <c r="I1143" s="211"/>
      <c r="J1143" s="211"/>
      <c r="K1143" s="211"/>
      <c r="L1143" s="84"/>
      <c r="M1143" s="211"/>
      <c r="N1143" s="211"/>
      <c r="O1143" s="211"/>
      <c r="P1143" s="211"/>
      <c r="Q1143" s="84"/>
      <c r="R1143" s="211"/>
      <c r="S1143" s="211"/>
      <c r="T1143" s="211"/>
      <c r="U1143" s="211"/>
      <c r="V1143" s="84"/>
      <c r="W1143" s="211"/>
      <c r="X1143" s="211"/>
      <c r="Y1143" s="211"/>
      <c r="Z1143" s="211"/>
      <c r="AA1143" s="84"/>
      <c r="AB1143" s="146"/>
      <c r="AC1143" s="211"/>
      <c r="AD1143" s="211"/>
      <c r="AE1143" s="211"/>
      <c r="AF1143" s="84"/>
      <c r="AG1143" s="146"/>
      <c r="AH1143" s="211"/>
      <c r="AI1143" s="211"/>
      <c r="AJ1143" s="211"/>
      <c r="AK1143" s="84"/>
      <c r="AL1143" s="146"/>
      <c r="AM1143" s="211"/>
      <c r="AN1143" s="211"/>
      <c r="AO1143" s="211"/>
      <c r="AP1143" s="436"/>
      <c r="AQ1143" s="146"/>
      <c r="AR1143" s="211"/>
      <c r="AS1143" s="211"/>
      <c r="AT1143" s="211"/>
      <c r="AU1143" s="84"/>
      <c r="AV1143" s="211"/>
      <c r="AW1143" s="211"/>
      <c r="AX1143" s="211"/>
      <c r="AY1143" s="211"/>
      <c r="AZ1143" s="84"/>
      <c r="BA1143" s="211"/>
      <c r="BB1143" s="211"/>
      <c r="BC1143" s="211"/>
      <c r="BD1143" s="211"/>
      <c r="BE1143" s="84"/>
      <c r="BF1143" s="211"/>
      <c r="BG1143" s="451"/>
    </row>
    <row r="1144" spans="1:59" ht="12.75">
      <c r="A1144" s="211"/>
      <c r="B1144" s="449"/>
      <c r="C1144" s="450"/>
      <c r="D1144" s="211"/>
      <c r="E1144" s="211"/>
      <c r="F1144" s="211"/>
      <c r="G1144" s="84"/>
      <c r="H1144" s="211"/>
      <c r="I1144" s="211"/>
      <c r="J1144" s="211"/>
      <c r="K1144" s="211"/>
      <c r="L1144" s="84"/>
      <c r="M1144" s="211"/>
      <c r="N1144" s="211"/>
      <c r="O1144" s="211"/>
      <c r="P1144" s="211"/>
      <c r="Q1144" s="84"/>
      <c r="R1144" s="211"/>
      <c r="S1144" s="211"/>
      <c r="T1144" s="211"/>
      <c r="U1144" s="211"/>
      <c r="V1144" s="84"/>
      <c r="W1144" s="211"/>
      <c r="X1144" s="211"/>
      <c r="Y1144" s="211"/>
      <c r="Z1144" s="211"/>
      <c r="AA1144" s="84"/>
      <c r="AB1144" s="146"/>
      <c r="AC1144" s="211"/>
      <c r="AD1144" s="211"/>
      <c r="AE1144" s="211"/>
      <c r="AF1144" s="84"/>
      <c r="AG1144" s="146"/>
      <c r="AH1144" s="211"/>
      <c r="AI1144" s="211"/>
      <c r="AJ1144" s="211"/>
      <c r="AK1144" s="84"/>
      <c r="AL1144" s="146"/>
      <c r="AM1144" s="211"/>
      <c r="AN1144" s="211"/>
      <c r="AO1144" s="211"/>
      <c r="AP1144" s="436"/>
      <c r="AQ1144" s="146"/>
      <c r="AR1144" s="211"/>
      <c r="AS1144" s="211"/>
      <c r="AT1144" s="211"/>
      <c r="AU1144" s="84"/>
      <c r="AV1144" s="211"/>
      <c r="AW1144" s="211"/>
      <c r="AX1144" s="211"/>
      <c r="AY1144" s="211"/>
      <c r="AZ1144" s="84"/>
      <c r="BA1144" s="211"/>
      <c r="BB1144" s="211"/>
      <c r="BC1144" s="211"/>
      <c r="BD1144" s="211"/>
      <c r="BE1144" s="84"/>
      <c r="BF1144" s="211"/>
      <c r="BG1144" s="451"/>
    </row>
    <row r="1145" spans="1:59" ht="12.75">
      <c r="A1145" s="211"/>
      <c r="B1145" s="449"/>
      <c r="C1145" s="450"/>
      <c r="D1145" s="211"/>
      <c r="E1145" s="211"/>
      <c r="F1145" s="211"/>
      <c r="G1145" s="84"/>
      <c r="H1145" s="211"/>
      <c r="I1145" s="211"/>
      <c r="J1145" s="211"/>
      <c r="K1145" s="211"/>
      <c r="L1145" s="84"/>
      <c r="M1145" s="211"/>
      <c r="N1145" s="211"/>
      <c r="O1145" s="211"/>
      <c r="P1145" s="211"/>
      <c r="Q1145" s="84"/>
      <c r="R1145" s="211"/>
      <c r="S1145" s="211"/>
      <c r="T1145" s="211"/>
      <c r="U1145" s="211"/>
      <c r="V1145" s="84"/>
      <c r="W1145" s="211"/>
      <c r="X1145" s="211"/>
      <c r="Y1145" s="211"/>
      <c r="Z1145" s="211"/>
      <c r="AA1145" s="84"/>
      <c r="AB1145" s="146"/>
      <c r="AC1145" s="211"/>
      <c r="AD1145" s="211"/>
      <c r="AE1145" s="211"/>
      <c r="AF1145" s="84"/>
      <c r="AG1145" s="146"/>
      <c r="AH1145" s="211"/>
      <c r="AI1145" s="211"/>
      <c r="AJ1145" s="211"/>
      <c r="AK1145" s="84"/>
      <c r="AL1145" s="146"/>
      <c r="AM1145" s="211"/>
      <c r="AN1145" s="211"/>
      <c r="AO1145" s="211"/>
      <c r="AP1145" s="436"/>
      <c r="AQ1145" s="146"/>
      <c r="AR1145" s="211"/>
      <c r="AS1145" s="211"/>
      <c r="AT1145" s="211"/>
      <c r="AU1145" s="84"/>
      <c r="AV1145" s="211"/>
      <c r="AW1145" s="211"/>
      <c r="AX1145" s="211"/>
      <c r="AY1145" s="211"/>
      <c r="AZ1145" s="84"/>
      <c r="BA1145" s="211"/>
      <c r="BB1145" s="211"/>
      <c r="BC1145" s="211"/>
      <c r="BD1145" s="211"/>
      <c r="BE1145" s="84"/>
      <c r="BF1145" s="211"/>
      <c r="BG1145" s="451"/>
    </row>
    <row r="1146" spans="1:59" ht="12.75">
      <c r="A1146" s="211"/>
      <c r="B1146" s="449"/>
      <c r="C1146" s="450"/>
      <c r="D1146" s="211"/>
      <c r="E1146" s="211"/>
      <c r="F1146" s="211"/>
      <c r="G1146" s="84"/>
      <c r="H1146" s="211"/>
      <c r="I1146" s="211"/>
      <c r="J1146" s="211"/>
      <c r="K1146" s="211"/>
      <c r="L1146" s="84"/>
      <c r="M1146" s="211"/>
      <c r="N1146" s="211"/>
      <c r="O1146" s="211"/>
      <c r="P1146" s="211"/>
      <c r="Q1146" s="84"/>
      <c r="R1146" s="211"/>
      <c r="S1146" s="211"/>
      <c r="T1146" s="211"/>
      <c r="U1146" s="211"/>
      <c r="V1146" s="84"/>
      <c r="W1146" s="211"/>
      <c r="X1146" s="211"/>
      <c r="Y1146" s="211"/>
      <c r="Z1146" s="211"/>
      <c r="AA1146" s="84"/>
      <c r="AB1146" s="146"/>
      <c r="AC1146" s="211"/>
      <c r="AD1146" s="211"/>
      <c r="AE1146" s="211"/>
      <c r="AF1146" s="84"/>
      <c r="AG1146" s="146"/>
      <c r="AH1146" s="211"/>
      <c r="AI1146" s="211"/>
      <c r="AJ1146" s="211"/>
      <c r="AK1146" s="84"/>
      <c r="AL1146" s="146"/>
      <c r="AM1146" s="211"/>
      <c r="AN1146" s="211"/>
      <c r="AO1146" s="211"/>
      <c r="AP1146" s="436"/>
      <c r="AQ1146" s="146"/>
      <c r="AR1146" s="211"/>
      <c r="AS1146" s="211"/>
      <c r="AT1146" s="211"/>
      <c r="AU1146" s="84"/>
      <c r="AV1146" s="211"/>
      <c r="AW1146" s="211"/>
      <c r="AX1146" s="211"/>
      <c r="AY1146" s="211"/>
      <c r="AZ1146" s="84"/>
      <c r="BA1146" s="211"/>
      <c r="BB1146" s="211"/>
      <c r="BC1146" s="211"/>
      <c r="BD1146" s="211"/>
      <c r="BE1146" s="84"/>
      <c r="BF1146" s="211"/>
      <c r="BG1146" s="451"/>
    </row>
    <row r="1147" spans="1:59" ht="12.75">
      <c r="A1147" s="211"/>
      <c r="B1147" s="449"/>
      <c r="C1147" s="450"/>
      <c r="D1147" s="211"/>
      <c r="E1147" s="211"/>
      <c r="F1147" s="211"/>
      <c r="G1147" s="84"/>
      <c r="H1147" s="211"/>
      <c r="I1147" s="211"/>
      <c r="J1147" s="211"/>
      <c r="K1147" s="211"/>
      <c r="L1147" s="84"/>
      <c r="M1147" s="211"/>
      <c r="N1147" s="211"/>
      <c r="O1147" s="211"/>
      <c r="P1147" s="211"/>
      <c r="Q1147" s="84"/>
      <c r="R1147" s="211"/>
      <c r="S1147" s="211"/>
      <c r="T1147" s="211"/>
      <c r="U1147" s="211"/>
      <c r="V1147" s="84"/>
      <c r="W1147" s="211"/>
      <c r="X1147" s="211"/>
      <c r="Y1147" s="211"/>
      <c r="Z1147" s="211"/>
      <c r="AA1147" s="84"/>
      <c r="AB1147" s="146"/>
      <c r="AC1147" s="211"/>
      <c r="AD1147" s="211"/>
      <c r="AE1147" s="211"/>
      <c r="AF1147" s="84"/>
      <c r="AG1147" s="146"/>
      <c r="AH1147" s="211"/>
      <c r="AI1147" s="211"/>
      <c r="AJ1147" s="211"/>
      <c r="AK1147" s="84"/>
      <c r="AL1147" s="146"/>
      <c r="AM1147" s="211"/>
      <c r="AN1147" s="211"/>
      <c r="AO1147" s="211"/>
      <c r="AP1147" s="436"/>
      <c r="AQ1147" s="146"/>
      <c r="AR1147" s="211"/>
      <c r="AS1147" s="211"/>
      <c r="AT1147" s="211"/>
      <c r="AU1147" s="84"/>
      <c r="AV1147" s="211"/>
      <c r="AW1147" s="211"/>
      <c r="AX1147" s="211"/>
      <c r="AY1147" s="211"/>
      <c r="AZ1147" s="84"/>
      <c r="BA1147" s="211"/>
      <c r="BB1147" s="211"/>
      <c r="BC1147" s="211"/>
      <c r="BD1147" s="211"/>
      <c r="BE1147" s="84"/>
      <c r="BF1147" s="211"/>
      <c r="BG1147" s="451"/>
    </row>
    <row r="1148" spans="1:59" ht="12.75">
      <c r="A1148" s="211"/>
      <c r="B1148" s="449"/>
      <c r="C1148" s="450"/>
      <c r="D1148" s="211"/>
      <c r="E1148" s="211"/>
      <c r="F1148" s="211"/>
      <c r="G1148" s="84"/>
      <c r="H1148" s="211"/>
      <c r="I1148" s="211"/>
      <c r="J1148" s="211"/>
      <c r="K1148" s="211"/>
      <c r="L1148" s="84"/>
      <c r="M1148" s="211"/>
      <c r="N1148" s="211"/>
      <c r="O1148" s="211"/>
      <c r="P1148" s="211"/>
      <c r="Q1148" s="84"/>
      <c r="R1148" s="211"/>
      <c r="S1148" s="211"/>
      <c r="T1148" s="211"/>
      <c r="U1148" s="211"/>
      <c r="V1148" s="84"/>
      <c r="W1148" s="211"/>
      <c r="X1148" s="211"/>
      <c r="Y1148" s="211"/>
      <c r="Z1148" s="211"/>
      <c r="AA1148" s="84"/>
      <c r="AB1148" s="146"/>
      <c r="AC1148" s="211"/>
      <c r="AD1148" s="211"/>
      <c r="AE1148" s="211"/>
      <c r="AF1148" s="84"/>
      <c r="AG1148" s="146"/>
      <c r="AH1148" s="211"/>
      <c r="AI1148" s="211"/>
      <c r="AJ1148" s="211"/>
      <c r="AK1148" s="84"/>
      <c r="AL1148" s="146"/>
      <c r="AM1148" s="211"/>
      <c r="AN1148" s="211"/>
      <c r="AO1148" s="211"/>
      <c r="AP1148" s="436"/>
      <c r="AQ1148" s="146"/>
      <c r="AR1148" s="211"/>
      <c r="AS1148" s="211"/>
      <c r="AT1148" s="211"/>
      <c r="AU1148" s="84"/>
      <c r="AV1148" s="211"/>
      <c r="AW1148" s="211"/>
      <c r="AX1148" s="211"/>
      <c r="AY1148" s="211"/>
      <c r="AZ1148" s="84"/>
      <c r="BA1148" s="211"/>
      <c r="BB1148" s="211"/>
      <c r="BC1148" s="211"/>
      <c r="BD1148" s="211"/>
      <c r="BE1148" s="84"/>
      <c r="BF1148" s="211"/>
      <c r="BG1148" s="451"/>
    </row>
    <row r="1149" spans="1:59" ht="12.75">
      <c r="A1149" s="211"/>
      <c r="B1149" s="449"/>
      <c r="C1149" s="450"/>
      <c r="D1149" s="211"/>
      <c r="E1149" s="211"/>
      <c r="F1149" s="211"/>
      <c r="G1149" s="84"/>
      <c r="H1149" s="211"/>
      <c r="I1149" s="211"/>
      <c r="J1149" s="211"/>
      <c r="K1149" s="211"/>
      <c r="L1149" s="84"/>
      <c r="M1149" s="211"/>
      <c r="N1149" s="211"/>
      <c r="O1149" s="211"/>
      <c r="P1149" s="211"/>
      <c r="Q1149" s="84"/>
      <c r="R1149" s="211"/>
      <c r="S1149" s="211"/>
      <c r="T1149" s="211"/>
      <c r="U1149" s="211"/>
      <c r="V1149" s="84"/>
      <c r="W1149" s="211"/>
      <c r="X1149" s="211"/>
      <c r="Y1149" s="211"/>
      <c r="Z1149" s="211"/>
      <c r="AA1149" s="84"/>
      <c r="AB1149" s="146"/>
      <c r="AC1149" s="211"/>
      <c r="AD1149" s="211"/>
      <c r="AE1149" s="211"/>
      <c r="AF1149" s="84"/>
      <c r="AG1149" s="146"/>
      <c r="AH1149" s="211"/>
      <c r="AI1149" s="211"/>
      <c r="AJ1149" s="211"/>
      <c r="AK1149" s="84"/>
      <c r="AL1149" s="146"/>
      <c r="AM1149" s="211"/>
      <c r="AN1149" s="211"/>
      <c r="AO1149" s="211"/>
      <c r="AP1149" s="436"/>
      <c r="AQ1149" s="146"/>
      <c r="AR1149" s="211"/>
      <c r="AS1149" s="211"/>
      <c r="AT1149" s="211"/>
      <c r="AU1149" s="84"/>
      <c r="AV1149" s="211"/>
      <c r="AW1149" s="211"/>
      <c r="AX1149" s="211"/>
      <c r="AY1149" s="211"/>
      <c r="AZ1149" s="84"/>
      <c r="BA1149" s="211"/>
      <c r="BB1149" s="211"/>
      <c r="BC1149" s="211"/>
      <c r="BD1149" s="211"/>
      <c r="BE1149" s="84"/>
      <c r="BF1149" s="211"/>
      <c r="BG1149" s="451"/>
    </row>
    <row r="1150" spans="1:59" ht="12.75">
      <c r="A1150" s="211"/>
      <c r="B1150" s="449"/>
      <c r="C1150" s="450"/>
      <c r="D1150" s="211"/>
      <c r="E1150" s="211"/>
      <c r="F1150" s="211"/>
      <c r="G1150" s="84"/>
      <c r="H1150" s="211"/>
      <c r="I1150" s="211"/>
      <c r="J1150" s="211"/>
      <c r="K1150" s="211"/>
      <c r="L1150" s="84"/>
      <c r="M1150" s="211"/>
      <c r="N1150" s="211"/>
      <c r="O1150" s="211"/>
      <c r="P1150" s="211"/>
      <c r="Q1150" s="84"/>
      <c r="R1150" s="211"/>
      <c r="S1150" s="211"/>
      <c r="T1150" s="211"/>
      <c r="U1150" s="211"/>
      <c r="V1150" s="84"/>
      <c r="W1150" s="211"/>
      <c r="X1150" s="211"/>
      <c r="Y1150" s="211"/>
      <c r="Z1150" s="211"/>
      <c r="AA1150" s="84"/>
      <c r="AB1150" s="146"/>
      <c r="AC1150" s="211"/>
      <c r="AD1150" s="211"/>
      <c r="AE1150" s="211"/>
      <c r="AF1150" s="84"/>
      <c r="AG1150" s="146"/>
      <c r="AH1150" s="211"/>
      <c r="AI1150" s="211"/>
      <c r="AJ1150" s="211"/>
      <c r="AK1150" s="84"/>
      <c r="AL1150" s="146"/>
      <c r="AM1150" s="211"/>
      <c r="AN1150" s="211"/>
      <c r="AO1150" s="211"/>
      <c r="AP1150" s="436"/>
      <c r="AQ1150" s="146"/>
      <c r="AR1150" s="211"/>
      <c r="AS1150" s="211"/>
      <c r="AT1150" s="211"/>
      <c r="AU1150" s="84"/>
      <c r="AV1150" s="211"/>
      <c r="AW1150" s="211"/>
      <c r="AX1150" s="211"/>
      <c r="AY1150" s="211"/>
      <c r="AZ1150" s="84"/>
      <c r="BA1150" s="211"/>
      <c r="BB1150" s="211"/>
      <c r="BC1150" s="211"/>
      <c r="BD1150" s="211"/>
      <c r="BE1150" s="84"/>
      <c r="BF1150" s="211"/>
      <c r="BG1150" s="451"/>
    </row>
    <row r="1151" spans="1:59" ht="12.75">
      <c r="A1151" s="211"/>
      <c r="B1151" s="449"/>
      <c r="C1151" s="450"/>
      <c r="D1151" s="211"/>
      <c r="E1151" s="211"/>
      <c r="F1151" s="211"/>
      <c r="G1151" s="84"/>
      <c r="H1151" s="211"/>
      <c r="I1151" s="211"/>
      <c r="J1151" s="211"/>
      <c r="K1151" s="211"/>
      <c r="L1151" s="84"/>
      <c r="M1151" s="211"/>
      <c r="N1151" s="211"/>
      <c r="O1151" s="211"/>
      <c r="P1151" s="211"/>
      <c r="Q1151" s="84"/>
      <c r="R1151" s="211"/>
      <c r="S1151" s="211"/>
      <c r="T1151" s="211"/>
      <c r="U1151" s="211"/>
      <c r="V1151" s="84"/>
      <c r="W1151" s="211"/>
      <c r="X1151" s="211"/>
      <c r="Y1151" s="211"/>
      <c r="Z1151" s="211"/>
      <c r="AA1151" s="84"/>
      <c r="AB1151" s="146"/>
      <c r="AC1151" s="211"/>
      <c r="AD1151" s="211"/>
      <c r="AE1151" s="211"/>
      <c r="AF1151" s="84"/>
      <c r="AG1151" s="146"/>
      <c r="AH1151" s="211"/>
      <c r="AI1151" s="211"/>
      <c r="AJ1151" s="211"/>
      <c r="AK1151" s="84"/>
      <c r="AL1151" s="146"/>
      <c r="AM1151" s="211"/>
      <c r="AN1151" s="211"/>
      <c r="AO1151" s="211"/>
      <c r="AP1151" s="436"/>
      <c r="AQ1151" s="146"/>
      <c r="AR1151" s="211"/>
      <c r="AS1151" s="211"/>
      <c r="AT1151" s="211"/>
      <c r="AU1151" s="84"/>
      <c r="AV1151" s="211"/>
      <c r="AW1151" s="211"/>
      <c r="AX1151" s="211"/>
      <c r="AY1151" s="211"/>
      <c r="AZ1151" s="84"/>
      <c r="BA1151" s="211"/>
      <c r="BB1151" s="211"/>
      <c r="BC1151" s="211"/>
      <c r="BD1151" s="211"/>
      <c r="BE1151" s="84"/>
      <c r="BF1151" s="211"/>
      <c r="BG1151" s="451"/>
    </row>
    <row r="1152" spans="1:59" ht="12.75">
      <c r="A1152" s="211"/>
      <c r="B1152" s="449"/>
      <c r="C1152" s="450"/>
      <c r="D1152" s="211"/>
      <c r="E1152" s="211"/>
      <c r="F1152" s="211"/>
      <c r="G1152" s="84"/>
      <c r="H1152" s="211"/>
      <c r="I1152" s="211"/>
      <c r="J1152" s="211"/>
      <c r="K1152" s="211"/>
      <c r="L1152" s="84"/>
      <c r="M1152" s="211"/>
      <c r="N1152" s="211"/>
      <c r="O1152" s="211"/>
      <c r="P1152" s="211"/>
      <c r="Q1152" s="84"/>
      <c r="R1152" s="211"/>
      <c r="S1152" s="211"/>
      <c r="T1152" s="211"/>
      <c r="U1152" s="211"/>
      <c r="V1152" s="84"/>
      <c r="W1152" s="211"/>
      <c r="X1152" s="211"/>
      <c r="Y1152" s="211"/>
      <c r="Z1152" s="211"/>
      <c r="AA1152" s="84"/>
      <c r="AB1152" s="146"/>
      <c r="AC1152" s="211"/>
      <c r="AD1152" s="211"/>
      <c r="AE1152" s="211"/>
      <c r="AF1152" s="84"/>
      <c r="AG1152" s="146"/>
      <c r="AH1152" s="211"/>
      <c r="AI1152" s="211"/>
      <c r="AJ1152" s="211"/>
      <c r="AK1152" s="84"/>
      <c r="AL1152" s="146"/>
      <c r="AM1152" s="211"/>
      <c r="AN1152" s="211"/>
      <c r="AO1152" s="211"/>
      <c r="AP1152" s="436"/>
      <c r="AQ1152" s="146"/>
      <c r="AR1152" s="211"/>
      <c r="AS1152" s="211"/>
      <c r="AT1152" s="211"/>
      <c r="AU1152" s="84"/>
      <c r="AV1152" s="211"/>
      <c r="AW1152" s="211"/>
      <c r="AX1152" s="211"/>
      <c r="AY1152" s="211"/>
      <c r="AZ1152" s="84"/>
      <c r="BA1152" s="211"/>
      <c r="BB1152" s="211"/>
      <c r="BC1152" s="211"/>
      <c r="BD1152" s="211"/>
      <c r="BE1152" s="84"/>
      <c r="BF1152" s="211"/>
      <c r="BG1152" s="451"/>
    </row>
    <row r="1153" spans="1:59" ht="12.75">
      <c r="A1153" s="211"/>
      <c r="B1153" s="449"/>
      <c r="C1153" s="450"/>
      <c r="D1153" s="211"/>
      <c r="E1153" s="211"/>
      <c r="F1153" s="211"/>
      <c r="G1153" s="84"/>
      <c r="H1153" s="211"/>
      <c r="I1153" s="211"/>
      <c r="J1153" s="211"/>
      <c r="K1153" s="211"/>
      <c r="L1153" s="84"/>
      <c r="M1153" s="211"/>
      <c r="N1153" s="211"/>
      <c r="O1153" s="211"/>
      <c r="P1153" s="211"/>
      <c r="Q1153" s="84"/>
      <c r="R1153" s="211"/>
      <c r="S1153" s="211"/>
      <c r="T1153" s="211"/>
      <c r="U1153" s="211"/>
      <c r="V1153" s="84"/>
      <c r="W1153" s="211"/>
      <c r="X1153" s="211"/>
      <c r="Y1153" s="211"/>
      <c r="Z1153" s="211"/>
      <c r="AA1153" s="84"/>
      <c r="AB1153" s="146"/>
      <c r="AC1153" s="211"/>
      <c r="AD1153" s="211"/>
      <c r="AE1153" s="211"/>
      <c r="AF1153" s="84"/>
      <c r="AG1153" s="146"/>
      <c r="AH1153" s="211"/>
      <c r="AI1153" s="211"/>
      <c r="AJ1153" s="211"/>
      <c r="AK1153" s="84"/>
      <c r="AL1153" s="146"/>
      <c r="AM1153" s="211"/>
      <c r="AN1153" s="211"/>
      <c r="AO1153" s="211"/>
      <c r="AP1153" s="436"/>
      <c r="AQ1153" s="146"/>
      <c r="AR1153" s="211"/>
      <c r="AS1153" s="211"/>
      <c r="AT1153" s="211"/>
      <c r="AU1153" s="84"/>
      <c r="AV1153" s="211"/>
      <c r="AW1153" s="211"/>
      <c r="AX1153" s="211"/>
      <c r="AY1153" s="211"/>
      <c r="AZ1153" s="84"/>
      <c r="BA1153" s="211"/>
      <c r="BB1153" s="211"/>
      <c r="BC1153" s="211"/>
      <c r="BD1153" s="211"/>
      <c r="BE1153" s="84"/>
      <c r="BF1153" s="211"/>
      <c r="BG1153" s="451"/>
    </row>
    <row r="1154" spans="1:59" ht="12.75">
      <c r="A1154" s="211"/>
      <c r="B1154" s="449"/>
      <c r="C1154" s="450"/>
      <c r="D1154" s="211"/>
      <c r="E1154" s="211"/>
      <c r="F1154" s="211"/>
      <c r="G1154" s="84"/>
      <c r="H1154" s="211"/>
      <c r="I1154" s="211"/>
      <c r="J1154" s="211"/>
      <c r="K1154" s="211"/>
      <c r="L1154" s="84"/>
      <c r="M1154" s="211"/>
      <c r="N1154" s="211"/>
      <c r="O1154" s="211"/>
      <c r="P1154" s="211"/>
      <c r="Q1154" s="84"/>
      <c r="R1154" s="211"/>
      <c r="S1154" s="211"/>
      <c r="T1154" s="211"/>
      <c r="U1154" s="211"/>
      <c r="V1154" s="84"/>
      <c r="W1154" s="211"/>
      <c r="X1154" s="211"/>
      <c r="Y1154" s="211"/>
      <c r="Z1154" s="211"/>
      <c r="AA1154" s="84"/>
      <c r="AB1154" s="146"/>
      <c r="AC1154" s="211"/>
      <c r="AD1154" s="211"/>
      <c r="AE1154" s="211"/>
      <c r="AF1154" s="84"/>
      <c r="AG1154" s="146"/>
      <c r="AH1154" s="211"/>
      <c r="AI1154" s="211"/>
      <c r="AJ1154" s="211"/>
      <c r="AK1154" s="84"/>
      <c r="AL1154" s="146"/>
      <c r="AM1154" s="211"/>
      <c r="AN1154" s="211"/>
      <c r="AO1154" s="211"/>
      <c r="AP1154" s="436"/>
      <c r="AQ1154" s="146"/>
      <c r="AR1154" s="211"/>
      <c r="AS1154" s="211"/>
      <c r="AT1154" s="211"/>
      <c r="AU1154" s="84"/>
      <c r="AV1154" s="211"/>
      <c r="AW1154" s="211"/>
      <c r="AX1154" s="211"/>
      <c r="AY1154" s="211"/>
      <c r="AZ1154" s="84"/>
      <c r="BA1154" s="211"/>
      <c r="BB1154" s="211"/>
      <c r="BC1154" s="211"/>
      <c r="BD1154" s="211"/>
      <c r="BE1154" s="84"/>
      <c r="BF1154" s="211"/>
      <c r="BG1154" s="451"/>
    </row>
    <row r="1155" spans="1:59" ht="12.75">
      <c r="A1155" s="211"/>
      <c r="B1155" s="449"/>
      <c r="C1155" s="450"/>
      <c r="D1155" s="211"/>
      <c r="E1155" s="211"/>
      <c r="F1155" s="211"/>
      <c r="G1155" s="84"/>
      <c r="H1155" s="211"/>
      <c r="I1155" s="211"/>
      <c r="J1155" s="211"/>
      <c r="K1155" s="211"/>
      <c r="L1155" s="84"/>
      <c r="M1155" s="211"/>
      <c r="N1155" s="211"/>
      <c r="O1155" s="211"/>
      <c r="P1155" s="211"/>
      <c r="Q1155" s="84"/>
      <c r="R1155" s="211"/>
      <c r="S1155" s="211"/>
      <c r="T1155" s="211"/>
      <c r="U1155" s="211"/>
      <c r="V1155" s="84"/>
      <c r="W1155" s="211"/>
      <c r="X1155" s="211"/>
      <c r="Y1155" s="211"/>
      <c r="Z1155" s="211"/>
      <c r="AA1155" s="84"/>
      <c r="AB1155" s="146"/>
      <c r="AC1155" s="211"/>
      <c r="AD1155" s="211"/>
      <c r="AE1155" s="211"/>
      <c r="AF1155" s="84"/>
      <c r="AG1155" s="146"/>
      <c r="AH1155" s="211"/>
      <c r="AI1155" s="211"/>
      <c r="AJ1155" s="211"/>
      <c r="AK1155" s="84"/>
      <c r="AL1155" s="146"/>
      <c r="AM1155" s="211"/>
      <c r="AN1155" s="211"/>
      <c r="AO1155" s="211"/>
      <c r="AP1155" s="436"/>
      <c r="AQ1155" s="146"/>
      <c r="AR1155" s="211"/>
      <c r="AS1155" s="211"/>
      <c r="AT1155" s="211"/>
      <c r="AU1155" s="84"/>
      <c r="AV1155" s="211"/>
      <c r="AW1155" s="211"/>
      <c r="AX1155" s="211"/>
      <c r="AY1155" s="211"/>
      <c r="AZ1155" s="84"/>
      <c r="BA1155" s="211"/>
      <c r="BB1155" s="211"/>
      <c r="BC1155" s="211"/>
      <c r="BD1155" s="211"/>
      <c r="BE1155" s="84"/>
      <c r="BF1155" s="211"/>
      <c r="BG1155" s="451"/>
    </row>
    <row r="1156" spans="1:59" ht="12.75">
      <c r="A1156" s="211"/>
      <c r="B1156" s="449"/>
      <c r="C1156" s="450"/>
      <c r="D1156" s="211"/>
      <c r="E1156" s="211"/>
      <c r="F1156" s="211"/>
      <c r="G1156" s="84"/>
      <c r="H1156" s="211"/>
      <c r="I1156" s="211"/>
      <c r="J1156" s="211"/>
      <c r="K1156" s="211"/>
      <c r="L1156" s="84"/>
      <c r="M1156" s="211"/>
      <c r="N1156" s="211"/>
      <c r="O1156" s="211"/>
      <c r="P1156" s="211"/>
      <c r="Q1156" s="84"/>
      <c r="R1156" s="211"/>
      <c r="S1156" s="211"/>
      <c r="T1156" s="211"/>
      <c r="U1156" s="211"/>
      <c r="V1156" s="84"/>
      <c r="W1156" s="211"/>
      <c r="X1156" s="211"/>
      <c r="Y1156" s="211"/>
      <c r="Z1156" s="211"/>
      <c r="AA1156" s="84"/>
      <c r="AB1156" s="146"/>
      <c r="AC1156" s="211"/>
      <c r="AD1156" s="211"/>
      <c r="AE1156" s="211"/>
      <c r="AF1156" s="84"/>
      <c r="AG1156" s="146"/>
      <c r="AH1156" s="211"/>
      <c r="AI1156" s="211"/>
      <c r="AJ1156" s="211"/>
      <c r="AK1156" s="84"/>
      <c r="AL1156" s="146"/>
      <c r="AM1156" s="211"/>
      <c r="AN1156" s="211"/>
      <c r="AO1156" s="211"/>
      <c r="AP1156" s="436"/>
      <c r="AQ1156" s="146"/>
      <c r="AR1156" s="211"/>
      <c r="AS1156" s="211"/>
      <c r="AT1156" s="211"/>
      <c r="AU1156" s="84"/>
      <c r="AV1156" s="211"/>
      <c r="AW1156" s="211"/>
      <c r="AX1156" s="211"/>
      <c r="AY1156" s="211"/>
      <c r="AZ1156" s="84"/>
      <c r="BA1156" s="211"/>
      <c r="BB1156" s="211"/>
      <c r="BC1156" s="211"/>
      <c r="BD1156" s="211"/>
      <c r="BE1156" s="84"/>
      <c r="BF1156" s="211"/>
      <c r="BG1156" s="451"/>
    </row>
    <row r="1157" spans="1:59" ht="12.75">
      <c r="A1157" s="211"/>
      <c r="B1157" s="449"/>
      <c r="C1157" s="450"/>
      <c r="D1157" s="211"/>
      <c r="E1157" s="211"/>
      <c r="F1157" s="211"/>
      <c r="G1157" s="84"/>
      <c r="H1157" s="211"/>
      <c r="I1157" s="211"/>
      <c r="J1157" s="211"/>
      <c r="K1157" s="211"/>
      <c r="L1157" s="84"/>
      <c r="M1157" s="211"/>
      <c r="N1157" s="211"/>
      <c r="O1157" s="211"/>
      <c r="P1157" s="211"/>
      <c r="Q1157" s="84"/>
      <c r="R1157" s="211"/>
      <c r="S1157" s="211"/>
      <c r="T1157" s="211"/>
      <c r="U1157" s="211"/>
      <c r="V1157" s="84"/>
      <c r="W1157" s="211"/>
      <c r="X1157" s="211"/>
      <c r="Y1157" s="211"/>
      <c r="Z1157" s="211"/>
      <c r="AA1157" s="84"/>
      <c r="AB1157" s="146"/>
      <c r="AC1157" s="211"/>
      <c r="AD1157" s="211"/>
      <c r="AE1157" s="211"/>
      <c r="AF1157" s="84"/>
      <c r="AG1157" s="146"/>
      <c r="AH1157" s="211"/>
      <c r="AI1157" s="211"/>
      <c r="AJ1157" s="211"/>
      <c r="AK1157" s="84"/>
      <c r="AL1157" s="146"/>
      <c r="AM1157" s="211"/>
      <c r="AN1157" s="211"/>
      <c r="AO1157" s="211"/>
      <c r="AP1157" s="436"/>
      <c r="AQ1157" s="146"/>
      <c r="AR1157" s="211"/>
      <c r="AS1157" s="211"/>
      <c r="AT1157" s="211"/>
      <c r="AU1157" s="84"/>
      <c r="AV1157" s="211"/>
      <c r="AW1157" s="211"/>
      <c r="AX1157" s="211"/>
      <c r="AY1157" s="211"/>
      <c r="AZ1157" s="84"/>
      <c r="BA1157" s="211"/>
      <c r="BB1157" s="211"/>
      <c r="BC1157" s="211"/>
      <c r="BD1157" s="211"/>
      <c r="BE1157" s="84"/>
      <c r="BF1157" s="211"/>
      <c r="BG1157" s="451"/>
    </row>
    <row r="1158" spans="1:59" ht="12.75">
      <c r="A1158" s="211"/>
      <c r="B1158" s="449"/>
      <c r="C1158" s="450"/>
      <c r="D1158" s="211"/>
      <c r="E1158" s="211"/>
      <c r="F1158" s="211"/>
      <c r="G1158" s="84"/>
      <c r="H1158" s="211"/>
      <c r="I1158" s="211"/>
      <c r="J1158" s="211"/>
      <c r="K1158" s="211"/>
      <c r="L1158" s="84"/>
      <c r="M1158" s="211"/>
      <c r="N1158" s="211"/>
      <c r="O1158" s="211"/>
      <c r="P1158" s="211"/>
      <c r="Q1158" s="84"/>
      <c r="R1158" s="211"/>
      <c r="S1158" s="211"/>
      <c r="T1158" s="211"/>
      <c r="U1158" s="211"/>
      <c r="V1158" s="84"/>
      <c r="W1158" s="211"/>
      <c r="X1158" s="211"/>
      <c r="Y1158" s="211"/>
      <c r="Z1158" s="211"/>
      <c r="AA1158" s="84"/>
      <c r="AB1158" s="146"/>
      <c r="AC1158" s="211"/>
      <c r="AD1158" s="211"/>
      <c r="AE1158" s="211"/>
      <c r="AF1158" s="84"/>
      <c r="AG1158" s="146"/>
      <c r="AH1158" s="211"/>
      <c r="AI1158" s="211"/>
      <c r="AJ1158" s="211"/>
      <c r="AK1158" s="84"/>
      <c r="AL1158" s="146"/>
      <c r="AM1158" s="211"/>
      <c r="AN1158" s="211"/>
      <c r="AO1158" s="211"/>
      <c r="AP1158" s="436"/>
      <c r="AQ1158" s="146"/>
      <c r="AR1158" s="211"/>
      <c r="AS1158" s="211"/>
      <c r="AT1158" s="211"/>
      <c r="AU1158" s="84"/>
      <c r="AV1158" s="211"/>
      <c r="AW1158" s="211"/>
      <c r="AX1158" s="211"/>
      <c r="AY1158" s="211"/>
      <c r="AZ1158" s="84"/>
      <c r="BA1158" s="211"/>
      <c r="BB1158" s="211"/>
      <c r="BC1158" s="211"/>
      <c r="BD1158" s="211"/>
      <c r="BE1158" s="84"/>
      <c r="BF1158" s="211"/>
      <c r="BG1158" s="451"/>
    </row>
  </sheetData>
  <conditionalFormatting sqref="A1:BG1158">
    <cfRule type="cellIs" dxfId="0" priority="1" operator="between">
      <formula>100</formula>
      <formula>500</formula>
    </cfRule>
  </conditionalFormatting>
  <hyperlinks>
    <hyperlink ref="C2" location="consumption &gt; MILK!A1" display="https://docs.google.com/spreadsheets/d/1fOAVtnC9Lamg3OwHV32IVsY-Ddum88g-3HALPe4BcHk/edit#gid=278328832"/>
    <hyperlink ref="H2" r:id="rId1" location="gid=1286927044"/>
    <hyperlink ref="M2" location="CONSUMPTION &gt; RED MEAT!A1" display="https://docs.google.com/spreadsheets/d/1fOAVtnC9Lamg3OwHV32IVsY-Ddum88g-3HALPe4BcHk/edit#gid=619456874"/>
    <hyperlink ref="R2" r:id="rId2" location="gid=1250427895"/>
    <hyperlink ref="W2" r:id="rId3" location="gid=651659921"/>
    <hyperlink ref="AB2" r:id="rId4" location="gid=504955516"/>
    <hyperlink ref="AG2" r:id="rId5" location="gid=305498588"/>
    <hyperlink ref="AL2" r:id="rId6" location="gid=254233001"/>
    <hyperlink ref="AQ2" r:id="rId7" location="gid=705662649"/>
    <hyperlink ref="AV2" r:id="rId8" location="gid=1256257963"/>
    <hyperlink ref="BA2" r:id="rId9" location="gid=171821835"/>
  </hyperlinks>
  <pageMargins left="0.7" right="0.7" top="0.75" bottom="0.75" header="0.3" footer="0.3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85" t="s">
        <v>327</v>
      </c>
      <c r="B1" s="311" t="s">
        <v>130</v>
      </c>
      <c r="C1" s="312"/>
      <c r="D1" s="313"/>
      <c r="E1" s="315" t="s">
        <v>131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5" t="s">
        <v>136</v>
      </c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CONSUMPTION!P5</f>
        <v>2.8633821788983285E-2</v>
      </c>
      <c r="F4" s="318">
        <f>CONSUMPTION!P53</f>
        <v>2.2032952941405795E-2</v>
      </c>
      <c r="G4" s="318">
        <f>CONSUMPTION!P74</f>
        <v>2.2612480540453422E-2</v>
      </c>
      <c r="H4" s="318">
        <f>CONSUMPTION!P82</f>
        <v>0.2554070854329708</v>
      </c>
      <c r="I4" s="318">
        <f>CONSUMPTION!P137</f>
        <v>0.11523357996288809</v>
      </c>
      <c r="J4" s="318">
        <f>CONSUMPTION!P143</f>
        <v>0.43748043620583388</v>
      </c>
      <c r="K4" s="318">
        <f>CONSUMPTION!P162</f>
        <v>0.11859964312746471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6.0703702192644569</v>
      </c>
      <c r="F5" s="320">
        <f t="shared" si="1"/>
        <v>4.6709860235780285</v>
      </c>
      <c r="G5" s="320">
        <f t="shared" si="1"/>
        <v>4.7938458745761254</v>
      </c>
      <c r="H5" s="320">
        <f t="shared" si="1"/>
        <v>54.146302111789808</v>
      </c>
      <c r="I5" s="320">
        <f t="shared" si="1"/>
        <v>24.429518952132277</v>
      </c>
      <c r="J5" s="320">
        <f t="shared" si="1"/>
        <v>92.745852475636781</v>
      </c>
      <c r="K5" s="320">
        <f t="shared" si="1"/>
        <v>25.143124343022517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CONSUMPTION!Z5</f>
        <v>0.24109918924260015</v>
      </c>
      <c r="F6" s="318">
        <f>CONSUMPTION!Z53</f>
        <v>3.477069961085575E-2</v>
      </c>
      <c r="G6" s="318">
        <f>CONSUMPTION!Z74</f>
        <v>0.10300009518289299</v>
      </c>
      <c r="H6" s="318">
        <f>CONSUMPTION!Z82</f>
        <v>0.18216334109086932</v>
      </c>
      <c r="I6" s="318">
        <f>CONSUMPTION!Z137</f>
        <v>5.06462458401035E-2</v>
      </c>
      <c r="J6" s="318">
        <f>CONSUMPTION!Z143</f>
        <v>0.31863082923206532</v>
      </c>
      <c r="K6" s="318">
        <f>CONSUMPTION!Z162</f>
        <v>6.9689599800613039E-2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201.24549326079836</v>
      </c>
      <c r="F7" s="320">
        <f t="shared" si="2"/>
        <v>29.023102965181295</v>
      </c>
      <c r="G7" s="320">
        <f t="shared" si="2"/>
        <v>85.974179449160786</v>
      </c>
      <c r="H7" s="320">
        <f t="shared" si="2"/>
        <v>152.05174080854863</v>
      </c>
      <c r="I7" s="320">
        <f t="shared" si="2"/>
        <v>42.274421402734397</v>
      </c>
      <c r="J7" s="320">
        <f t="shared" si="2"/>
        <v>265.96115316000493</v>
      </c>
      <c r="K7" s="320">
        <f t="shared" si="2"/>
        <v>58.169908953571706</v>
      </c>
      <c r="L7" s="286"/>
      <c r="M7" s="320">
        <f t="shared" si="0"/>
        <v>834.70000000000016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CONSUMPTION!K5</f>
        <v>1.6245523896837054E-2</v>
      </c>
      <c r="F8" s="318">
        <f>CONSUMPTION!K53</f>
        <v>3.0627132418791975E-2</v>
      </c>
      <c r="G8" s="318">
        <f>CONSUMPTION!K74</f>
        <v>6.3698502317783498E-2</v>
      </c>
      <c r="H8" s="318">
        <f>CONSUMPTION!K82</f>
        <v>0.17268026803250125</v>
      </c>
      <c r="I8" s="318">
        <f>CONSUMPTION!K137</f>
        <v>7.1798553798069931E-2</v>
      </c>
      <c r="J8" s="318">
        <f>CONSUMPTION!K143</f>
        <v>0.55338219752624096</v>
      </c>
      <c r="K8" s="318">
        <f>CONSUMPTION!K162</f>
        <v>9.1567822009775271E-2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1.3467539310477918</v>
      </c>
      <c r="F9" s="320">
        <f t="shared" si="3"/>
        <v>2.5389892775178549</v>
      </c>
      <c r="G9" s="320">
        <f t="shared" si="3"/>
        <v>5.2806058421442525</v>
      </c>
      <c r="H9" s="320">
        <f t="shared" si="3"/>
        <v>14.315194219894355</v>
      </c>
      <c r="I9" s="320">
        <f t="shared" si="3"/>
        <v>5.9521001098599973</v>
      </c>
      <c r="J9" s="320">
        <f t="shared" si="3"/>
        <v>45.875384174925379</v>
      </c>
      <c r="K9" s="320">
        <f t="shared" si="3"/>
        <v>7.5909724446103706</v>
      </c>
      <c r="L9" s="286"/>
      <c r="M9" s="320">
        <f t="shared" si="0"/>
        <v>82.9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CONSUMPTION!U5</f>
        <v>3.2035257912963987E-2</v>
      </c>
      <c r="F10" s="318">
        <f>CONSUMPTION!U53</f>
        <v>6.4615869431677353E-2</v>
      </c>
      <c r="G10" s="318">
        <f>CONSUMPTION!U74</f>
        <v>3.345827036240278E-2</v>
      </c>
      <c r="H10" s="318">
        <f>CONSUMPTION!U82</f>
        <v>0.20850928142890707</v>
      </c>
      <c r="I10" s="318">
        <f>CONSUMPTION!U137</f>
        <v>0.17696152820196115</v>
      </c>
      <c r="J10" s="318">
        <f>CONSUMPTION!U143</f>
        <v>0.29148287940845347</v>
      </c>
      <c r="K10" s="318">
        <f>CONSUMPTION!U162</f>
        <v>0.1929369132536341</v>
      </c>
      <c r="L10" s="286"/>
      <c r="M10" s="319">
        <f t="shared" si="0"/>
        <v>0.99999999999999978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4.2927245603371746</v>
      </c>
      <c r="F11" s="320">
        <f t="shared" si="4"/>
        <v>8.6585265038447652</v>
      </c>
      <c r="G11" s="320">
        <f t="shared" si="4"/>
        <v>4.4834082285619727</v>
      </c>
      <c r="H11" s="320">
        <f t="shared" si="4"/>
        <v>27.940243711473546</v>
      </c>
      <c r="I11" s="320">
        <f t="shared" si="4"/>
        <v>23.712844779062795</v>
      </c>
      <c r="J11" s="320">
        <f t="shared" si="4"/>
        <v>39.058705840732763</v>
      </c>
      <c r="K11" s="320">
        <f t="shared" si="4"/>
        <v>25.853546375986969</v>
      </c>
      <c r="L11" s="286"/>
      <c r="M11" s="320">
        <f t="shared" si="0"/>
        <v>134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CONSUMPTION!F5</f>
        <v>3.8785339306124253E-2</v>
      </c>
      <c r="F12" s="318">
        <f>CONSUMPTION!F53</f>
        <v>5.1924489054770782E-2</v>
      </c>
      <c r="G12" s="318">
        <f>CONSUMPTION!F74</f>
        <v>0.14953652986190472</v>
      </c>
      <c r="H12" s="318">
        <f>CONSUMPTION!F82</f>
        <v>0.41366893744998845</v>
      </c>
      <c r="I12" s="318">
        <f>CONSUMPTION!F137</f>
        <v>0.16627350118493034</v>
      </c>
      <c r="J12" s="318">
        <f>CONSUMPTION!F143</f>
        <v>3.1018438930037952E-2</v>
      </c>
      <c r="K12" s="318">
        <f>CONSUMPTION!F162</f>
        <v>0.14879276421224349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32.618470356450494</v>
      </c>
      <c r="F13" s="320">
        <f t="shared" si="5"/>
        <v>43.668495295062229</v>
      </c>
      <c r="G13" s="320">
        <f t="shared" si="5"/>
        <v>125.76022161386187</v>
      </c>
      <c r="H13" s="320">
        <f t="shared" si="5"/>
        <v>347.89557639544029</v>
      </c>
      <c r="I13" s="320">
        <f t="shared" si="5"/>
        <v>139.83601449652642</v>
      </c>
      <c r="J13" s="320">
        <f t="shared" si="5"/>
        <v>26.086507140161917</v>
      </c>
      <c r="K13" s="320">
        <f t="shared" si="5"/>
        <v>125.13471470249678</v>
      </c>
      <c r="L13" s="286"/>
      <c r="M13" s="320">
        <f t="shared" si="0"/>
        <v>841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CONSUMPTION!AE5</f>
        <v>4.3336749542266975E-2</v>
      </c>
      <c r="F14" s="318">
        <f>CONSUMPTION!AE53</f>
        <v>3.4273762115495564E-2</v>
      </c>
      <c r="G14" s="318">
        <f>CONSUMPTION!AE74</f>
        <v>6.4269978300628999E-2</v>
      </c>
      <c r="H14" s="318">
        <f>CONSUMPTION!AE82</f>
        <v>0.12788100525737855</v>
      </c>
      <c r="I14" s="318">
        <f>CONSUMPTION!AE137</f>
        <v>5.6442598267971919E-2</v>
      </c>
      <c r="J14" s="318">
        <f>CONSUMPTION!AE143</f>
        <v>0.62658209596947734</v>
      </c>
      <c r="K14" s="318">
        <f>CONSUMPTION!AE162</f>
        <v>4.7213810546780671E-2</v>
      </c>
      <c r="L14" s="286"/>
      <c r="M14" s="319">
        <f t="shared" si="0"/>
        <v>1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6.7171961790513812</v>
      </c>
      <c r="F15" s="320">
        <f t="shared" si="6"/>
        <v>5.3124331279018122</v>
      </c>
      <c r="G15" s="320">
        <f t="shared" si="6"/>
        <v>9.9618466365974943</v>
      </c>
      <c r="H15" s="320">
        <f t="shared" si="6"/>
        <v>19.821555814893674</v>
      </c>
      <c r="I15" s="320">
        <f t="shared" si="6"/>
        <v>8.748602731535648</v>
      </c>
      <c r="J15" s="320">
        <f t="shared" si="6"/>
        <v>97.120224875268988</v>
      </c>
      <c r="K15" s="320">
        <f t="shared" si="6"/>
        <v>7.3181406347510043</v>
      </c>
      <c r="L15" s="286"/>
      <c r="M15" s="320">
        <f t="shared" si="0"/>
        <v>155.00000000000003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CONSUMPTION!AJ5</f>
        <v>3.0786872474324933E-2</v>
      </c>
      <c r="F16" s="318">
        <f>CONSUMPTION!AJ53</f>
        <v>5.0714962717448742E-2</v>
      </c>
      <c r="G16" s="318">
        <f>CONSUMPTION!AJ74</f>
        <v>0.10141960449665804</v>
      </c>
      <c r="H16" s="318">
        <f>CONSUMPTION!AJ82</f>
        <v>0.14436662857348737</v>
      </c>
      <c r="I16" s="318">
        <f>CONSUMPTION!AJ137</f>
        <v>3.9599534412529801E-2</v>
      </c>
      <c r="J16" s="318">
        <f>CONSUMPTION!AJ143</f>
        <v>0.59766709560996778</v>
      </c>
      <c r="K16" s="318">
        <f>CONSUMPTION!AJ162</f>
        <v>3.5445301715583258E-2</v>
      </c>
      <c r="L16" s="286"/>
      <c r="M16" s="319">
        <f t="shared" si="0"/>
        <v>0.99999999999999989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34.789165895987175</v>
      </c>
      <c r="F17" s="320">
        <f t="shared" si="7"/>
        <v>57.307907870717081</v>
      </c>
      <c r="G17" s="320">
        <f t="shared" si="7"/>
        <v>114.60415308122359</v>
      </c>
      <c r="H17" s="320">
        <f t="shared" si="7"/>
        <v>163.13429028804072</v>
      </c>
      <c r="I17" s="320">
        <f t="shared" si="7"/>
        <v>44.747473886158673</v>
      </c>
      <c r="J17" s="320">
        <f t="shared" si="7"/>
        <v>675.36381803926361</v>
      </c>
      <c r="K17" s="320">
        <f t="shared" si="7"/>
        <v>40.053190938609085</v>
      </c>
      <c r="L17" s="286"/>
      <c r="M17" s="320">
        <f t="shared" si="0"/>
        <v>1130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CONSUMPTION!AO5</f>
        <v>7.2161163030406331E-2</v>
      </c>
      <c r="F18" s="318">
        <f>CONSUMPTION!AO53</f>
        <v>7.1467460651506734E-2</v>
      </c>
      <c r="G18" s="318">
        <f>CONSUMPTION!AO74</f>
        <v>0.13803526455279702</v>
      </c>
      <c r="H18" s="318">
        <f>CONSUMPTION!AO82</f>
        <v>0.20009573181879275</v>
      </c>
      <c r="I18" s="318">
        <f>CONSUMPTION!AO137</f>
        <v>5.2289867901283024E-2</v>
      </c>
      <c r="J18" s="318">
        <f>CONSUMPTION!AO143</f>
        <v>0.35326388420635696</v>
      </c>
      <c r="K18" s="318">
        <f>CONSUMPTION!AO162</f>
        <v>0.11268662783885723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63.718306955848789</v>
      </c>
      <c r="F19" s="320">
        <f t="shared" si="8"/>
        <v>63.105767755280446</v>
      </c>
      <c r="G19" s="320">
        <f t="shared" si="8"/>
        <v>121.88513860011977</v>
      </c>
      <c r="H19" s="320">
        <f t="shared" si="8"/>
        <v>176.684531195994</v>
      </c>
      <c r="I19" s="320">
        <f t="shared" si="8"/>
        <v>46.171953356832908</v>
      </c>
      <c r="J19" s="320">
        <f t="shared" si="8"/>
        <v>311.9320097542132</v>
      </c>
      <c r="K19" s="320">
        <f t="shared" si="8"/>
        <v>99.50229238171093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CONSUMPTION!AT5</f>
        <v>0.14040590857540525</v>
      </c>
      <c r="F20" s="318">
        <f>CONSUMPTION!AT53</f>
        <v>4.0438604088149074E-2</v>
      </c>
      <c r="G20" s="318">
        <f>CONSUMPTION!AT74</f>
        <v>0.28896979225718195</v>
      </c>
      <c r="H20" s="318">
        <f>CONSUMPTION!AT82</f>
        <v>7.6626108407271173E-2</v>
      </c>
      <c r="I20" s="318">
        <f>CONSUMPTION!AT137</f>
        <v>4.5627760775301861E-2</v>
      </c>
      <c r="J20" s="318">
        <f>CONSUMPTION!AT143</f>
        <v>0.31926586536202933</v>
      </c>
      <c r="K20" s="318">
        <f>CONSUMPTION!AT162</f>
        <v>8.8665960534661234E-2</v>
      </c>
      <c r="L20" s="286"/>
      <c r="M20" s="319">
        <f t="shared" si="0"/>
        <v>0.99999999999999989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61.778599773178307</v>
      </c>
      <c r="F21" s="320">
        <f t="shared" si="9"/>
        <v>17.792985798785594</v>
      </c>
      <c r="G21" s="320">
        <f t="shared" si="9"/>
        <v>127.14670859316006</v>
      </c>
      <c r="H21" s="320">
        <f t="shared" si="9"/>
        <v>33.715487699199315</v>
      </c>
      <c r="I21" s="320">
        <f t="shared" si="9"/>
        <v>20.076214741132819</v>
      </c>
      <c r="J21" s="320">
        <f t="shared" si="9"/>
        <v>140.4769807592929</v>
      </c>
      <c r="K21" s="320">
        <f t="shared" si="9"/>
        <v>39.013022635250941</v>
      </c>
      <c r="L21" s="286"/>
      <c r="M21" s="320">
        <f t="shared" si="0"/>
        <v>439.99999999999994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CONSUMPTION!AY5</f>
        <v>7.4628524236824728E-2</v>
      </c>
      <c r="F22" s="318">
        <f>CONSUMPTION!AY53</f>
        <v>6.9514038464151356E-2</v>
      </c>
      <c r="G22" s="318">
        <f>CONSUMPTION!AY74</f>
        <v>0.20930583341857981</v>
      </c>
      <c r="H22" s="318">
        <f>CONSUMPTION!AY82</f>
        <v>0.1411950902262028</v>
      </c>
      <c r="I22" s="318">
        <f>CONSUMPTION!AY137</f>
        <v>3.4206793564014334E-2</v>
      </c>
      <c r="J22" s="318">
        <f>CONSUMPTION!AY143</f>
        <v>0.39495224524316069</v>
      </c>
      <c r="K22" s="318">
        <f>CONSUMPTION!AY162</f>
        <v>7.6197474847066307E-2</v>
      </c>
      <c r="L22" s="286"/>
      <c r="M22" s="319">
        <f t="shared" si="0"/>
        <v>1.0000000000000002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199.03427413961154</v>
      </c>
      <c r="F23" s="320">
        <f t="shared" si="10"/>
        <v>185.39394058389166</v>
      </c>
      <c r="G23" s="320">
        <f t="shared" si="10"/>
        <v>558.21865772735237</v>
      </c>
      <c r="H23" s="320">
        <f t="shared" si="10"/>
        <v>376.5673056332829</v>
      </c>
      <c r="I23" s="320">
        <f t="shared" si="10"/>
        <v>91.229518435226225</v>
      </c>
      <c r="J23" s="320">
        <f t="shared" si="10"/>
        <v>1053.3376380635095</v>
      </c>
      <c r="K23" s="320">
        <f t="shared" si="10"/>
        <v>203.21866541712583</v>
      </c>
      <c r="L23" s="286"/>
      <c r="M23" s="320">
        <f t="shared" si="0"/>
        <v>2667.0000000000005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CONSUMPTION!BD5</f>
        <v>3.0739222128840355E-2</v>
      </c>
      <c r="F24" s="318">
        <f>CONSUMPTION!BD53</f>
        <v>8.5070976311258983E-2</v>
      </c>
      <c r="G24" s="318">
        <f>CONSUMPTION!BD74</f>
        <v>0.13692352350113227</v>
      </c>
      <c r="H24" s="318">
        <f>CONSUMPTION!BD82</f>
        <v>0.21200601146165543</v>
      </c>
      <c r="I24" s="318">
        <f>CONSUMPTION!BD137</f>
        <v>8.79865999098767E-2</v>
      </c>
      <c r="J24" s="318">
        <f>CONSUMPTION!BD143</f>
        <v>0.4156685272677344</v>
      </c>
      <c r="K24" s="318">
        <f>CONSUMPTION!BD162</f>
        <v>3.1605139419501785E-2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0.16291787728285387</v>
      </c>
      <c r="F25" s="320">
        <f t="shared" si="11"/>
        <v>0.4508761744496726</v>
      </c>
      <c r="G25" s="320">
        <f t="shared" si="11"/>
        <v>0.72569467455600101</v>
      </c>
      <c r="H25" s="320">
        <f t="shared" si="11"/>
        <v>1.1236318607467737</v>
      </c>
      <c r="I25" s="320">
        <f t="shared" si="11"/>
        <v>0.46632897952234648</v>
      </c>
      <c r="J25" s="320">
        <f t="shared" si="11"/>
        <v>2.2030431945189921</v>
      </c>
      <c r="K25" s="320">
        <f t="shared" si="11"/>
        <v>0.16750723892335945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286"/>
      <c r="B27" s="314" t="s">
        <v>142</v>
      </c>
      <c r="C27" s="285" t="s">
        <v>52</v>
      </c>
      <c r="D27" s="316"/>
      <c r="E27" s="323">
        <f t="shared" ref="E27:K27" si="12">E5+E7+E9+E11+E13+E15+E17+E19+E21+E23+E25</f>
        <v>611.77427314885836</v>
      </c>
      <c r="F27" s="323">
        <f t="shared" si="12"/>
        <v>417.92401137621044</v>
      </c>
      <c r="G27" s="323">
        <f t="shared" si="12"/>
        <v>1158.8344603213145</v>
      </c>
      <c r="H27" s="323">
        <f t="shared" si="12"/>
        <v>1367.3958597393041</v>
      </c>
      <c r="I27" s="323">
        <f t="shared" si="12"/>
        <v>447.64499187072448</v>
      </c>
      <c r="J27" s="323">
        <f t="shared" si="12"/>
        <v>2750.1613174775289</v>
      </c>
      <c r="K27" s="323">
        <f t="shared" si="12"/>
        <v>631.16508606605953</v>
      </c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 t="s">
        <v>142</v>
      </c>
      <c r="C28" s="452" t="s">
        <v>143</v>
      </c>
      <c r="D28" s="313"/>
      <c r="E28" s="453">
        <f t="shared" ref="E28:K28" si="13">E27*1000000</f>
        <v>611774273.14885831</v>
      </c>
      <c r="F28" s="453">
        <f t="shared" si="13"/>
        <v>417924011.37621045</v>
      </c>
      <c r="G28" s="453">
        <f t="shared" si="13"/>
        <v>1158834460.3213146</v>
      </c>
      <c r="H28" s="453">
        <f t="shared" si="13"/>
        <v>1367395859.7393041</v>
      </c>
      <c r="I28" s="453">
        <f t="shared" si="13"/>
        <v>447644991.8707245</v>
      </c>
      <c r="J28" s="453">
        <f t="shared" si="13"/>
        <v>2750161317.477529</v>
      </c>
      <c r="K28" s="453">
        <f t="shared" si="13"/>
        <v>631165086.06605959</v>
      </c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 t="s">
        <v>42</v>
      </c>
      <c r="C29" s="312"/>
      <c r="D29" s="313"/>
      <c r="E29" s="453">
        <f>CONSUMPTION!BG5</f>
        <v>643782928</v>
      </c>
      <c r="F29" s="454">
        <f>CONSUMPTION!BG53</f>
        <v>389455861</v>
      </c>
      <c r="G29" s="453">
        <f>CONSUMPTION!BG74</f>
        <v>1310898890</v>
      </c>
      <c r="H29" s="455">
        <f>CONSUMPTION!BG82</f>
        <v>1046254720</v>
      </c>
      <c r="I29" s="456">
        <f>CONSUMPTION!BG137</f>
        <v>331543147</v>
      </c>
      <c r="J29" s="455">
        <f>CONSUMPTION!BG143</f>
        <v>2113393271</v>
      </c>
      <c r="K29" s="455">
        <f>CONSUMPTION!BG162</f>
        <v>581130580</v>
      </c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 t="s">
        <v>144</v>
      </c>
      <c r="C30" s="312"/>
      <c r="D30" s="313"/>
      <c r="E30" s="333">
        <f t="shared" ref="E30:K30" si="14">E28/E29</f>
        <v>0.95028036088098677</v>
      </c>
      <c r="F30" s="333">
        <f t="shared" si="14"/>
        <v>1.0730972447124385</v>
      </c>
      <c r="G30" s="333">
        <f t="shared" si="14"/>
        <v>0.88399987913737155</v>
      </c>
      <c r="H30" s="333">
        <f t="shared" si="14"/>
        <v>1.3069435516996322</v>
      </c>
      <c r="I30" s="333">
        <f t="shared" si="14"/>
        <v>1.3501862304236514</v>
      </c>
      <c r="J30" s="333">
        <f t="shared" si="14"/>
        <v>1.3013012557649659</v>
      </c>
      <c r="K30" s="333">
        <f t="shared" si="14"/>
        <v>1.0860985599244486</v>
      </c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6"/>
      <c r="I31" s="314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6"/>
      <c r="I32" s="314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6"/>
      <c r="I33" s="314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6"/>
      <c r="I34" s="314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34"/>
      <c r="B35" s="335"/>
      <c r="C35" s="336"/>
      <c r="D35" s="334"/>
      <c r="E35" s="337"/>
      <c r="F35" s="337"/>
      <c r="G35" s="337"/>
      <c r="H35" s="337"/>
      <c r="I35" s="338"/>
      <c r="J35" s="334"/>
      <c r="K35" s="334"/>
      <c r="L35" s="334"/>
      <c r="M35" s="334"/>
      <c r="N35" s="334"/>
      <c r="O35" s="334"/>
      <c r="P35" s="334"/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</row>
    <row r="36" spans="1:29">
      <c r="A36" s="314"/>
      <c r="B36" s="314"/>
      <c r="C36" s="317"/>
      <c r="D36" s="316"/>
      <c r="E36" s="285" t="s">
        <v>328</v>
      </c>
      <c r="F36" s="286"/>
      <c r="G36" s="286"/>
      <c r="I36" s="314"/>
      <c r="J36" s="286"/>
      <c r="K36" s="286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87" t="s">
        <v>108</v>
      </c>
      <c r="F37" s="287" t="s">
        <v>109</v>
      </c>
      <c r="G37" s="287" t="s">
        <v>110</v>
      </c>
      <c r="I37" s="314"/>
      <c r="J37" s="320"/>
      <c r="K37" s="320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65</v>
      </c>
      <c r="F38" s="222" t="s">
        <v>115</v>
      </c>
      <c r="G38" s="457">
        <f>E23</f>
        <v>199.03427413961154</v>
      </c>
      <c r="I38" s="314"/>
      <c r="J38" s="286"/>
      <c r="K38" s="286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65</v>
      </c>
      <c r="F39" s="222" t="s">
        <v>95</v>
      </c>
      <c r="G39" s="457">
        <f>F23</f>
        <v>185.39394058389166</v>
      </c>
      <c r="I39" s="314"/>
      <c r="J39" s="320"/>
      <c r="K39" s="320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65</v>
      </c>
      <c r="F40" s="222" t="s">
        <v>116</v>
      </c>
      <c r="G40" s="457">
        <f>G23</f>
        <v>558.21865772735237</v>
      </c>
      <c r="I40" s="314"/>
      <c r="J40" s="286"/>
      <c r="K40" s="286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65</v>
      </c>
      <c r="F41" s="222" t="s">
        <v>103</v>
      </c>
      <c r="G41" s="457">
        <f>H23</f>
        <v>376.5673056332829</v>
      </c>
      <c r="I41" s="314"/>
      <c r="J41" s="320"/>
      <c r="K41" s="320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65</v>
      </c>
      <c r="F42" s="222" t="s">
        <v>117</v>
      </c>
      <c r="G42" s="457">
        <f>I23</f>
        <v>91.229518435226225</v>
      </c>
      <c r="I42" s="314"/>
      <c r="J42" s="286"/>
      <c r="K42" s="286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65</v>
      </c>
      <c r="F43" s="222" t="s">
        <v>119</v>
      </c>
      <c r="G43" s="457">
        <f>J23</f>
        <v>1053.3376380635095</v>
      </c>
      <c r="I43" s="314"/>
      <c r="J43" s="320"/>
      <c r="K43" s="320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65</v>
      </c>
      <c r="F44" s="222" t="s">
        <v>121</v>
      </c>
      <c r="G44" s="457">
        <f>K23</f>
        <v>203.21866541712583</v>
      </c>
      <c r="I44" s="314"/>
      <c r="J44" s="286"/>
      <c r="K44" s="286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66</v>
      </c>
      <c r="F45" s="222" t="s">
        <v>115</v>
      </c>
      <c r="G45" s="457">
        <f>E17</f>
        <v>34.789165895987175</v>
      </c>
      <c r="I45" s="314"/>
      <c r="J45" s="320"/>
      <c r="K45" s="320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66</v>
      </c>
      <c r="F46" s="222" t="s">
        <v>95</v>
      </c>
      <c r="G46" s="457">
        <f>F17</f>
        <v>57.307907870717081</v>
      </c>
      <c r="I46" s="314"/>
      <c r="J46" s="286"/>
      <c r="K46" s="286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66</v>
      </c>
      <c r="F47" s="222" t="s">
        <v>116</v>
      </c>
      <c r="G47" s="457">
        <f>G17</f>
        <v>114.60415308122359</v>
      </c>
      <c r="I47" s="314"/>
      <c r="J47" s="320"/>
      <c r="K47" s="320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66</v>
      </c>
      <c r="F48" s="222" t="s">
        <v>103</v>
      </c>
      <c r="G48" s="457">
        <f>H17</f>
        <v>163.13429028804072</v>
      </c>
      <c r="I48" s="314"/>
      <c r="J48" s="286"/>
      <c r="K48" s="286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66</v>
      </c>
      <c r="F49" s="222" t="s">
        <v>117</v>
      </c>
      <c r="G49" s="457">
        <f>I17</f>
        <v>44.747473886158673</v>
      </c>
      <c r="I49" s="314"/>
      <c r="J49" s="320"/>
      <c r="K49" s="320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66</v>
      </c>
      <c r="F50" s="222" t="s">
        <v>119</v>
      </c>
      <c r="G50" s="457">
        <f>J17</f>
        <v>675.36381803926361</v>
      </c>
      <c r="I50" s="314"/>
      <c r="J50" s="286"/>
      <c r="K50" s="286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66</v>
      </c>
      <c r="F51" s="222" t="s">
        <v>121</v>
      </c>
      <c r="G51" s="457">
        <f>K17</f>
        <v>40.053190938609085</v>
      </c>
      <c r="I51" s="314"/>
      <c r="J51" s="320"/>
      <c r="K51" s="320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6"/>
      <c r="E52" s="222" t="s">
        <v>67</v>
      </c>
      <c r="F52" s="222" t="s">
        <v>115</v>
      </c>
      <c r="G52" s="457">
        <f>E19</f>
        <v>63.718306955848789</v>
      </c>
      <c r="I52" s="314"/>
      <c r="J52" s="286"/>
      <c r="K52" s="286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6"/>
      <c r="E53" s="222" t="s">
        <v>67</v>
      </c>
      <c r="F53" s="222" t="s">
        <v>95</v>
      </c>
      <c r="G53" s="457">
        <f>F19</f>
        <v>63.105767755280446</v>
      </c>
      <c r="I53" s="314"/>
      <c r="J53" s="320"/>
      <c r="K53" s="320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6"/>
      <c r="E54" s="222" t="s">
        <v>67</v>
      </c>
      <c r="F54" s="222" t="s">
        <v>116</v>
      </c>
      <c r="G54" s="457">
        <f>G19</f>
        <v>121.88513860011977</v>
      </c>
      <c r="I54" s="314"/>
      <c r="J54" s="286"/>
      <c r="K54" s="286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6"/>
      <c r="E55" s="222" t="s">
        <v>67</v>
      </c>
      <c r="F55" s="222" t="s">
        <v>103</v>
      </c>
      <c r="G55" s="457">
        <f>H19</f>
        <v>176.684531195994</v>
      </c>
      <c r="I55" s="314"/>
      <c r="J55" s="320"/>
      <c r="K55" s="320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6"/>
      <c r="E56" s="222" t="s">
        <v>67</v>
      </c>
      <c r="F56" s="222" t="s">
        <v>117</v>
      </c>
      <c r="G56" s="457">
        <f>I19</f>
        <v>46.171953356832908</v>
      </c>
      <c r="I56" s="314"/>
      <c r="J56" s="286"/>
      <c r="K56" s="286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67</v>
      </c>
      <c r="F57" s="222" t="s">
        <v>119</v>
      </c>
      <c r="G57" s="457">
        <f>J19</f>
        <v>311.9320097542132</v>
      </c>
      <c r="I57" s="314"/>
      <c r="J57" s="320"/>
      <c r="K57" s="320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316"/>
      <c r="E58" s="222" t="s">
        <v>67</v>
      </c>
      <c r="F58" s="222" t="s">
        <v>121</v>
      </c>
      <c r="G58" s="457">
        <f>K19</f>
        <v>99.50229238171093</v>
      </c>
      <c r="I58" s="314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316"/>
      <c r="E59" s="222" t="s">
        <v>125</v>
      </c>
      <c r="F59" s="222" t="s">
        <v>115</v>
      </c>
      <c r="G59" s="457">
        <f>E13</f>
        <v>32.618470356450494</v>
      </c>
      <c r="I59" s="314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316"/>
      <c r="E60" s="222" t="s">
        <v>125</v>
      </c>
      <c r="F60" s="222" t="s">
        <v>95</v>
      </c>
      <c r="G60" s="457">
        <f>F13</f>
        <v>43.668495295062229</v>
      </c>
      <c r="I60" s="314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316"/>
      <c r="E61" s="222" t="s">
        <v>125</v>
      </c>
      <c r="F61" s="222" t="s">
        <v>116</v>
      </c>
      <c r="G61" s="457">
        <f>G13</f>
        <v>125.76022161386187</v>
      </c>
      <c r="I61" s="314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125</v>
      </c>
      <c r="F62" s="222" t="s">
        <v>103</v>
      </c>
      <c r="G62" s="457">
        <f>H13</f>
        <v>347.89557639544029</v>
      </c>
      <c r="I62" s="314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316"/>
      <c r="E63" s="222" t="s">
        <v>125</v>
      </c>
      <c r="F63" s="222" t="s">
        <v>117</v>
      </c>
      <c r="G63" s="457">
        <f>I13</f>
        <v>139.83601449652642</v>
      </c>
      <c r="I63" s="314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125</v>
      </c>
      <c r="F64" s="222" t="s">
        <v>119</v>
      </c>
      <c r="G64" s="457">
        <f>J13</f>
        <v>26.086507140161917</v>
      </c>
      <c r="I64" s="314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316"/>
      <c r="E65" s="222" t="s">
        <v>125</v>
      </c>
      <c r="F65" s="222" t="s">
        <v>121</v>
      </c>
      <c r="G65" s="457">
        <f>K13</f>
        <v>125.13471470249678</v>
      </c>
      <c r="I65" s="314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114</v>
      </c>
      <c r="F66" s="222" t="s">
        <v>115</v>
      </c>
      <c r="G66" s="457">
        <f>E7</f>
        <v>201.24549326079836</v>
      </c>
      <c r="I66" s="314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316"/>
      <c r="E67" s="222" t="s">
        <v>114</v>
      </c>
      <c r="F67" s="222" t="s">
        <v>95</v>
      </c>
      <c r="G67" s="457">
        <f>F7</f>
        <v>29.023102965181295</v>
      </c>
      <c r="I67" s="314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316"/>
      <c r="E68" s="222" t="s">
        <v>114</v>
      </c>
      <c r="F68" s="222" t="s">
        <v>116</v>
      </c>
      <c r="G68" s="457">
        <f>G7</f>
        <v>85.974179449160786</v>
      </c>
      <c r="I68" s="314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114</v>
      </c>
      <c r="F69" s="222" t="s">
        <v>103</v>
      </c>
      <c r="G69" s="457">
        <f>H7</f>
        <v>152.05174080854863</v>
      </c>
      <c r="I69" s="314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316"/>
      <c r="E70" s="222" t="s">
        <v>114</v>
      </c>
      <c r="F70" s="222" t="s">
        <v>117</v>
      </c>
      <c r="G70" s="457">
        <f>I7</f>
        <v>42.274421402734397</v>
      </c>
      <c r="I70" s="314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114</v>
      </c>
      <c r="F71" s="222" t="s">
        <v>119</v>
      </c>
      <c r="G71" s="457">
        <f>J7</f>
        <v>265.96115316000493</v>
      </c>
      <c r="I71" s="314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316"/>
      <c r="E72" s="222" t="s">
        <v>114</v>
      </c>
      <c r="F72" s="222" t="s">
        <v>121</v>
      </c>
      <c r="G72" s="457">
        <f>K7</f>
        <v>58.169908953571706</v>
      </c>
      <c r="I72" s="314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141</v>
      </c>
      <c r="F73" s="222" t="s">
        <v>115</v>
      </c>
      <c r="G73" s="457">
        <f>E21</f>
        <v>61.778599773178307</v>
      </c>
      <c r="I73" s="314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316"/>
      <c r="E74" s="222" t="s">
        <v>141</v>
      </c>
      <c r="F74" s="222" t="s">
        <v>95</v>
      </c>
      <c r="G74" s="457">
        <f>F21</f>
        <v>17.792985798785594</v>
      </c>
      <c r="I74" s="314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316"/>
      <c r="E75" s="222" t="s">
        <v>141</v>
      </c>
      <c r="F75" s="222" t="s">
        <v>116</v>
      </c>
      <c r="G75" s="457">
        <f>G21</f>
        <v>127.14670859316006</v>
      </c>
      <c r="I75" s="314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141</v>
      </c>
      <c r="F76" s="222" t="s">
        <v>103</v>
      </c>
      <c r="G76" s="457">
        <f>H21</f>
        <v>33.715487699199315</v>
      </c>
      <c r="I76" s="314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316"/>
      <c r="E77" s="222" t="s">
        <v>141</v>
      </c>
      <c r="F77" s="222" t="s">
        <v>117</v>
      </c>
      <c r="G77" s="457">
        <f>I21</f>
        <v>20.076214741132819</v>
      </c>
      <c r="I77" s="314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141</v>
      </c>
      <c r="F78" s="222" t="s">
        <v>119</v>
      </c>
      <c r="G78" s="457">
        <f>J21</f>
        <v>140.4769807592929</v>
      </c>
      <c r="I78" s="314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316"/>
      <c r="E79" s="222" t="s">
        <v>141</v>
      </c>
      <c r="F79" s="222" t="s">
        <v>121</v>
      </c>
      <c r="G79" s="457">
        <f>K21</f>
        <v>39.013022635250941</v>
      </c>
      <c r="I79" s="314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123</v>
      </c>
      <c r="F80" s="222" t="s">
        <v>115</v>
      </c>
      <c r="G80" s="457">
        <f>E5</f>
        <v>6.0703702192644569</v>
      </c>
      <c r="I80" s="314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316"/>
      <c r="E81" s="222" t="s">
        <v>123</v>
      </c>
      <c r="F81" s="222" t="s">
        <v>95</v>
      </c>
      <c r="G81" s="457">
        <f>F5</f>
        <v>4.6709860235780285</v>
      </c>
      <c r="I81" s="314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316"/>
      <c r="E82" s="222" t="s">
        <v>123</v>
      </c>
      <c r="F82" s="222" t="s">
        <v>116</v>
      </c>
      <c r="G82" s="457">
        <f>G5</f>
        <v>4.7938458745761254</v>
      </c>
      <c r="I82" s="314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123</v>
      </c>
      <c r="F83" s="222" t="s">
        <v>103</v>
      </c>
      <c r="G83" s="457">
        <f>H5</f>
        <v>54.146302111789808</v>
      </c>
      <c r="I83" s="314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316"/>
      <c r="E84" s="222" t="s">
        <v>123</v>
      </c>
      <c r="F84" s="222" t="s">
        <v>117</v>
      </c>
      <c r="G84" s="457">
        <f>I5</f>
        <v>24.429518952132277</v>
      </c>
      <c r="I84" s="314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123</v>
      </c>
      <c r="F85" s="222" t="s">
        <v>119</v>
      </c>
      <c r="G85" s="457">
        <f>J5</f>
        <v>92.745852475636781</v>
      </c>
      <c r="I85" s="314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316"/>
      <c r="E86" s="222" t="s">
        <v>123</v>
      </c>
      <c r="F86" s="222" t="s">
        <v>121</v>
      </c>
      <c r="G86" s="457">
        <f>K5</f>
        <v>25.143124343022517</v>
      </c>
      <c r="I86" s="314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72</v>
      </c>
      <c r="F87" s="222" t="s">
        <v>115</v>
      </c>
      <c r="G87" s="457">
        <f>E15</f>
        <v>6.7171961790513812</v>
      </c>
      <c r="I87" s="314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316"/>
      <c r="E88" s="222" t="s">
        <v>72</v>
      </c>
      <c r="F88" s="222" t="s">
        <v>95</v>
      </c>
      <c r="G88" s="457">
        <f>F15</f>
        <v>5.3124331279018122</v>
      </c>
      <c r="I88" s="314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316"/>
      <c r="E89" s="222" t="s">
        <v>72</v>
      </c>
      <c r="F89" s="222" t="s">
        <v>116</v>
      </c>
      <c r="G89" s="457">
        <f>G15</f>
        <v>9.9618466365974943</v>
      </c>
      <c r="I89" s="314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72</v>
      </c>
      <c r="F90" s="222" t="s">
        <v>103</v>
      </c>
      <c r="G90" s="457">
        <f>H15</f>
        <v>19.821555814893674</v>
      </c>
      <c r="I90" s="314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316"/>
      <c r="E91" s="222" t="s">
        <v>72</v>
      </c>
      <c r="F91" s="222" t="s">
        <v>117</v>
      </c>
      <c r="G91" s="457">
        <f>I15</f>
        <v>8.748602731535648</v>
      </c>
      <c r="I91" s="314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72</v>
      </c>
      <c r="F92" s="222" t="s">
        <v>119</v>
      </c>
      <c r="G92" s="457">
        <f>J15</f>
        <v>97.120224875268988</v>
      </c>
      <c r="I92" s="314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316"/>
      <c r="E93" s="222" t="s">
        <v>72</v>
      </c>
      <c r="F93" s="222" t="s">
        <v>121</v>
      </c>
      <c r="G93" s="457">
        <f>K15</f>
        <v>7.3181406347510043</v>
      </c>
      <c r="I93" s="314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71</v>
      </c>
      <c r="F94" s="222" t="s">
        <v>115</v>
      </c>
      <c r="G94" s="457">
        <f>E11</f>
        <v>4.2927245603371746</v>
      </c>
      <c r="I94" s="314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316"/>
      <c r="E95" s="222" t="s">
        <v>71</v>
      </c>
      <c r="F95" s="222" t="s">
        <v>95</v>
      </c>
      <c r="G95" s="457">
        <f>F11</f>
        <v>8.6585265038447652</v>
      </c>
      <c r="I95" s="314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316"/>
      <c r="E96" s="222" t="s">
        <v>71</v>
      </c>
      <c r="F96" s="222" t="s">
        <v>116</v>
      </c>
      <c r="G96" s="457">
        <f>G11</f>
        <v>4.4834082285619727</v>
      </c>
      <c r="I96" s="314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71</v>
      </c>
      <c r="F97" s="222" t="s">
        <v>103</v>
      </c>
      <c r="G97" s="457">
        <f>H11</f>
        <v>27.940243711473546</v>
      </c>
      <c r="I97" s="314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316"/>
      <c r="E98" s="222" t="s">
        <v>71</v>
      </c>
      <c r="F98" s="222" t="s">
        <v>117</v>
      </c>
      <c r="G98" s="457">
        <f>I11</f>
        <v>23.712844779062795</v>
      </c>
      <c r="I98" s="314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71</v>
      </c>
      <c r="F99" s="222" t="s">
        <v>119</v>
      </c>
      <c r="G99" s="457">
        <f>J11</f>
        <v>39.058705840732763</v>
      </c>
      <c r="I99" s="314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316"/>
      <c r="E100" s="222" t="s">
        <v>71</v>
      </c>
      <c r="F100" s="222" t="s">
        <v>121</v>
      </c>
      <c r="G100" s="457">
        <f>K11</f>
        <v>25.853546375986969</v>
      </c>
      <c r="I100" s="314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140</v>
      </c>
      <c r="F101" s="222" t="s">
        <v>115</v>
      </c>
      <c r="G101" s="457">
        <f>E9</f>
        <v>1.3467539310477918</v>
      </c>
      <c r="I101" s="314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316"/>
      <c r="E102" s="222" t="s">
        <v>140</v>
      </c>
      <c r="F102" s="222" t="s">
        <v>95</v>
      </c>
      <c r="G102" s="457">
        <f>F9</f>
        <v>2.5389892775178549</v>
      </c>
      <c r="I102" s="314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316"/>
      <c r="E103" s="222" t="s">
        <v>140</v>
      </c>
      <c r="F103" s="222" t="s">
        <v>116</v>
      </c>
      <c r="G103" s="457">
        <f>G9</f>
        <v>5.2806058421442525</v>
      </c>
      <c r="I103" s="314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140</v>
      </c>
      <c r="F104" s="222" t="s">
        <v>103</v>
      </c>
      <c r="G104" s="457">
        <f>H9</f>
        <v>14.315194219894355</v>
      </c>
      <c r="I104" s="314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316"/>
      <c r="E105" s="222" t="s">
        <v>140</v>
      </c>
      <c r="F105" s="222" t="s">
        <v>117</v>
      </c>
      <c r="G105" s="457">
        <f>I9</f>
        <v>5.9521001098599973</v>
      </c>
      <c r="I105" s="314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>
      <c r="A106" s="286"/>
      <c r="B106" s="286"/>
      <c r="C106" s="286"/>
      <c r="D106" s="316"/>
      <c r="E106" s="222" t="s">
        <v>140</v>
      </c>
      <c r="F106" s="222" t="s">
        <v>119</v>
      </c>
      <c r="G106" s="457">
        <f>J9</f>
        <v>45.875384174925379</v>
      </c>
      <c r="I106" s="314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>
      <c r="A107" s="286"/>
      <c r="B107" s="286"/>
      <c r="C107" s="286"/>
      <c r="D107" s="316"/>
      <c r="E107" s="222" t="s">
        <v>140</v>
      </c>
      <c r="F107" s="222" t="s">
        <v>121</v>
      </c>
      <c r="G107" s="457">
        <f>K9</f>
        <v>7.5909724446103706</v>
      </c>
      <c r="I107" s="314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316"/>
      <c r="E108" s="222" t="s">
        <v>76</v>
      </c>
      <c r="F108" s="222" t="s">
        <v>115</v>
      </c>
      <c r="G108" s="457">
        <f>E25</f>
        <v>0.16291787728285387</v>
      </c>
      <c r="I108" s="314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>
      <c r="A109" s="286"/>
      <c r="B109" s="286"/>
      <c r="C109" s="286"/>
      <c r="D109" s="316"/>
      <c r="E109" s="222" t="s">
        <v>76</v>
      </c>
      <c r="F109" s="222" t="s">
        <v>95</v>
      </c>
      <c r="G109" s="457">
        <f>F25</f>
        <v>0.4508761744496726</v>
      </c>
      <c r="I109" s="314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>
      <c r="A110" s="286"/>
      <c r="B110" s="286"/>
      <c r="C110" s="286"/>
      <c r="D110" s="316"/>
      <c r="E110" s="222" t="s">
        <v>76</v>
      </c>
      <c r="F110" s="222" t="s">
        <v>116</v>
      </c>
      <c r="G110" s="457">
        <f>G25</f>
        <v>0.72569467455600101</v>
      </c>
      <c r="I110" s="314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22" t="s">
        <v>76</v>
      </c>
      <c r="F111" s="222" t="s">
        <v>103</v>
      </c>
      <c r="G111" s="457">
        <f>H25</f>
        <v>1.1236318607467737</v>
      </c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22" t="s">
        <v>76</v>
      </c>
      <c r="F112" s="222" t="s">
        <v>117</v>
      </c>
      <c r="G112" s="457">
        <f>I25</f>
        <v>0.46632897952234648</v>
      </c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22" t="s">
        <v>76</v>
      </c>
      <c r="F113" s="222" t="s">
        <v>119</v>
      </c>
      <c r="G113" s="457">
        <f>J25</f>
        <v>2.2030431945189921</v>
      </c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22" t="s">
        <v>76</v>
      </c>
      <c r="F114" s="222" t="s">
        <v>121</v>
      </c>
      <c r="G114" s="457">
        <f>K25</f>
        <v>0.16750723892335945</v>
      </c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339">
        <f>SUM(G27:G114)</f>
        <v>2469741894.9397731</v>
      </c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  <row r="1013" spans="1:29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</row>
    <row r="1014" spans="1:29" ht="15">
      <c r="A1014" s="286"/>
      <c r="B1014" s="286"/>
      <c r="C1014" s="286"/>
      <c r="D1014" s="316"/>
      <c r="E1014" s="28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</row>
    <row r="1015" spans="1:29" ht="15">
      <c r="A1015" s="286"/>
      <c r="B1015" s="286"/>
      <c r="C1015" s="286"/>
      <c r="D1015" s="316"/>
      <c r="E1015" s="28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</row>
    <row r="1016" spans="1:29" ht="15">
      <c r="A1016" s="286"/>
      <c r="B1016" s="286"/>
      <c r="C1016" s="286"/>
      <c r="D1016" s="316"/>
      <c r="E1016" s="286"/>
      <c r="F1016" s="286"/>
      <c r="G1016" s="286"/>
      <c r="H1016" s="286"/>
      <c r="I1016" s="286"/>
      <c r="J1016" s="286"/>
      <c r="K1016" s="286"/>
      <c r="L1016" s="286"/>
      <c r="M1016" s="286"/>
      <c r="N1016" s="286"/>
      <c r="O1016" s="286"/>
      <c r="P1016" s="286"/>
      <c r="Q1016" s="286"/>
      <c r="R1016" s="286"/>
      <c r="S1016" s="286"/>
      <c r="T1016" s="286"/>
      <c r="U1016" s="286"/>
      <c r="V1016" s="286"/>
      <c r="W1016" s="286"/>
      <c r="X1016" s="286"/>
      <c r="Y1016" s="286"/>
      <c r="Z1016" s="286"/>
      <c r="AA1016" s="286"/>
      <c r="AB1016" s="286"/>
      <c r="AC1016" s="286"/>
    </row>
    <row r="1017" spans="1:29" ht="15">
      <c r="A1017" s="286"/>
      <c r="B1017" s="286"/>
      <c r="C1017" s="286"/>
      <c r="D1017" s="316"/>
      <c r="E1017" s="286"/>
      <c r="F1017" s="286"/>
      <c r="G1017" s="286"/>
      <c r="H1017" s="286"/>
      <c r="I1017" s="286"/>
      <c r="J1017" s="286"/>
      <c r="K1017" s="286"/>
      <c r="L1017" s="286"/>
      <c r="M1017" s="286"/>
      <c r="N1017" s="286"/>
      <c r="O1017" s="286"/>
      <c r="P1017" s="286"/>
      <c r="Q1017" s="286"/>
      <c r="R1017" s="286"/>
      <c r="S1017" s="286"/>
      <c r="T1017" s="286"/>
      <c r="U1017" s="286"/>
      <c r="V1017" s="286"/>
      <c r="W1017" s="286"/>
      <c r="X1017" s="286"/>
      <c r="Y1017" s="286"/>
      <c r="Z1017" s="286"/>
      <c r="AA1017" s="286"/>
      <c r="AB1017" s="286"/>
      <c r="AC1017" s="28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05"/>
  <sheetViews>
    <sheetView zoomScaleNormal="100" workbookViewId="0">
      <pane xSplit="1" ySplit="3" topLeftCell="B112" activePane="bottomRight" state="frozen"/>
      <selection pane="topRight" activeCell="B1" sqref="B1"/>
      <selection pane="bottomLeft" activeCell="A4" sqref="A4"/>
      <selection pane="bottomRight" activeCell="B127" sqref="B127"/>
    </sheetView>
  </sheetViews>
  <sheetFormatPr defaultColWidth="14.42578125" defaultRowHeight="15.75" customHeight="1"/>
  <cols>
    <col min="1" max="1" width="21.42578125" customWidth="1"/>
    <col min="2" max="2" width="27" customWidth="1"/>
    <col min="3" max="3" width="25.28515625" customWidth="1"/>
    <col min="4" max="4" width="25.5703125" customWidth="1"/>
  </cols>
  <sheetData>
    <row r="1" spans="1:27" ht="15.75" customHeight="1">
      <c r="A1" s="286"/>
      <c r="B1" s="311"/>
      <c r="C1" s="312"/>
      <c r="D1" s="315" t="s">
        <v>131</v>
      </c>
      <c r="E1" s="312"/>
      <c r="F1" s="314"/>
      <c r="G1" s="312"/>
      <c r="H1" s="314"/>
      <c r="I1" s="312"/>
      <c r="J1" s="312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</row>
    <row r="2" spans="1:27" ht="15.75" customHeight="1">
      <c r="A2" s="286"/>
      <c r="B2" s="311" t="s">
        <v>130</v>
      </c>
      <c r="C2" s="312"/>
      <c r="D2" s="312" t="s">
        <v>133</v>
      </c>
      <c r="E2" s="312" t="s">
        <v>97</v>
      </c>
      <c r="F2" s="314" t="s">
        <v>98</v>
      </c>
      <c r="G2" s="312" t="s">
        <v>99</v>
      </c>
      <c r="H2" s="314" t="s">
        <v>135</v>
      </c>
      <c r="I2" s="312" t="s">
        <v>101</v>
      </c>
      <c r="J2" s="312" t="s">
        <v>134</v>
      </c>
      <c r="K2" s="286"/>
      <c r="L2" s="286"/>
      <c r="M2" s="286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</row>
    <row r="3" spans="1:27" ht="15.75" customHeight="1">
      <c r="A3" s="286"/>
      <c r="B3" s="311">
        <f>SUM(B4:B24)</f>
        <v>7384.9000000000005</v>
      </c>
      <c r="C3" s="312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</row>
    <row r="4" spans="1:27" ht="15.75" customHeight="1">
      <c r="A4" s="314" t="s">
        <v>139</v>
      </c>
      <c r="B4" s="314">
        <v>212</v>
      </c>
      <c r="C4" s="317">
        <f>B4/$B$3</f>
        <v>2.8707226908962883E-2</v>
      </c>
      <c r="D4" s="318">
        <f>CONSUMPTION!P5</f>
        <v>2.8633821788983285E-2</v>
      </c>
      <c r="E4" s="318">
        <f>CONSUMPTION!P53</f>
        <v>2.2032952941405795E-2</v>
      </c>
      <c r="F4" s="318">
        <f>CONSUMPTION!P74</f>
        <v>2.2612480540453422E-2</v>
      </c>
      <c r="G4" s="318">
        <f>CONSUMPTION!P82</f>
        <v>0.2554070854329708</v>
      </c>
      <c r="H4" s="318">
        <f>CONSUMPTION!P137</f>
        <v>0.11523357996288809</v>
      </c>
      <c r="I4" s="318">
        <f>CONSUMPTION!P143</f>
        <v>0.43748043620583388</v>
      </c>
      <c r="J4" s="318">
        <f>CONSUMPTION!P162</f>
        <v>0.11859964312746471</v>
      </c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</row>
    <row r="5" spans="1:27" ht="15.75" customHeight="1">
      <c r="A5" s="314"/>
      <c r="B5" s="314"/>
      <c r="C5" s="317"/>
      <c r="D5" s="320">
        <f t="shared" ref="D5:J5" si="0">$B4*D4</f>
        <v>6.0703702192644569</v>
      </c>
      <c r="E5" s="320">
        <f t="shared" si="0"/>
        <v>4.6709860235780285</v>
      </c>
      <c r="F5" s="320">
        <f t="shared" si="0"/>
        <v>4.7938458745761254</v>
      </c>
      <c r="G5" s="320">
        <f t="shared" si="0"/>
        <v>54.146302111789808</v>
      </c>
      <c r="H5" s="320">
        <f t="shared" si="0"/>
        <v>24.429518952132277</v>
      </c>
      <c r="I5" s="320">
        <f t="shared" si="0"/>
        <v>92.745852475636781</v>
      </c>
      <c r="J5" s="320">
        <f t="shared" si="0"/>
        <v>25.143124343022517</v>
      </c>
      <c r="K5" s="286"/>
      <c r="L5" s="286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</row>
    <row r="6" spans="1:27" ht="15.75" customHeight="1">
      <c r="A6" s="314" t="s">
        <v>137</v>
      </c>
      <c r="B6" s="314">
        <v>834.7</v>
      </c>
      <c r="C6" s="317">
        <f>B6/$B$3</f>
        <v>0.11302793538165716</v>
      </c>
      <c r="D6" s="318">
        <f>CONSUMPTION!Z5</f>
        <v>0.24109918924260015</v>
      </c>
      <c r="E6" s="318">
        <f>CONSUMPTION!Z53</f>
        <v>3.477069961085575E-2</v>
      </c>
      <c r="F6" s="318">
        <f>CONSUMPTION!Z74</f>
        <v>0.10300009518289299</v>
      </c>
      <c r="G6" s="318">
        <f>CONSUMPTION!Z82</f>
        <v>0.18216334109086932</v>
      </c>
      <c r="H6" s="318">
        <f>CONSUMPTION!Z137</f>
        <v>5.06462458401035E-2</v>
      </c>
      <c r="I6" s="318">
        <f>CONSUMPTION!Z143</f>
        <v>0.31863082923206532</v>
      </c>
      <c r="J6" s="318">
        <f>CONSUMPTION!Z162</f>
        <v>6.9689599800613039E-2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</row>
    <row r="7" spans="1:27" ht="15.75" customHeight="1">
      <c r="A7" s="314"/>
      <c r="B7" s="314"/>
      <c r="C7" s="317"/>
      <c r="D7" s="320">
        <f t="shared" ref="D7:J7" si="1">$B6*D6</f>
        <v>201.24549326079836</v>
      </c>
      <c r="E7" s="320">
        <f t="shared" si="1"/>
        <v>29.023102965181295</v>
      </c>
      <c r="F7" s="320">
        <f t="shared" si="1"/>
        <v>85.974179449160786</v>
      </c>
      <c r="G7" s="320">
        <f t="shared" si="1"/>
        <v>152.05174080854863</v>
      </c>
      <c r="H7" s="320">
        <f t="shared" si="1"/>
        <v>42.274421402734397</v>
      </c>
      <c r="I7" s="320">
        <f t="shared" si="1"/>
        <v>265.96115316000493</v>
      </c>
      <c r="J7" s="320">
        <f t="shared" si="1"/>
        <v>58.169908953571706</v>
      </c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</row>
    <row r="8" spans="1:27" ht="15.75" customHeight="1">
      <c r="A8" s="314" t="s">
        <v>140</v>
      </c>
      <c r="B8" s="314">
        <v>82.9</v>
      </c>
      <c r="C8" s="317">
        <f>B8/$B$3</f>
        <v>1.1225609012985957E-2</v>
      </c>
      <c r="D8" s="318">
        <f>CONSUMPTION!K5</f>
        <v>1.6245523896837054E-2</v>
      </c>
      <c r="E8" s="318">
        <f>CONSUMPTION!K53</f>
        <v>3.0627132418791975E-2</v>
      </c>
      <c r="F8" s="318">
        <f>CONSUMPTION!K74</f>
        <v>6.3698502317783498E-2</v>
      </c>
      <c r="G8" s="318">
        <f>CONSUMPTION!K82</f>
        <v>0.17268026803250125</v>
      </c>
      <c r="H8" s="318">
        <f>CONSUMPTION!K137</f>
        <v>7.1798553798069931E-2</v>
      </c>
      <c r="I8" s="318">
        <f>CONSUMPTION!K143</f>
        <v>0.55338219752624096</v>
      </c>
      <c r="J8" s="318">
        <f>CONSUMPTION!K162</f>
        <v>9.1567822009775271E-2</v>
      </c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</row>
    <row r="9" spans="1:27" ht="15.75" customHeight="1">
      <c r="A9" s="314"/>
      <c r="B9" s="314"/>
      <c r="C9" s="317"/>
      <c r="D9" s="320">
        <f t="shared" ref="D9:J9" si="2">$B8*D8</f>
        <v>1.3467539310477918</v>
      </c>
      <c r="E9" s="320">
        <f t="shared" si="2"/>
        <v>2.5389892775178549</v>
      </c>
      <c r="F9" s="320">
        <f t="shared" si="2"/>
        <v>5.2806058421442525</v>
      </c>
      <c r="G9" s="320">
        <f t="shared" si="2"/>
        <v>14.315194219894355</v>
      </c>
      <c r="H9" s="320">
        <f t="shared" si="2"/>
        <v>5.9521001098599973</v>
      </c>
      <c r="I9" s="320">
        <f t="shared" si="2"/>
        <v>45.875384174925379</v>
      </c>
      <c r="J9" s="320">
        <f t="shared" si="2"/>
        <v>7.5909724446103706</v>
      </c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</row>
    <row r="10" spans="1:27" ht="15.75" customHeight="1">
      <c r="A10" s="314" t="s">
        <v>71</v>
      </c>
      <c r="B10" s="314">
        <v>134</v>
      </c>
      <c r="C10" s="317">
        <f>B10/$B$3</f>
        <v>1.8145133989627481E-2</v>
      </c>
      <c r="D10" s="318">
        <f>CONSUMPTION!U5</f>
        <v>3.2035257912963987E-2</v>
      </c>
      <c r="E10" s="318">
        <f>CONSUMPTION!U53</f>
        <v>6.4615869431677353E-2</v>
      </c>
      <c r="F10" s="318">
        <f>CONSUMPTION!U74</f>
        <v>3.345827036240278E-2</v>
      </c>
      <c r="G10" s="318">
        <f>CONSUMPTION!U82</f>
        <v>0.20850928142890707</v>
      </c>
      <c r="H10" s="318">
        <f>CONSUMPTION!U137</f>
        <v>0.17696152820196115</v>
      </c>
      <c r="I10" s="318">
        <f>CONSUMPTION!U143</f>
        <v>0.29148287940845347</v>
      </c>
      <c r="J10" s="318">
        <f>CONSUMPTION!U162</f>
        <v>0.1929369132536341</v>
      </c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</row>
    <row r="11" spans="1:27" ht="15.75" customHeight="1">
      <c r="A11" s="314"/>
      <c r="B11" s="314"/>
      <c r="C11" s="317"/>
      <c r="D11" s="320">
        <f t="shared" ref="D11:J11" si="3">$B10*D10</f>
        <v>4.2927245603371746</v>
      </c>
      <c r="E11" s="320">
        <f t="shared" si="3"/>
        <v>8.6585265038447652</v>
      </c>
      <c r="F11" s="320">
        <f t="shared" si="3"/>
        <v>4.4834082285619727</v>
      </c>
      <c r="G11" s="320">
        <f t="shared" si="3"/>
        <v>27.940243711473546</v>
      </c>
      <c r="H11" s="320">
        <f t="shared" si="3"/>
        <v>23.712844779062795</v>
      </c>
      <c r="I11" s="320">
        <f t="shared" si="3"/>
        <v>39.058705840732763</v>
      </c>
      <c r="J11" s="320">
        <f t="shared" si="3"/>
        <v>25.853546375986969</v>
      </c>
      <c r="K11" s="286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</row>
    <row r="12" spans="1:27" ht="15.75" customHeight="1">
      <c r="A12" s="314" t="s">
        <v>125</v>
      </c>
      <c r="B12" s="314">
        <v>841</v>
      </c>
      <c r="C12" s="317">
        <f>B12/$B$3</f>
        <v>0.11388102750206501</v>
      </c>
      <c r="D12" s="318">
        <f>CONSUMPTION!F5</f>
        <v>3.8785339306124253E-2</v>
      </c>
      <c r="E12" s="318">
        <f>CONSUMPTION!F53</f>
        <v>5.1924489054770782E-2</v>
      </c>
      <c r="F12" s="318">
        <f>CONSUMPTION!F74</f>
        <v>0.14953652986190472</v>
      </c>
      <c r="G12" s="318">
        <f>CONSUMPTION!F82</f>
        <v>0.41366893744998845</v>
      </c>
      <c r="H12" s="318">
        <f>CONSUMPTION!F137</f>
        <v>0.16627350118493034</v>
      </c>
      <c r="I12" s="318">
        <f>CONSUMPTION!F143</f>
        <v>3.1018438930037952E-2</v>
      </c>
      <c r="J12" s="318">
        <f>CONSUMPTION!F162</f>
        <v>0.14879276421224349</v>
      </c>
      <c r="K12" s="286"/>
      <c r="L12" s="286"/>
      <c r="M12" s="286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</row>
    <row r="13" spans="1:27" ht="15.75" customHeight="1">
      <c r="A13" s="314"/>
      <c r="B13" s="314"/>
      <c r="C13" s="317"/>
      <c r="D13" s="320">
        <f t="shared" ref="D13:J13" si="4">$B12*D12</f>
        <v>32.618470356450494</v>
      </c>
      <c r="E13" s="320">
        <f t="shared" si="4"/>
        <v>43.668495295062229</v>
      </c>
      <c r="F13" s="320">
        <f t="shared" si="4"/>
        <v>125.76022161386187</v>
      </c>
      <c r="G13" s="320">
        <f t="shared" si="4"/>
        <v>347.89557639544029</v>
      </c>
      <c r="H13" s="320">
        <f t="shared" si="4"/>
        <v>139.83601449652642</v>
      </c>
      <c r="I13" s="320">
        <f t="shared" si="4"/>
        <v>26.086507140161917</v>
      </c>
      <c r="J13" s="320">
        <f t="shared" si="4"/>
        <v>125.13471470249678</v>
      </c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</row>
    <row r="14" spans="1:27" ht="15.75" customHeight="1">
      <c r="A14" s="314" t="s">
        <v>72</v>
      </c>
      <c r="B14" s="314">
        <v>155</v>
      </c>
      <c r="C14" s="317">
        <f>B14/$B$3</f>
        <v>2.0988774390987012E-2</v>
      </c>
      <c r="D14" s="318">
        <f>CONSUMPTION!AE5</f>
        <v>4.3336749542266975E-2</v>
      </c>
      <c r="E14" s="318">
        <f>CONSUMPTION!AE53</f>
        <v>3.4273762115495564E-2</v>
      </c>
      <c r="F14" s="318">
        <f>CONSUMPTION!AE74</f>
        <v>6.4269978300628999E-2</v>
      </c>
      <c r="G14" s="318">
        <f>CONSUMPTION!AE82</f>
        <v>0.12788100525737855</v>
      </c>
      <c r="H14" s="318">
        <f>CONSUMPTION!AE137</f>
        <v>5.6442598267971919E-2</v>
      </c>
      <c r="I14" s="318">
        <f>CONSUMPTION!AE143</f>
        <v>0.62658209596947734</v>
      </c>
      <c r="J14" s="318">
        <f>CONSUMPTION!AE162</f>
        <v>4.7213810546780671E-2</v>
      </c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</row>
    <row r="15" spans="1:27" ht="15.75" customHeight="1">
      <c r="A15" s="314"/>
      <c r="B15" s="314"/>
      <c r="C15" s="317"/>
      <c r="D15" s="320">
        <f t="shared" ref="D15:J15" si="5">$B14*D14</f>
        <v>6.7171961790513812</v>
      </c>
      <c r="E15" s="320">
        <f t="shared" si="5"/>
        <v>5.3124331279018122</v>
      </c>
      <c r="F15" s="320">
        <f t="shared" si="5"/>
        <v>9.9618466365974943</v>
      </c>
      <c r="G15" s="320">
        <f t="shared" si="5"/>
        <v>19.821555814893674</v>
      </c>
      <c r="H15" s="320">
        <f t="shared" si="5"/>
        <v>8.748602731535648</v>
      </c>
      <c r="I15" s="320">
        <f t="shared" si="5"/>
        <v>97.120224875268988</v>
      </c>
      <c r="J15" s="320">
        <f t="shared" si="5"/>
        <v>7.3181406347510043</v>
      </c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</row>
    <row r="16" spans="1:27" ht="15.75" customHeight="1">
      <c r="A16" s="314" t="s">
        <v>66</v>
      </c>
      <c r="B16" s="314">
        <v>1130</v>
      </c>
      <c r="C16" s="317">
        <f>B16/$B$3</f>
        <v>0.1530149358826795</v>
      </c>
      <c r="D16" s="318">
        <f>CONSUMPTION!AJ5</f>
        <v>3.0786872474324933E-2</v>
      </c>
      <c r="E16" s="318">
        <f>CONSUMPTION!AJ53</f>
        <v>5.0714962717448742E-2</v>
      </c>
      <c r="F16" s="318">
        <f>CONSUMPTION!AJ74</f>
        <v>0.10141960449665804</v>
      </c>
      <c r="G16" s="318">
        <f>CONSUMPTION!AJ82</f>
        <v>0.14436662857348737</v>
      </c>
      <c r="H16" s="318">
        <f>CONSUMPTION!AJ137</f>
        <v>3.9599534412529801E-2</v>
      </c>
      <c r="I16" s="318">
        <f>CONSUMPTION!AJ143</f>
        <v>0.59766709560996778</v>
      </c>
      <c r="J16" s="318">
        <f>CONSUMPTION!AJ162</f>
        <v>3.5445301715583258E-2</v>
      </c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</row>
    <row r="17" spans="1:27" ht="15.75" customHeight="1">
      <c r="A17" s="314"/>
      <c r="B17" s="314"/>
      <c r="C17" s="317"/>
      <c r="D17" s="320">
        <f t="shared" ref="D17:J17" si="6">$B16*D16</f>
        <v>34.789165895987175</v>
      </c>
      <c r="E17" s="320">
        <f t="shared" si="6"/>
        <v>57.307907870717081</v>
      </c>
      <c r="F17" s="320">
        <f t="shared" si="6"/>
        <v>114.60415308122359</v>
      </c>
      <c r="G17" s="320">
        <f t="shared" si="6"/>
        <v>163.13429028804072</v>
      </c>
      <c r="H17" s="320">
        <f t="shared" si="6"/>
        <v>44.747473886158673</v>
      </c>
      <c r="I17" s="320">
        <f t="shared" si="6"/>
        <v>675.36381803926361</v>
      </c>
      <c r="J17" s="320">
        <f t="shared" si="6"/>
        <v>40.053190938609085</v>
      </c>
      <c r="K17" s="286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</row>
    <row r="18" spans="1:27" ht="15.75" customHeight="1">
      <c r="A18" s="314" t="s">
        <v>67</v>
      </c>
      <c r="B18" s="314">
        <v>883</v>
      </c>
      <c r="C18" s="317">
        <f>B18/$B$3</f>
        <v>0.11956830830478407</v>
      </c>
      <c r="D18" s="318">
        <f>CONSUMPTION!AO5</f>
        <v>7.2161163030406331E-2</v>
      </c>
      <c r="E18" s="318">
        <f>CONSUMPTION!AO53</f>
        <v>7.1467460651506734E-2</v>
      </c>
      <c r="F18" s="318">
        <f>CONSUMPTION!AO74</f>
        <v>0.13803526455279702</v>
      </c>
      <c r="G18" s="318">
        <f>CONSUMPTION!AO82</f>
        <v>0.20009573181879275</v>
      </c>
      <c r="H18" s="318">
        <f>CONSUMPTION!AO137</f>
        <v>5.2289867901283024E-2</v>
      </c>
      <c r="I18" s="318">
        <f>CONSUMPTION!AO143</f>
        <v>0.35326388420635696</v>
      </c>
      <c r="J18" s="318">
        <f>CONSUMPTION!AO162</f>
        <v>0.11268662783885723</v>
      </c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</row>
    <row r="19" spans="1:27" ht="15.75" customHeight="1">
      <c r="A19" s="314"/>
      <c r="B19" s="314"/>
      <c r="C19" s="317"/>
      <c r="D19" s="320">
        <f t="shared" ref="D19:J19" si="7">$B18*D18</f>
        <v>63.718306955848789</v>
      </c>
      <c r="E19" s="320">
        <f t="shared" si="7"/>
        <v>63.105767755280446</v>
      </c>
      <c r="F19" s="320">
        <f t="shared" si="7"/>
        <v>121.88513860011977</v>
      </c>
      <c r="G19" s="320">
        <f t="shared" si="7"/>
        <v>176.684531195994</v>
      </c>
      <c r="H19" s="320">
        <f t="shared" si="7"/>
        <v>46.171953356832908</v>
      </c>
      <c r="I19" s="320">
        <f t="shared" si="7"/>
        <v>311.9320097542132</v>
      </c>
      <c r="J19" s="320">
        <f t="shared" si="7"/>
        <v>99.50229238171093</v>
      </c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</row>
    <row r="20" spans="1:27" ht="15.75" customHeight="1">
      <c r="A20" s="314" t="s">
        <v>141</v>
      </c>
      <c r="B20" s="314">
        <v>440</v>
      </c>
      <c r="C20" s="317">
        <f>B20/$B$3</f>
        <v>5.9581036980866357E-2</v>
      </c>
      <c r="D20" s="318">
        <f>CONSUMPTION!AT5</f>
        <v>0.14040590857540525</v>
      </c>
      <c r="E20" s="318">
        <f>CONSUMPTION!AT53</f>
        <v>4.0438604088149074E-2</v>
      </c>
      <c r="F20" s="318">
        <f>CONSUMPTION!AT74</f>
        <v>0.28896979225718195</v>
      </c>
      <c r="G20" s="318">
        <f>CONSUMPTION!AT82</f>
        <v>7.6626108407271173E-2</v>
      </c>
      <c r="H20" s="318">
        <f>CONSUMPTION!AT137</f>
        <v>4.5627760775301861E-2</v>
      </c>
      <c r="I20" s="318">
        <f>CONSUMPTION!AT143</f>
        <v>0.31926586536202933</v>
      </c>
      <c r="J20" s="318">
        <f>CONSUMPTION!AT162</f>
        <v>8.8665960534661234E-2</v>
      </c>
      <c r="K20" s="286"/>
      <c r="L20" s="286"/>
      <c r="M20" s="286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</row>
    <row r="21" spans="1:27" ht="15.75" customHeight="1">
      <c r="A21" s="314"/>
      <c r="B21" s="314"/>
      <c r="C21" s="317"/>
      <c r="D21" s="320">
        <f t="shared" ref="D21:J21" si="8">$B20*D20</f>
        <v>61.778599773178307</v>
      </c>
      <c r="E21" s="320">
        <f t="shared" si="8"/>
        <v>17.792985798785594</v>
      </c>
      <c r="F21" s="320">
        <f t="shared" si="8"/>
        <v>127.14670859316006</v>
      </c>
      <c r="G21" s="320">
        <f t="shared" si="8"/>
        <v>33.715487699199315</v>
      </c>
      <c r="H21" s="320">
        <f t="shared" si="8"/>
        <v>20.076214741132819</v>
      </c>
      <c r="I21" s="320">
        <f t="shared" si="8"/>
        <v>140.4769807592929</v>
      </c>
      <c r="J21" s="320">
        <f t="shared" si="8"/>
        <v>39.013022635250941</v>
      </c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</row>
    <row r="22" spans="1:27" ht="15.75" customHeight="1">
      <c r="A22" s="314" t="s">
        <v>138</v>
      </c>
      <c r="B22" s="314">
        <v>2667</v>
      </c>
      <c r="C22" s="317">
        <f>B22/$B$3</f>
        <v>0.36114233097266041</v>
      </c>
      <c r="D22" s="318">
        <f>CONSUMPTION!AY5</f>
        <v>7.4628524236824728E-2</v>
      </c>
      <c r="E22" s="318">
        <f>CONSUMPTION!AY53</f>
        <v>6.9514038464151356E-2</v>
      </c>
      <c r="F22" s="318">
        <f>CONSUMPTION!AY74</f>
        <v>0.20930583341857981</v>
      </c>
      <c r="G22" s="318">
        <f>CONSUMPTION!AY82</f>
        <v>0.1411950902262028</v>
      </c>
      <c r="H22" s="318">
        <f>CONSUMPTION!AY137</f>
        <v>3.4206793564014334E-2</v>
      </c>
      <c r="I22" s="318">
        <f>CONSUMPTION!AY143</f>
        <v>0.39495224524316069</v>
      </c>
      <c r="J22" s="318">
        <f>CONSUMPTION!AY162</f>
        <v>7.6197474847066307E-2</v>
      </c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</row>
    <row r="23" spans="1:27" ht="15.75" customHeight="1">
      <c r="A23" s="314"/>
      <c r="B23" s="314"/>
      <c r="C23" s="317"/>
      <c r="D23" s="320">
        <f t="shared" ref="D23:J23" si="9">$B22*D22</f>
        <v>199.03427413961154</v>
      </c>
      <c r="E23" s="320">
        <f t="shared" si="9"/>
        <v>185.39394058389166</v>
      </c>
      <c r="F23" s="320">
        <f t="shared" si="9"/>
        <v>558.21865772735237</v>
      </c>
      <c r="G23" s="320">
        <f t="shared" si="9"/>
        <v>376.5673056332829</v>
      </c>
      <c r="H23" s="320">
        <f t="shared" si="9"/>
        <v>91.229518435226225</v>
      </c>
      <c r="I23" s="320">
        <f t="shared" si="9"/>
        <v>1053.3376380635095</v>
      </c>
      <c r="J23" s="320">
        <f t="shared" si="9"/>
        <v>203.21866541712583</v>
      </c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</row>
    <row r="24" spans="1:27" ht="15.75" customHeight="1">
      <c r="A24" s="314" t="s">
        <v>76</v>
      </c>
      <c r="B24" s="314">
        <v>5.3</v>
      </c>
      <c r="C24" s="317">
        <f>B24/$B$3</f>
        <v>7.1768067272407203E-4</v>
      </c>
      <c r="D24" s="318">
        <f>CONSUMPTION!BD5</f>
        <v>3.0739222128840355E-2</v>
      </c>
      <c r="E24" s="318">
        <f>CONSUMPTION!BD53</f>
        <v>8.5070976311258983E-2</v>
      </c>
      <c r="F24" s="318">
        <f>CONSUMPTION!BD74</f>
        <v>0.13692352350113227</v>
      </c>
      <c r="G24" s="318">
        <f>CONSUMPTION!BD82</f>
        <v>0.21200601146165543</v>
      </c>
      <c r="H24" s="318">
        <f>CONSUMPTION!BD137</f>
        <v>8.79865999098767E-2</v>
      </c>
      <c r="I24" s="318">
        <f>CONSUMPTION!BD143</f>
        <v>0.4156685272677344</v>
      </c>
      <c r="J24" s="318">
        <f>CONSUMPTION!BD162</f>
        <v>3.1605139419501785E-2</v>
      </c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</row>
    <row r="25" spans="1:27" ht="15">
      <c r="A25" s="286"/>
      <c r="B25" s="286"/>
      <c r="C25" s="286"/>
      <c r="D25" s="320">
        <f t="shared" ref="D25:J25" si="10">$B24*D24</f>
        <v>0.16291787728285387</v>
      </c>
      <c r="E25" s="320">
        <f t="shared" si="10"/>
        <v>0.4508761744496726</v>
      </c>
      <c r="F25" s="320">
        <f t="shared" si="10"/>
        <v>0.72569467455600101</v>
      </c>
      <c r="G25" s="320">
        <f t="shared" si="10"/>
        <v>1.1236318607467737</v>
      </c>
      <c r="H25" s="320">
        <f t="shared" si="10"/>
        <v>0.46632897952234648</v>
      </c>
      <c r="I25" s="320">
        <f t="shared" si="10"/>
        <v>2.2030431945189921</v>
      </c>
      <c r="J25" s="320">
        <f t="shared" si="10"/>
        <v>0.16750723892335945</v>
      </c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</row>
    <row r="26" spans="1:27" ht="15">
      <c r="A26" s="286"/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</row>
    <row r="27" spans="1:27">
      <c r="A27" s="286"/>
      <c r="B27" s="314"/>
      <c r="C27" s="285"/>
      <c r="D27" s="458">
        <f t="shared" ref="D27:J27" si="11">D6+D8+D10+D12+D14+D16+D18+D20+D22+D24</f>
        <v>0.72022375034659403</v>
      </c>
      <c r="E27" s="458">
        <f t="shared" si="11"/>
        <v>0.53341799486410624</v>
      </c>
      <c r="F27" s="458">
        <f t="shared" si="11"/>
        <v>1.2886173942519621</v>
      </c>
      <c r="G27" s="458">
        <f t="shared" si="11"/>
        <v>1.8791924037470538</v>
      </c>
      <c r="H27" s="458">
        <f t="shared" si="11"/>
        <v>0.7818329838560425</v>
      </c>
      <c r="I27" s="458">
        <f t="shared" si="11"/>
        <v>3.9019140587555246</v>
      </c>
      <c r="J27" s="458">
        <f t="shared" si="11"/>
        <v>0.89480141417871639</v>
      </c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</row>
    <row r="28" spans="1:27">
      <c r="A28" s="286"/>
      <c r="B28" s="314" t="s">
        <v>142</v>
      </c>
      <c r="C28" s="285" t="s">
        <v>52</v>
      </c>
      <c r="D28" s="323">
        <f t="shared" ref="D28:J28" si="12">D5+D7+D9+D11+D13+D15+D17+D19+D21+D23+D25</f>
        <v>611.77427314885836</v>
      </c>
      <c r="E28" s="323">
        <f t="shared" si="12"/>
        <v>417.92401137621044</v>
      </c>
      <c r="F28" s="323">
        <f t="shared" si="12"/>
        <v>1158.8344603213145</v>
      </c>
      <c r="G28" s="323">
        <f t="shared" si="12"/>
        <v>1367.3958597393041</v>
      </c>
      <c r="H28" s="323">
        <f t="shared" si="12"/>
        <v>447.64499187072448</v>
      </c>
      <c r="I28" s="323">
        <f t="shared" si="12"/>
        <v>2750.1613174775289</v>
      </c>
      <c r="J28" s="323">
        <f t="shared" si="12"/>
        <v>631.16508606605953</v>
      </c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</row>
    <row r="29" spans="1:27">
      <c r="A29" s="286"/>
      <c r="B29" s="311" t="s">
        <v>142</v>
      </c>
      <c r="C29" s="312"/>
      <c r="D29" s="453">
        <f t="shared" ref="D29:J29" si="13">D28*1000000</f>
        <v>611774273.14885831</v>
      </c>
      <c r="E29" s="453">
        <f t="shared" si="13"/>
        <v>417924011.37621045</v>
      </c>
      <c r="F29" s="453">
        <f t="shared" si="13"/>
        <v>1158834460.3213146</v>
      </c>
      <c r="G29" s="453">
        <f t="shared" si="13"/>
        <v>1367395859.7393041</v>
      </c>
      <c r="H29" s="453">
        <f t="shared" si="13"/>
        <v>447644991.8707245</v>
      </c>
      <c r="I29" s="453">
        <f t="shared" si="13"/>
        <v>2750161317.477529</v>
      </c>
      <c r="J29" s="453">
        <f t="shared" si="13"/>
        <v>631165086.06605959</v>
      </c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</row>
    <row r="30" spans="1:27">
      <c r="A30" s="286"/>
      <c r="B30" s="311" t="s">
        <v>42</v>
      </c>
      <c r="C30" s="312"/>
      <c r="D30" s="453">
        <f>CONSUMPTION!BG5</f>
        <v>643782928</v>
      </c>
      <c r="E30" s="454">
        <f>CONSUMPTION!BG53</f>
        <v>389455861</v>
      </c>
      <c r="F30" s="453">
        <f>CONSUMPTION!BG74</f>
        <v>1310898890</v>
      </c>
      <c r="G30" s="455">
        <f>CONSUMPTION!BG82</f>
        <v>1046254720</v>
      </c>
      <c r="H30" s="456">
        <f>CONSUMPTION!BG137</f>
        <v>331543147</v>
      </c>
      <c r="I30" s="455">
        <f>CONSUMPTION!BG143</f>
        <v>2113393271</v>
      </c>
      <c r="J30" s="455">
        <f>CONSUMPTION!BG162</f>
        <v>581130580</v>
      </c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</row>
    <row r="31" spans="1:27">
      <c r="A31" s="286"/>
      <c r="B31" s="311" t="s">
        <v>144</v>
      </c>
      <c r="C31" s="312"/>
      <c r="D31" s="333">
        <f t="shared" ref="D31:J31" si="14">D29/D30</f>
        <v>0.95028036088098677</v>
      </c>
      <c r="E31" s="333">
        <f t="shared" si="14"/>
        <v>1.0730972447124385</v>
      </c>
      <c r="F31" s="333">
        <f t="shared" si="14"/>
        <v>0.88399987913737155</v>
      </c>
      <c r="G31" s="333">
        <f t="shared" si="14"/>
        <v>1.3069435516996322</v>
      </c>
      <c r="H31" s="333">
        <f t="shared" si="14"/>
        <v>1.3501862304236514</v>
      </c>
      <c r="I31" s="333">
        <f t="shared" si="14"/>
        <v>1.3013012557649659</v>
      </c>
      <c r="J31" s="333">
        <f t="shared" si="14"/>
        <v>1.0860985599244486</v>
      </c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</row>
    <row r="32" spans="1:27">
      <c r="A32" s="286"/>
      <c r="B32" s="311"/>
      <c r="C32" s="312"/>
      <c r="H32" s="314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</row>
    <row r="33" spans="1:27">
      <c r="A33" s="286"/>
      <c r="B33" s="311"/>
      <c r="C33" s="312"/>
      <c r="H33" s="314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</row>
    <row r="34" spans="1:27">
      <c r="A34" s="314"/>
      <c r="B34" s="314"/>
      <c r="C34" s="317"/>
      <c r="D34" s="285" t="s">
        <v>328</v>
      </c>
      <c r="E34" s="286"/>
      <c r="F34" s="286"/>
      <c r="H34" s="314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</row>
    <row r="35" spans="1:27">
      <c r="A35" s="314"/>
      <c r="B35" s="314"/>
      <c r="C35" s="317"/>
      <c r="D35" s="287" t="s">
        <v>108</v>
      </c>
      <c r="E35" s="287" t="s">
        <v>109</v>
      </c>
      <c r="F35" s="287" t="s">
        <v>110</v>
      </c>
      <c r="H35" s="314"/>
      <c r="I35" s="320"/>
      <c r="J35" s="320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</row>
    <row r="36" spans="1:27">
      <c r="A36" s="314"/>
      <c r="B36" s="314"/>
      <c r="C36" s="317"/>
      <c r="D36" s="222" t="s">
        <v>65</v>
      </c>
      <c r="E36" s="222" t="s">
        <v>115</v>
      </c>
      <c r="F36" s="457">
        <f>D23</f>
        <v>199.03427413961154</v>
      </c>
      <c r="H36" s="314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</row>
    <row r="37" spans="1:27">
      <c r="A37" s="314"/>
      <c r="B37" s="314"/>
      <c r="C37" s="317"/>
      <c r="D37" s="222" t="s">
        <v>65</v>
      </c>
      <c r="E37" s="222" t="s">
        <v>95</v>
      </c>
      <c r="F37" s="457">
        <f>E23</f>
        <v>185.39394058389166</v>
      </c>
      <c r="H37" s="314"/>
      <c r="I37" s="320"/>
      <c r="J37" s="320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</row>
    <row r="38" spans="1:27">
      <c r="A38" s="314"/>
      <c r="B38" s="314"/>
      <c r="C38" s="317"/>
      <c r="D38" s="222" t="s">
        <v>65</v>
      </c>
      <c r="E38" s="222" t="s">
        <v>116</v>
      </c>
      <c r="F38" s="457">
        <f>F23</f>
        <v>558.21865772735237</v>
      </c>
      <c r="H38" s="314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</row>
    <row r="39" spans="1:27">
      <c r="A39" s="314"/>
      <c r="B39" s="314"/>
      <c r="C39" s="317"/>
      <c r="D39" s="222" t="s">
        <v>65</v>
      </c>
      <c r="E39" s="222" t="s">
        <v>103</v>
      </c>
      <c r="F39" s="457">
        <f>G23</f>
        <v>376.5673056332829</v>
      </c>
      <c r="H39" s="314"/>
      <c r="I39" s="320"/>
      <c r="J39" s="320"/>
      <c r="K39" s="286"/>
      <c r="L39" s="286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</row>
    <row r="40" spans="1:27">
      <c r="A40" s="314"/>
      <c r="B40" s="314"/>
      <c r="C40" s="317"/>
      <c r="D40" s="222" t="s">
        <v>65</v>
      </c>
      <c r="E40" s="222" t="s">
        <v>117</v>
      </c>
      <c r="F40" s="457">
        <f>H23</f>
        <v>91.229518435226225</v>
      </c>
      <c r="H40" s="314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</row>
    <row r="41" spans="1:27">
      <c r="A41" s="314"/>
      <c r="B41" s="314"/>
      <c r="C41" s="317"/>
      <c r="D41" s="222" t="s">
        <v>65</v>
      </c>
      <c r="E41" s="222" t="s">
        <v>119</v>
      </c>
      <c r="F41" s="457">
        <f>I23</f>
        <v>1053.3376380635095</v>
      </c>
      <c r="H41" s="314"/>
      <c r="I41" s="320"/>
      <c r="J41" s="320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</row>
    <row r="42" spans="1:27">
      <c r="A42" s="314"/>
      <c r="B42" s="314"/>
      <c r="C42" s="317"/>
      <c r="D42" s="222" t="s">
        <v>65</v>
      </c>
      <c r="E42" s="222" t="s">
        <v>121</v>
      </c>
      <c r="F42" s="457">
        <f>J23</f>
        <v>203.21866541712583</v>
      </c>
      <c r="H42" s="314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</row>
    <row r="43" spans="1:27">
      <c r="A43" s="314"/>
      <c r="B43" s="314"/>
      <c r="C43" s="317"/>
      <c r="D43" s="222" t="s">
        <v>66</v>
      </c>
      <c r="E43" s="222" t="s">
        <v>115</v>
      </c>
      <c r="F43" s="457">
        <f>D17</f>
        <v>34.789165895987175</v>
      </c>
      <c r="H43" s="314"/>
      <c r="I43" s="320"/>
      <c r="J43" s="320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</row>
    <row r="44" spans="1:27">
      <c r="A44" s="314"/>
      <c r="B44" s="314"/>
      <c r="C44" s="317"/>
      <c r="D44" s="222" t="s">
        <v>66</v>
      </c>
      <c r="E44" s="222" t="s">
        <v>95</v>
      </c>
      <c r="F44" s="457">
        <f>E17</f>
        <v>57.307907870717081</v>
      </c>
      <c r="H44" s="314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</row>
    <row r="45" spans="1:27">
      <c r="A45" s="314"/>
      <c r="B45" s="314"/>
      <c r="C45" s="317"/>
      <c r="D45" s="222" t="s">
        <v>66</v>
      </c>
      <c r="E45" s="222" t="s">
        <v>116</v>
      </c>
      <c r="F45" s="457">
        <f>F17</f>
        <v>114.60415308122359</v>
      </c>
      <c r="H45" s="314"/>
      <c r="I45" s="320"/>
      <c r="J45" s="320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</row>
    <row r="46" spans="1:27">
      <c r="A46" s="314"/>
      <c r="B46" s="314"/>
      <c r="C46" s="317"/>
      <c r="D46" s="222" t="s">
        <v>66</v>
      </c>
      <c r="E46" s="222" t="s">
        <v>103</v>
      </c>
      <c r="F46" s="457">
        <f>G17</f>
        <v>163.13429028804072</v>
      </c>
      <c r="H46" s="314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</row>
    <row r="47" spans="1:27">
      <c r="A47" s="314"/>
      <c r="B47" s="314"/>
      <c r="C47" s="317"/>
      <c r="D47" s="222" t="s">
        <v>66</v>
      </c>
      <c r="E47" s="222" t="s">
        <v>117</v>
      </c>
      <c r="F47" s="457">
        <f>H17</f>
        <v>44.747473886158673</v>
      </c>
      <c r="H47" s="314"/>
      <c r="I47" s="320"/>
      <c r="J47" s="320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</row>
    <row r="48" spans="1:27">
      <c r="A48" s="314"/>
      <c r="B48" s="314"/>
      <c r="C48" s="317"/>
      <c r="D48" s="222" t="s">
        <v>66</v>
      </c>
      <c r="E48" s="222" t="s">
        <v>119</v>
      </c>
      <c r="F48" s="457">
        <f>I17</f>
        <v>675.36381803926361</v>
      </c>
      <c r="H48" s="314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</row>
    <row r="49" spans="1:27">
      <c r="A49" s="314"/>
      <c r="B49" s="314"/>
      <c r="C49" s="317"/>
      <c r="D49" s="222" t="s">
        <v>66</v>
      </c>
      <c r="E49" s="222" t="s">
        <v>121</v>
      </c>
      <c r="F49" s="457">
        <f>J17</f>
        <v>40.053190938609085</v>
      </c>
      <c r="H49" s="314"/>
      <c r="I49" s="320"/>
      <c r="J49" s="320"/>
      <c r="K49" s="286"/>
      <c r="L49" s="286"/>
      <c r="M49" s="286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</row>
    <row r="50" spans="1:27">
      <c r="A50" s="314"/>
      <c r="B50" s="314"/>
      <c r="C50" s="317"/>
      <c r="D50" s="222" t="s">
        <v>67</v>
      </c>
      <c r="E50" s="222" t="s">
        <v>115</v>
      </c>
      <c r="F50" s="457">
        <f>D19</f>
        <v>63.718306955848789</v>
      </c>
      <c r="H50" s="314"/>
      <c r="I50" s="286"/>
      <c r="J50" s="286"/>
      <c r="K50" s="286"/>
      <c r="L50" s="286"/>
      <c r="M50" s="286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</row>
    <row r="51" spans="1:27">
      <c r="A51" s="314"/>
      <c r="B51" s="314"/>
      <c r="C51" s="317"/>
      <c r="D51" s="222" t="s">
        <v>67</v>
      </c>
      <c r="E51" s="222" t="s">
        <v>95</v>
      </c>
      <c r="F51" s="457">
        <f>E19</f>
        <v>63.105767755280446</v>
      </c>
      <c r="H51" s="314"/>
      <c r="I51" s="320"/>
      <c r="J51" s="320"/>
      <c r="K51" s="286"/>
      <c r="L51" s="286"/>
      <c r="M51" s="286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</row>
    <row r="52" spans="1:27">
      <c r="A52" s="314"/>
      <c r="B52" s="314"/>
      <c r="C52" s="317"/>
      <c r="D52" s="222" t="s">
        <v>67</v>
      </c>
      <c r="E52" s="222" t="s">
        <v>116</v>
      </c>
      <c r="F52" s="457">
        <f>F19</f>
        <v>121.88513860011977</v>
      </c>
      <c r="H52" s="314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</row>
    <row r="53" spans="1:27">
      <c r="A53" s="314"/>
      <c r="B53" s="314"/>
      <c r="C53" s="317"/>
      <c r="D53" s="222" t="s">
        <v>67</v>
      </c>
      <c r="E53" s="222" t="s">
        <v>103</v>
      </c>
      <c r="F53" s="457">
        <f>G19</f>
        <v>176.684531195994</v>
      </c>
      <c r="H53" s="314"/>
      <c r="I53" s="320"/>
      <c r="J53" s="320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</row>
    <row r="54" spans="1:27">
      <c r="A54" s="314"/>
      <c r="B54" s="314"/>
      <c r="C54" s="317"/>
      <c r="D54" s="222" t="s">
        <v>67</v>
      </c>
      <c r="E54" s="222" t="s">
        <v>117</v>
      </c>
      <c r="F54" s="457">
        <f>H19</f>
        <v>46.171953356832908</v>
      </c>
      <c r="H54" s="314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</row>
    <row r="55" spans="1:27">
      <c r="A55" s="286"/>
      <c r="B55" s="286"/>
      <c r="C55" s="286"/>
      <c r="D55" s="222" t="s">
        <v>67</v>
      </c>
      <c r="E55" s="222" t="s">
        <v>119</v>
      </c>
      <c r="F55" s="457">
        <f>I19</f>
        <v>311.9320097542132</v>
      </c>
      <c r="H55" s="314"/>
      <c r="I55" s="320"/>
      <c r="J55" s="320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</row>
    <row r="56" spans="1:27">
      <c r="A56" s="286"/>
      <c r="B56" s="286"/>
      <c r="C56" s="286"/>
      <c r="D56" s="222" t="s">
        <v>67</v>
      </c>
      <c r="E56" s="222" t="s">
        <v>121</v>
      </c>
      <c r="F56" s="457">
        <f>J19</f>
        <v>99.50229238171093</v>
      </c>
      <c r="H56" s="314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</row>
    <row r="57" spans="1:27">
      <c r="A57" s="286"/>
      <c r="B57" s="286"/>
      <c r="C57" s="286"/>
      <c r="D57" s="222" t="s">
        <v>125</v>
      </c>
      <c r="E57" s="222" t="s">
        <v>115</v>
      </c>
      <c r="F57" s="457">
        <f>D13</f>
        <v>32.618470356450494</v>
      </c>
      <c r="H57" s="314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</row>
    <row r="58" spans="1:27">
      <c r="A58" s="286"/>
      <c r="B58" s="286"/>
      <c r="C58" s="286"/>
      <c r="D58" s="222" t="s">
        <v>125</v>
      </c>
      <c r="E58" s="222" t="s">
        <v>95</v>
      </c>
      <c r="F58" s="457">
        <f>E13</f>
        <v>43.668495295062229</v>
      </c>
      <c r="H58" s="314"/>
      <c r="I58" s="286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</row>
    <row r="59" spans="1:27">
      <c r="A59" s="286"/>
      <c r="B59" s="286"/>
      <c r="C59" s="286"/>
      <c r="D59" s="222" t="s">
        <v>125</v>
      </c>
      <c r="E59" s="222" t="s">
        <v>116</v>
      </c>
      <c r="F59" s="457">
        <f>F13</f>
        <v>125.76022161386187</v>
      </c>
      <c r="H59" s="314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</row>
    <row r="60" spans="1:27">
      <c r="A60" s="286"/>
      <c r="B60" s="286"/>
      <c r="C60" s="286"/>
      <c r="D60" s="222" t="s">
        <v>125</v>
      </c>
      <c r="E60" s="222" t="s">
        <v>103</v>
      </c>
      <c r="F60" s="457">
        <f>G13</f>
        <v>347.89557639544029</v>
      </c>
      <c r="H60" s="314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</row>
    <row r="61" spans="1:27">
      <c r="A61" s="286"/>
      <c r="B61" s="286"/>
      <c r="C61" s="286"/>
      <c r="D61" s="222" t="s">
        <v>125</v>
      </c>
      <c r="E61" s="222" t="s">
        <v>117</v>
      </c>
      <c r="F61" s="457">
        <f>H13</f>
        <v>139.83601449652642</v>
      </c>
      <c r="H61" s="314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</row>
    <row r="62" spans="1:27">
      <c r="A62" s="286"/>
      <c r="B62" s="286"/>
      <c r="C62" s="286"/>
      <c r="D62" s="222" t="s">
        <v>125</v>
      </c>
      <c r="E62" s="222" t="s">
        <v>119</v>
      </c>
      <c r="F62" s="457">
        <f>I13</f>
        <v>26.086507140161917</v>
      </c>
      <c r="H62" s="314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</row>
    <row r="63" spans="1:27">
      <c r="A63" s="286"/>
      <c r="B63" s="286"/>
      <c r="C63" s="286"/>
      <c r="D63" s="222" t="s">
        <v>125</v>
      </c>
      <c r="E63" s="222" t="s">
        <v>121</v>
      </c>
      <c r="F63" s="457">
        <f>J13</f>
        <v>125.13471470249678</v>
      </c>
      <c r="H63" s="314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</row>
    <row r="64" spans="1:27">
      <c r="A64" s="286"/>
      <c r="B64" s="286"/>
      <c r="C64" s="286"/>
      <c r="D64" s="222" t="s">
        <v>114</v>
      </c>
      <c r="E64" s="222" t="s">
        <v>115</v>
      </c>
      <c r="F64" s="457">
        <f>D7</f>
        <v>201.24549326079836</v>
      </c>
      <c r="H64" s="314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</row>
    <row r="65" spans="1:27">
      <c r="A65" s="286"/>
      <c r="B65" s="286"/>
      <c r="C65" s="286"/>
      <c r="D65" s="222" t="s">
        <v>114</v>
      </c>
      <c r="E65" s="222" t="s">
        <v>95</v>
      </c>
      <c r="F65" s="457">
        <f>E7</f>
        <v>29.023102965181295</v>
      </c>
      <c r="H65" s="314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</row>
    <row r="66" spans="1:27">
      <c r="A66" s="286"/>
      <c r="B66" s="286"/>
      <c r="C66" s="286"/>
      <c r="D66" s="222" t="s">
        <v>114</v>
      </c>
      <c r="E66" s="222" t="s">
        <v>116</v>
      </c>
      <c r="F66" s="457">
        <f>F7</f>
        <v>85.974179449160786</v>
      </c>
      <c r="H66" s="314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</row>
    <row r="67" spans="1:27">
      <c r="A67" s="286"/>
      <c r="B67" s="286"/>
      <c r="C67" s="286"/>
      <c r="D67" s="222" t="s">
        <v>114</v>
      </c>
      <c r="E67" s="222" t="s">
        <v>103</v>
      </c>
      <c r="F67" s="457">
        <f>G7</f>
        <v>152.05174080854863</v>
      </c>
      <c r="H67" s="314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</row>
    <row r="68" spans="1:27">
      <c r="A68" s="286"/>
      <c r="B68" s="286"/>
      <c r="C68" s="286"/>
      <c r="D68" s="222" t="s">
        <v>114</v>
      </c>
      <c r="E68" s="222" t="s">
        <v>117</v>
      </c>
      <c r="F68" s="457">
        <f>H7</f>
        <v>42.274421402734397</v>
      </c>
      <c r="H68" s="314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</row>
    <row r="69" spans="1:27">
      <c r="A69" s="286"/>
      <c r="B69" s="286"/>
      <c r="C69" s="286"/>
      <c r="D69" s="222" t="s">
        <v>114</v>
      </c>
      <c r="E69" s="222" t="s">
        <v>119</v>
      </c>
      <c r="F69" s="457">
        <f>I7</f>
        <v>265.96115316000493</v>
      </c>
      <c r="H69" s="314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</row>
    <row r="70" spans="1:27">
      <c r="A70" s="286"/>
      <c r="B70" s="286"/>
      <c r="C70" s="286"/>
      <c r="D70" s="222" t="s">
        <v>114</v>
      </c>
      <c r="E70" s="222" t="s">
        <v>121</v>
      </c>
      <c r="F70" s="457">
        <f>J7</f>
        <v>58.169908953571706</v>
      </c>
      <c r="H70" s="314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</row>
    <row r="71" spans="1:27">
      <c r="A71" s="286"/>
      <c r="B71" s="286"/>
      <c r="C71" s="286"/>
      <c r="D71" s="222" t="s">
        <v>141</v>
      </c>
      <c r="E71" s="222" t="s">
        <v>115</v>
      </c>
      <c r="F71" s="457">
        <f>D21</f>
        <v>61.778599773178307</v>
      </c>
      <c r="H71" s="314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</row>
    <row r="72" spans="1:27">
      <c r="A72" s="286"/>
      <c r="B72" s="286"/>
      <c r="C72" s="286"/>
      <c r="D72" s="222" t="s">
        <v>141</v>
      </c>
      <c r="E72" s="222" t="s">
        <v>95</v>
      </c>
      <c r="F72" s="457">
        <f>E21</f>
        <v>17.792985798785594</v>
      </c>
      <c r="H72" s="314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</row>
    <row r="73" spans="1:27">
      <c r="A73" s="286"/>
      <c r="B73" s="286"/>
      <c r="C73" s="286"/>
      <c r="D73" s="222" t="s">
        <v>141</v>
      </c>
      <c r="E73" s="222" t="s">
        <v>116</v>
      </c>
      <c r="F73" s="457">
        <f>F21</f>
        <v>127.14670859316006</v>
      </c>
      <c r="H73" s="314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</row>
    <row r="74" spans="1:27">
      <c r="A74" s="286"/>
      <c r="B74" s="286"/>
      <c r="C74" s="286"/>
      <c r="D74" s="222" t="s">
        <v>141</v>
      </c>
      <c r="E74" s="222" t="s">
        <v>103</v>
      </c>
      <c r="F74" s="457">
        <f>G21</f>
        <v>33.715487699199315</v>
      </c>
      <c r="H74" s="314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</row>
    <row r="75" spans="1:27">
      <c r="A75" s="286"/>
      <c r="B75" s="286"/>
      <c r="C75" s="286"/>
      <c r="D75" s="222" t="s">
        <v>141</v>
      </c>
      <c r="E75" s="222" t="s">
        <v>117</v>
      </c>
      <c r="F75" s="457">
        <f>H21</f>
        <v>20.076214741132819</v>
      </c>
      <c r="H75" s="314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</row>
    <row r="76" spans="1:27">
      <c r="A76" s="286"/>
      <c r="B76" s="286"/>
      <c r="C76" s="286"/>
      <c r="D76" s="222" t="s">
        <v>141</v>
      </c>
      <c r="E76" s="222" t="s">
        <v>119</v>
      </c>
      <c r="F76" s="457">
        <f>I21</f>
        <v>140.4769807592929</v>
      </c>
      <c r="H76" s="314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</row>
    <row r="77" spans="1:27">
      <c r="A77" s="286"/>
      <c r="B77" s="286"/>
      <c r="C77" s="286"/>
      <c r="D77" s="222" t="s">
        <v>141</v>
      </c>
      <c r="E77" s="222" t="s">
        <v>121</v>
      </c>
      <c r="F77" s="457">
        <f>J21</f>
        <v>39.013022635250941</v>
      </c>
      <c r="H77" s="314"/>
      <c r="I77" s="286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</row>
    <row r="78" spans="1:27">
      <c r="A78" s="286"/>
      <c r="B78" s="286"/>
      <c r="C78" s="286"/>
      <c r="D78" s="222" t="s">
        <v>123</v>
      </c>
      <c r="E78" s="222" t="s">
        <v>115</v>
      </c>
      <c r="F78" s="457">
        <f>D5</f>
        <v>6.0703702192644569</v>
      </c>
      <c r="H78" s="314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</row>
    <row r="79" spans="1:27">
      <c r="A79" s="286"/>
      <c r="B79" s="286"/>
      <c r="C79" s="286"/>
      <c r="D79" s="222" t="s">
        <v>123</v>
      </c>
      <c r="E79" s="222" t="s">
        <v>95</v>
      </c>
      <c r="F79" s="457">
        <f>E5</f>
        <v>4.6709860235780285</v>
      </c>
      <c r="H79" s="314"/>
      <c r="I79" s="286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</row>
    <row r="80" spans="1:27">
      <c r="A80" s="286"/>
      <c r="B80" s="286"/>
      <c r="C80" s="286"/>
      <c r="D80" s="222" t="s">
        <v>123</v>
      </c>
      <c r="E80" s="222" t="s">
        <v>116</v>
      </c>
      <c r="F80" s="457">
        <f>F5</f>
        <v>4.7938458745761254</v>
      </c>
      <c r="H80" s="314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</row>
    <row r="81" spans="1:27">
      <c r="A81" s="286"/>
      <c r="B81" s="286"/>
      <c r="C81" s="286"/>
      <c r="D81" s="222" t="s">
        <v>123</v>
      </c>
      <c r="E81" s="222" t="s">
        <v>103</v>
      </c>
      <c r="F81" s="457">
        <f>G5</f>
        <v>54.146302111789808</v>
      </c>
      <c r="H81" s="314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</row>
    <row r="82" spans="1:27">
      <c r="A82" s="286"/>
      <c r="B82" s="286"/>
      <c r="C82" s="286"/>
      <c r="D82" s="222" t="s">
        <v>123</v>
      </c>
      <c r="E82" s="222" t="s">
        <v>117</v>
      </c>
      <c r="F82" s="457">
        <f>H5</f>
        <v>24.429518952132277</v>
      </c>
      <c r="H82" s="314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</row>
    <row r="83" spans="1:27">
      <c r="A83" s="286"/>
      <c r="B83" s="286"/>
      <c r="C83" s="286"/>
      <c r="D83" s="222" t="s">
        <v>123</v>
      </c>
      <c r="E83" s="222" t="s">
        <v>119</v>
      </c>
      <c r="F83" s="457">
        <f>I5</f>
        <v>92.745852475636781</v>
      </c>
      <c r="H83" s="314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</row>
    <row r="84" spans="1:27">
      <c r="A84" s="286"/>
      <c r="B84" s="286"/>
      <c r="C84" s="286"/>
      <c r="D84" s="222" t="s">
        <v>123</v>
      </c>
      <c r="E84" s="222" t="s">
        <v>121</v>
      </c>
      <c r="F84" s="457">
        <f>J5</f>
        <v>25.143124343022517</v>
      </c>
      <c r="H84" s="314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</row>
    <row r="85" spans="1:27">
      <c r="A85" s="286"/>
      <c r="B85" s="286"/>
      <c r="C85" s="286"/>
      <c r="D85" s="222" t="s">
        <v>72</v>
      </c>
      <c r="E85" s="222" t="s">
        <v>115</v>
      </c>
      <c r="F85" s="457">
        <f>D15</f>
        <v>6.7171961790513812</v>
      </c>
      <c r="H85" s="314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</row>
    <row r="86" spans="1:27">
      <c r="A86" s="286"/>
      <c r="B86" s="286"/>
      <c r="C86" s="286"/>
      <c r="D86" s="222" t="s">
        <v>72</v>
      </c>
      <c r="E86" s="222" t="s">
        <v>95</v>
      </c>
      <c r="F86" s="457">
        <f>E15</f>
        <v>5.3124331279018122</v>
      </c>
      <c r="H86" s="314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</row>
    <row r="87" spans="1:27">
      <c r="A87" s="286"/>
      <c r="B87" s="286"/>
      <c r="C87" s="286"/>
      <c r="D87" s="222" t="s">
        <v>72</v>
      </c>
      <c r="E87" s="222" t="s">
        <v>116</v>
      </c>
      <c r="F87" s="457">
        <f>F15</f>
        <v>9.9618466365974943</v>
      </c>
      <c r="H87" s="314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</row>
    <row r="88" spans="1:27">
      <c r="A88" s="286"/>
      <c r="B88" s="286"/>
      <c r="C88" s="286"/>
      <c r="D88" s="222" t="s">
        <v>72</v>
      </c>
      <c r="E88" s="222" t="s">
        <v>103</v>
      </c>
      <c r="F88" s="457">
        <f>G15</f>
        <v>19.821555814893674</v>
      </c>
      <c r="H88" s="314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</row>
    <row r="89" spans="1:27">
      <c r="A89" s="286"/>
      <c r="B89" s="286"/>
      <c r="C89" s="286"/>
      <c r="D89" s="222" t="s">
        <v>72</v>
      </c>
      <c r="E89" s="222" t="s">
        <v>117</v>
      </c>
      <c r="F89" s="457">
        <f>H15</f>
        <v>8.748602731535648</v>
      </c>
      <c r="H89" s="314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</row>
    <row r="90" spans="1:27">
      <c r="A90" s="286"/>
      <c r="B90" s="286"/>
      <c r="C90" s="286"/>
      <c r="D90" s="222" t="s">
        <v>72</v>
      </c>
      <c r="E90" s="222" t="s">
        <v>119</v>
      </c>
      <c r="F90" s="457">
        <f>I15</f>
        <v>97.120224875268988</v>
      </c>
      <c r="H90" s="314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</row>
    <row r="91" spans="1:27">
      <c r="A91" s="286"/>
      <c r="B91" s="286"/>
      <c r="C91" s="286"/>
      <c r="D91" s="222" t="s">
        <v>72</v>
      </c>
      <c r="E91" s="222" t="s">
        <v>121</v>
      </c>
      <c r="F91" s="457">
        <f>J15</f>
        <v>7.3181406347510043</v>
      </c>
      <c r="H91" s="314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</row>
    <row r="92" spans="1:27">
      <c r="A92" s="286"/>
      <c r="B92" s="286"/>
      <c r="C92" s="286"/>
      <c r="D92" s="222" t="s">
        <v>71</v>
      </c>
      <c r="E92" s="222" t="s">
        <v>115</v>
      </c>
      <c r="F92" s="457">
        <f>D11</f>
        <v>4.2927245603371746</v>
      </c>
      <c r="H92" s="314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</row>
    <row r="93" spans="1:27">
      <c r="A93" s="286"/>
      <c r="B93" s="286"/>
      <c r="C93" s="286"/>
      <c r="D93" s="222" t="s">
        <v>71</v>
      </c>
      <c r="E93" s="222" t="s">
        <v>95</v>
      </c>
      <c r="F93" s="457">
        <f>E11</f>
        <v>8.6585265038447652</v>
      </c>
      <c r="H93" s="314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</row>
    <row r="94" spans="1:27">
      <c r="A94" s="286"/>
      <c r="B94" s="286"/>
      <c r="C94" s="286"/>
      <c r="D94" s="222" t="s">
        <v>71</v>
      </c>
      <c r="E94" s="222" t="s">
        <v>116</v>
      </c>
      <c r="F94" s="457">
        <f>F11</f>
        <v>4.4834082285619727</v>
      </c>
      <c r="H94" s="314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</row>
    <row r="95" spans="1:27">
      <c r="A95" s="286"/>
      <c r="B95" s="286"/>
      <c r="C95" s="286"/>
      <c r="D95" s="222" t="s">
        <v>71</v>
      </c>
      <c r="E95" s="222" t="s">
        <v>103</v>
      </c>
      <c r="F95" s="457">
        <f>G11</f>
        <v>27.940243711473546</v>
      </c>
      <c r="H95" s="314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</row>
    <row r="96" spans="1:27">
      <c r="A96" s="286"/>
      <c r="B96" s="286"/>
      <c r="C96" s="286"/>
      <c r="D96" s="222" t="s">
        <v>71</v>
      </c>
      <c r="E96" s="222" t="s">
        <v>117</v>
      </c>
      <c r="F96" s="457">
        <f>H11</f>
        <v>23.712844779062795</v>
      </c>
      <c r="H96" s="314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</row>
    <row r="97" spans="1:27">
      <c r="A97" s="286"/>
      <c r="B97" s="286"/>
      <c r="C97" s="286"/>
      <c r="D97" s="222" t="s">
        <v>71</v>
      </c>
      <c r="E97" s="222" t="s">
        <v>119</v>
      </c>
      <c r="F97" s="457">
        <f>I11</f>
        <v>39.058705840732763</v>
      </c>
      <c r="H97" s="314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</row>
    <row r="98" spans="1:27">
      <c r="A98" s="286"/>
      <c r="B98" s="286"/>
      <c r="C98" s="286"/>
      <c r="D98" s="222" t="s">
        <v>71</v>
      </c>
      <c r="E98" s="222" t="s">
        <v>121</v>
      </c>
      <c r="F98" s="457">
        <f>J11</f>
        <v>25.853546375986969</v>
      </c>
      <c r="H98" s="314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</row>
    <row r="99" spans="1:27">
      <c r="A99" s="286"/>
      <c r="B99" s="286"/>
      <c r="C99" s="286"/>
      <c r="D99" s="222" t="s">
        <v>140</v>
      </c>
      <c r="E99" s="222" t="s">
        <v>115</v>
      </c>
      <c r="F99" s="457">
        <f>D9</f>
        <v>1.3467539310477918</v>
      </c>
      <c r="H99" s="314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</row>
    <row r="100" spans="1:27">
      <c r="A100" s="286"/>
      <c r="B100" s="286"/>
      <c r="C100" s="286"/>
      <c r="D100" s="222" t="s">
        <v>140</v>
      </c>
      <c r="E100" s="222" t="s">
        <v>95</v>
      </c>
      <c r="F100" s="457">
        <f>E9</f>
        <v>2.5389892775178549</v>
      </c>
      <c r="H100" s="314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</row>
    <row r="101" spans="1:27">
      <c r="A101" s="286"/>
      <c r="B101" s="286"/>
      <c r="C101" s="286"/>
      <c r="D101" s="222" t="s">
        <v>140</v>
      </c>
      <c r="E101" s="222" t="s">
        <v>116</v>
      </c>
      <c r="F101" s="457">
        <f>F9</f>
        <v>5.2806058421442525</v>
      </c>
      <c r="H101" s="314"/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</row>
    <row r="102" spans="1:27">
      <c r="A102" s="286"/>
      <c r="B102" s="286"/>
      <c r="C102" s="286"/>
      <c r="D102" s="222" t="s">
        <v>140</v>
      </c>
      <c r="E102" s="222" t="s">
        <v>103</v>
      </c>
      <c r="F102" s="457">
        <f>G9</f>
        <v>14.315194219894355</v>
      </c>
      <c r="H102" s="314"/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</row>
    <row r="103" spans="1:27">
      <c r="A103" s="286"/>
      <c r="B103" s="286"/>
      <c r="C103" s="286"/>
      <c r="D103" s="222" t="s">
        <v>140</v>
      </c>
      <c r="E103" s="222" t="s">
        <v>117</v>
      </c>
      <c r="F103" s="457">
        <f>H9</f>
        <v>5.9521001098599973</v>
      </c>
      <c r="H103" s="314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</row>
    <row r="104" spans="1:27">
      <c r="A104" s="286"/>
      <c r="B104" s="286"/>
      <c r="C104" s="286"/>
      <c r="D104" s="222" t="s">
        <v>140</v>
      </c>
      <c r="E104" s="222" t="s">
        <v>119</v>
      </c>
      <c r="F104" s="457">
        <f>I9</f>
        <v>45.875384174925379</v>
      </c>
      <c r="H104" s="314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</row>
    <row r="105" spans="1:27">
      <c r="A105" s="286"/>
      <c r="B105" s="286"/>
      <c r="C105" s="286"/>
      <c r="D105" s="222" t="s">
        <v>140</v>
      </c>
      <c r="E105" s="222" t="s">
        <v>121</v>
      </c>
      <c r="F105" s="457">
        <f>J9</f>
        <v>7.5909724446103706</v>
      </c>
      <c r="H105" s="314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</row>
    <row r="106" spans="1:27">
      <c r="A106" s="286"/>
      <c r="B106" s="286"/>
      <c r="C106" s="286"/>
      <c r="D106" s="222" t="s">
        <v>76</v>
      </c>
      <c r="E106" s="222" t="s">
        <v>115</v>
      </c>
      <c r="F106" s="457">
        <f>D25</f>
        <v>0.16291787728285387</v>
      </c>
      <c r="H106" s="314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</row>
    <row r="107" spans="1:27">
      <c r="A107" s="286"/>
      <c r="B107" s="286"/>
      <c r="C107" s="286"/>
      <c r="D107" s="222" t="s">
        <v>76</v>
      </c>
      <c r="E107" s="222" t="s">
        <v>95</v>
      </c>
      <c r="F107" s="457">
        <f>E25</f>
        <v>0.4508761744496726</v>
      </c>
      <c r="H107" s="314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</row>
    <row r="108" spans="1:27">
      <c r="A108" s="286"/>
      <c r="B108" s="286"/>
      <c r="C108" s="286"/>
      <c r="D108" s="222" t="s">
        <v>76</v>
      </c>
      <c r="E108" s="222" t="s">
        <v>116</v>
      </c>
      <c r="F108" s="457">
        <f>F25</f>
        <v>0.72569467455600101</v>
      </c>
      <c r="H108" s="314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</row>
    <row r="109" spans="1:27" ht="15">
      <c r="A109" s="286"/>
      <c r="B109" s="286"/>
      <c r="C109" s="286"/>
      <c r="D109" s="222" t="s">
        <v>76</v>
      </c>
      <c r="E109" s="222" t="s">
        <v>103</v>
      </c>
      <c r="F109" s="457">
        <f>G25</f>
        <v>1.1236318607467737</v>
      </c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</row>
    <row r="110" spans="1:27" ht="15">
      <c r="A110" s="286"/>
      <c r="B110" s="286"/>
      <c r="C110" s="286"/>
      <c r="D110" s="222" t="s">
        <v>76</v>
      </c>
      <c r="E110" s="222" t="s">
        <v>117</v>
      </c>
      <c r="F110" s="457">
        <f>H25</f>
        <v>0.46632897952234648</v>
      </c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</row>
    <row r="111" spans="1:27" ht="15">
      <c r="A111" s="286"/>
      <c r="B111" s="286"/>
      <c r="C111" s="286"/>
      <c r="D111" s="222" t="s">
        <v>76</v>
      </c>
      <c r="E111" s="222" t="s">
        <v>119</v>
      </c>
      <c r="F111" s="457">
        <f>I25</f>
        <v>2.2030431945189921</v>
      </c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</row>
    <row r="112" spans="1:27" ht="15">
      <c r="A112" s="286"/>
      <c r="B112" s="286"/>
      <c r="C112" s="286"/>
      <c r="D112" s="222" t="s">
        <v>76</v>
      </c>
      <c r="E112" s="222" t="s">
        <v>121</v>
      </c>
      <c r="F112" s="457">
        <f>J25</f>
        <v>0.16750723892335945</v>
      </c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</row>
    <row r="113" spans="1:27" ht="15">
      <c r="A113" s="286"/>
      <c r="B113" s="286"/>
      <c r="C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</row>
    <row r="114" spans="1:27" ht="15">
      <c r="A114" s="286"/>
      <c r="B114" s="286"/>
      <c r="C114" s="286"/>
      <c r="D114" s="286"/>
      <c r="E114" s="286"/>
      <c r="F114" s="339">
        <f>SUM(F28:F112)</f>
        <v>2469741894.9397731</v>
      </c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</row>
    <row r="115" spans="1:27" ht="15">
      <c r="A115" s="286"/>
      <c r="B115" s="286"/>
      <c r="C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</row>
    <row r="116" spans="1:27" ht="15">
      <c r="A116" s="286" t="s">
        <v>2823</v>
      </c>
      <c r="B116" s="286" t="s">
        <v>2824</v>
      </c>
      <c r="C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</row>
    <row r="117" spans="1:27">
      <c r="A117" s="315" t="s">
        <v>139</v>
      </c>
      <c r="B117" s="315">
        <v>212</v>
      </c>
      <c r="C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</row>
    <row r="118" spans="1:27">
      <c r="A118" s="315" t="s">
        <v>137</v>
      </c>
      <c r="B118" s="315">
        <v>834.7</v>
      </c>
      <c r="C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</row>
    <row r="119" spans="1:27">
      <c r="A119" s="315" t="s">
        <v>140</v>
      </c>
      <c r="B119" s="315">
        <v>82.9</v>
      </c>
      <c r="C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</row>
    <row r="120" spans="1:27">
      <c r="A120" s="315" t="s">
        <v>71</v>
      </c>
      <c r="B120" s="315">
        <v>134</v>
      </c>
      <c r="C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</row>
    <row r="121" spans="1:27">
      <c r="A121" s="315" t="s">
        <v>125</v>
      </c>
      <c r="B121" s="315">
        <v>841</v>
      </c>
      <c r="C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</row>
    <row r="122" spans="1:27">
      <c r="A122" s="315" t="s">
        <v>72</v>
      </c>
      <c r="B122" s="315">
        <v>155</v>
      </c>
      <c r="C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</row>
    <row r="123" spans="1:27">
      <c r="A123" s="315" t="s">
        <v>66</v>
      </c>
      <c r="B123" s="315">
        <v>1130</v>
      </c>
      <c r="C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</row>
    <row r="124" spans="1:27">
      <c r="A124" s="315" t="s">
        <v>67</v>
      </c>
      <c r="B124" s="315">
        <v>883</v>
      </c>
      <c r="C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</row>
    <row r="125" spans="1:27">
      <c r="A125" s="315" t="s">
        <v>141</v>
      </c>
      <c r="B125" s="315">
        <v>440</v>
      </c>
      <c r="C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</row>
    <row r="126" spans="1:27">
      <c r="A126" s="315" t="s">
        <v>138</v>
      </c>
      <c r="B126" s="315">
        <v>2667</v>
      </c>
      <c r="C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</row>
    <row r="127" spans="1:27">
      <c r="A127" s="315" t="s">
        <v>76</v>
      </c>
      <c r="B127" s="315">
        <v>5.3</v>
      </c>
      <c r="C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</row>
    <row r="128" spans="1:27" ht="15">
      <c r="A128" s="286"/>
      <c r="B128" s="286"/>
      <c r="C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</row>
    <row r="129" spans="1:27" ht="15">
      <c r="A129" s="286"/>
      <c r="B129" s="286"/>
      <c r="C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</row>
    <row r="130" spans="1:27" ht="15">
      <c r="A130" s="286"/>
      <c r="B130" s="286"/>
      <c r="C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</row>
    <row r="131" spans="1:27" ht="15">
      <c r="A131" s="286"/>
      <c r="B131" s="286"/>
      <c r="C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</row>
    <row r="132" spans="1:27" ht="15">
      <c r="A132" s="286"/>
      <c r="B132" s="286"/>
      <c r="C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</row>
    <row r="133" spans="1:27" ht="15">
      <c r="A133" s="286"/>
      <c r="B133" s="286"/>
      <c r="C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</row>
    <row r="134" spans="1:27" ht="15">
      <c r="A134" s="286"/>
      <c r="B134" s="286"/>
      <c r="C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</row>
    <row r="135" spans="1:27" ht="15">
      <c r="A135" s="286"/>
      <c r="B135" s="286"/>
      <c r="C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</row>
    <row r="136" spans="1:27" ht="15">
      <c r="A136" s="286"/>
      <c r="B136" s="286"/>
      <c r="C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</row>
    <row r="137" spans="1:27" ht="15">
      <c r="A137" s="286"/>
      <c r="B137" s="286"/>
      <c r="C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</row>
    <row r="138" spans="1:27" ht="15">
      <c r="A138" s="286"/>
      <c r="B138" s="286"/>
      <c r="C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</row>
    <row r="139" spans="1:27" ht="15">
      <c r="A139" s="286"/>
      <c r="B139" s="286"/>
      <c r="C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</row>
    <row r="140" spans="1:27" ht="15">
      <c r="A140" s="286"/>
      <c r="B140" s="286"/>
      <c r="C140" s="286"/>
      <c r="D140" s="28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</row>
    <row r="141" spans="1:27" ht="15">
      <c r="A141" s="286"/>
      <c r="B141" s="286"/>
      <c r="C141" s="286"/>
      <c r="D141" s="28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</row>
    <row r="142" spans="1:27" ht="15">
      <c r="A142" s="286"/>
      <c r="B142" s="286"/>
      <c r="C142" s="286"/>
      <c r="D142" s="28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</row>
    <row r="143" spans="1:27" ht="15">
      <c r="A143" s="286"/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</row>
    <row r="144" spans="1:27" ht="15">
      <c r="A144" s="286"/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</row>
    <row r="145" spans="1:27" ht="15">
      <c r="A145" s="286"/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</row>
    <row r="146" spans="1:27" ht="15">
      <c r="A146" s="286"/>
      <c r="B146" s="286"/>
      <c r="C146" s="286"/>
      <c r="D146" s="28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</row>
    <row r="147" spans="1:27" ht="15">
      <c r="A147" s="286"/>
      <c r="B147" s="286"/>
      <c r="C147" s="286"/>
      <c r="D147" s="28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</row>
    <row r="148" spans="1:27" ht="15">
      <c r="A148" s="286"/>
      <c r="B148" s="286"/>
      <c r="C148" s="286"/>
      <c r="D148" s="28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</row>
    <row r="149" spans="1:27" ht="15">
      <c r="A149" s="286"/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</row>
    <row r="150" spans="1:27" ht="15">
      <c r="A150" s="286"/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</row>
    <row r="151" spans="1:27" ht="15">
      <c r="A151" s="286"/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</row>
    <row r="152" spans="1:27" ht="15">
      <c r="A152" s="286"/>
      <c r="B152" s="286"/>
      <c r="C152" s="286"/>
      <c r="D152" s="28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</row>
    <row r="153" spans="1:27" ht="15">
      <c r="A153" s="286"/>
      <c r="B153" s="286"/>
      <c r="C153" s="286"/>
      <c r="D153" s="28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</row>
    <row r="154" spans="1:27" ht="15">
      <c r="A154" s="286"/>
      <c r="B154" s="286"/>
      <c r="C154" s="286"/>
      <c r="D154" s="28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</row>
    <row r="155" spans="1:27" ht="15">
      <c r="A155" s="286"/>
      <c r="B155" s="286"/>
      <c r="C155" s="286"/>
      <c r="D155" s="28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</row>
    <row r="156" spans="1:27" ht="15">
      <c r="A156" s="286"/>
      <c r="B156" s="286"/>
      <c r="C156" s="286"/>
      <c r="D156" s="28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</row>
    <row r="157" spans="1:27" ht="15">
      <c r="A157" s="286"/>
      <c r="B157" s="286"/>
      <c r="C157" s="286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</row>
    <row r="158" spans="1:27" ht="15">
      <c r="A158" s="286"/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</row>
    <row r="159" spans="1:27" ht="15">
      <c r="A159" s="286"/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</row>
    <row r="160" spans="1:27" ht="15">
      <c r="A160" s="286"/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</row>
    <row r="161" spans="1:27" ht="15">
      <c r="A161" s="286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</row>
    <row r="162" spans="1:27" ht="15">
      <c r="A162" s="286"/>
      <c r="B162" s="286"/>
      <c r="C162" s="286"/>
      <c r="D162" s="28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</row>
    <row r="163" spans="1:27" ht="15">
      <c r="A163" s="286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</row>
    <row r="164" spans="1:27" ht="15">
      <c r="A164" s="286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</row>
    <row r="165" spans="1:27" ht="15">
      <c r="A165" s="286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</row>
    <row r="166" spans="1:27" ht="15">
      <c r="A166" s="286"/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</row>
    <row r="167" spans="1:27" ht="15">
      <c r="A167" s="286"/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</row>
    <row r="168" spans="1:27" ht="15">
      <c r="A168" s="286"/>
      <c r="B168" s="286"/>
      <c r="C168" s="286"/>
      <c r="D168" s="28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</row>
    <row r="169" spans="1:27" ht="15">
      <c r="A169" s="286"/>
      <c r="B169" s="286"/>
      <c r="C169" s="286"/>
      <c r="D169" s="28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</row>
    <row r="170" spans="1:27" ht="15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</row>
    <row r="171" spans="1:27" ht="15">
      <c r="A171" s="286"/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</row>
    <row r="172" spans="1:27" ht="15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</row>
    <row r="173" spans="1:27" ht="15">
      <c r="A173" s="286"/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</row>
    <row r="174" spans="1:27" ht="15">
      <c r="A174" s="286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</row>
    <row r="175" spans="1:27" ht="15">
      <c r="A175" s="286"/>
      <c r="B175" s="286"/>
      <c r="C175" s="286"/>
      <c r="D175" s="28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</row>
    <row r="176" spans="1:27" ht="15">
      <c r="A176" s="286"/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</row>
    <row r="177" spans="1:27" ht="15">
      <c r="A177" s="286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</row>
    <row r="178" spans="1:27" ht="15">
      <c r="A178" s="286"/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</row>
    <row r="179" spans="1:27" ht="15">
      <c r="A179" s="286"/>
      <c r="B179" s="286"/>
      <c r="C179" s="286"/>
      <c r="D179" s="28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</row>
    <row r="180" spans="1:27" ht="15">
      <c r="A180" s="286"/>
      <c r="B180" s="286"/>
      <c r="C180" s="286"/>
      <c r="D180" s="28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</row>
    <row r="181" spans="1:27" ht="15">
      <c r="A181" s="286"/>
      <c r="B181" s="286"/>
      <c r="C181" s="286"/>
      <c r="D181" s="28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</row>
    <row r="182" spans="1:27" ht="15">
      <c r="A182" s="286"/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</row>
    <row r="183" spans="1:27" ht="15">
      <c r="A183" s="286"/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</row>
    <row r="184" spans="1:27" ht="15">
      <c r="A184" s="286"/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</row>
    <row r="185" spans="1:27" ht="15">
      <c r="A185" s="286"/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</row>
    <row r="186" spans="1:27" ht="15">
      <c r="A186" s="286"/>
      <c r="B186" s="286"/>
      <c r="C186" s="286"/>
      <c r="D186" s="28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</row>
    <row r="187" spans="1:27" ht="15">
      <c r="A187" s="286"/>
      <c r="B187" s="286"/>
      <c r="C187" s="286"/>
      <c r="D187" s="28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</row>
    <row r="188" spans="1:27" ht="15">
      <c r="A188" s="286"/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</row>
    <row r="189" spans="1:27" ht="15">
      <c r="A189" s="286"/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</row>
    <row r="190" spans="1:27" ht="15">
      <c r="A190" s="286"/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</row>
    <row r="191" spans="1:27" ht="15">
      <c r="A191" s="286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</row>
    <row r="192" spans="1:27" ht="15">
      <c r="A192" s="286"/>
      <c r="B192" s="286"/>
      <c r="C192" s="286"/>
      <c r="D192" s="28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</row>
    <row r="193" spans="1:27" ht="15">
      <c r="A193" s="286"/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</row>
    <row r="194" spans="1:27" ht="15">
      <c r="A194" s="286"/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</row>
    <row r="195" spans="1:27" ht="15">
      <c r="A195" s="286"/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</row>
    <row r="196" spans="1:27" ht="15">
      <c r="A196" s="286"/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</row>
    <row r="197" spans="1:27" ht="15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</row>
    <row r="198" spans="1:27" ht="15">
      <c r="A198" s="286"/>
      <c r="B198" s="286"/>
      <c r="C198" s="286"/>
      <c r="D198" s="28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</row>
    <row r="199" spans="1:27" ht="15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</row>
    <row r="200" spans="1:27" ht="15">
      <c r="A200" s="286"/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</row>
    <row r="201" spans="1:27" ht="15">
      <c r="A201" s="286"/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</row>
    <row r="202" spans="1:27" ht="15">
      <c r="A202" s="286"/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</row>
    <row r="203" spans="1:27" ht="15">
      <c r="A203" s="286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</row>
    <row r="204" spans="1:27" ht="15">
      <c r="A204" s="286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</row>
    <row r="205" spans="1:27" ht="15">
      <c r="A205" s="286"/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</row>
    <row r="206" spans="1:27" ht="15">
      <c r="A206" s="286"/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</row>
    <row r="207" spans="1:27" ht="15">
      <c r="A207" s="286"/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</row>
    <row r="208" spans="1:27" ht="15">
      <c r="A208" s="286"/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</row>
    <row r="209" spans="1:27" ht="15">
      <c r="A209" s="286"/>
      <c r="B209" s="286"/>
      <c r="C209" s="286"/>
      <c r="D209" s="28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</row>
    <row r="210" spans="1:27" ht="15">
      <c r="A210" s="286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</row>
    <row r="211" spans="1:27" ht="15">
      <c r="A211" s="286"/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</row>
    <row r="212" spans="1:27" ht="15">
      <c r="A212" s="286"/>
      <c r="B212" s="286"/>
      <c r="C212" s="286"/>
      <c r="D212" s="28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</row>
    <row r="213" spans="1:27" ht="15">
      <c r="A213" s="286"/>
      <c r="B213" s="286"/>
      <c r="C213" s="286"/>
      <c r="D213" s="28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</row>
    <row r="214" spans="1:27" ht="15">
      <c r="A214" s="286"/>
      <c r="B214" s="286"/>
      <c r="C214" s="286"/>
      <c r="D214" s="28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</row>
    <row r="215" spans="1:27" ht="15">
      <c r="A215" s="286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</row>
    <row r="216" spans="1:27" ht="15">
      <c r="A216" s="286"/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</row>
    <row r="217" spans="1:27" ht="15">
      <c r="A217" s="286"/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</row>
    <row r="218" spans="1:27" ht="15">
      <c r="A218" s="286"/>
      <c r="B218" s="286"/>
      <c r="C218" s="286"/>
      <c r="D218" s="28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</row>
    <row r="219" spans="1:27" ht="15">
      <c r="A219" s="286"/>
      <c r="B219" s="286"/>
      <c r="C219" s="286"/>
      <c r="D219" s="28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</row>
    <row r="220" spans="1:27" ht="15">
      <c r="A220" s="286"/>
      <c r="B220" s="286"/>
      <c r="C220" s="286"/>
      <c r="D220" s="28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</row>
    <row r="221" spans="1:27" ht="15">
      <c r="A221" s="286"/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</row>
    <row r="222" spans="1:27" ht="15">
      <c r="A222" s="286"/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</row>
    <row r="223" spans="1:27" ht="15">
      <c r="A223" s="286"/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</row>
    <row r="224" spans="1:27" ht="15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</row>
    <row r="225" spans="1:27" ht="15">
      <c r="A225" s="286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</row>
    <row r="226" spans="1:27" ht="15">
      <c r="A226" s="286"/>
      <c r="B226" s="286"/>
      <c r="C226" s="286"/>
      <c r="D226" s="28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</row>
    <row r="227" spans="1:27" ht="15">
      <c r="A227" s="286"/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</row>
    <row r="228" spans="1:27" ht="15">
      <c r="A228" s="286"/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</row>
    <row r="229" spans="1:27" ht="15">
      <c r="A229" s="286"/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</row>
    <row r="230" spans="1:27" ht="15">
      <c r="A230" s="286"/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</row>
    <row r="231" spans="1:27" ht="15">
      <c r="A231" s="286"/>
      <c r="B231" s="286"/>
      <c r="C231" s="286"/>
      <c r="D231" s="28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</row>
    <row r="232" spans="1:27" ht="15">
      <c r="A232" s="286"/>
      <c r="B232" s="286"/>
      <c r="C232" s="286"/>
      <c r="D232" s="28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</row>
    <row r="233" spans="1:27" ht="15">
      <c r="A233" s="286"/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</row>
    <row r="234" spans="1:27" ht="15">
      <c r="A234" s="286"/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</row>
    <row r="235" spans="1:27" ht="15">
      <c r="A235" s="286"/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</row>
    <row r="236" spans="1:27" ht="15">
      <c r="A236" s="286"/>
      <c r="B236" s="286"/>
      <c r="C236" s="286"/>
      <c r="D236" s="28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</row>
    <row r="237" spans="1:27" ht="15">
      <c r="A237" s="286"/>
      <c r="B237" s="286"/>
      <c r="C237" s="286"/>
      <c r="D237" s="28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</row>
    <row r="238" spans="1:27" ht="15">
      <c r="A238" s="286"/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</row>
    <row r="239" spans="1:27" ht="15">
      <c r="A239" s="286"/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</row>
    <row r="240" spans="1:27" ht="15">
      <c r="A240" s="286"/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</row>
    <row r="241" spans="1:27" ht="15">
      <c r="A241" s="286"/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</row>
    <row r="242" spans="1:27" ht="15">
      <c r="A242" s="286"/>
      <c r="B242" s="286"/>
      <c r="C242" s="286"/>
      <c r="D242" s="28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</row>
    <row r="243" spans="1:27" ht="15">
      <c r="A243" s="286"/>
      <c r="B243" s="286"/>
      <c r="C243" s="286"/>
      <c r="D243" s="28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</row>
    <row r="244" spans="1:27" ht="15">
      <c r="A244" s="286"/>
      <c r="B244" s="286"/>
      <c r="C244" s="286"/>
      <c r="D244" s="28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</row>
    <row r="245" spans="1:27" ht="15">
      <c r="A245" s="286"/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</row>
    <row r="246" spans="1:27" ht="15">
      <c r="A246" s="286"/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</row>
    <row r="247" spans="1:27" ht="15">
      <c r="A247" s="286"/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</row>
    <row r="248" spans="1:27" ht="15">
      <c r="A248" s="286"/>
      <c r="B248" s="286"/>
      <c r="C248" s="286"/>
      <c r="D248" s="28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</row>
    <row r="249" spans="1:27" ht="15">
      <c r="A249" s="286"/>
      <c r="B249" s="286"/>
      <c r="C249" s="286"/>
      <c r="D249" s="28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</row>
    <row r="250" spans="1:27" ht="15">
      <c r="A250" s="286"/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</row>
    <row r="251" spans="1:27" ht="15">
      <c r="A251" s="286"/>
      <c r="B251" s="286"/>
      <c r="C251" s="286"/>
      <c r="D251" s="28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</row>
    <row r="252" spans="1:27" ht="15">
      <c r="A252" s="286"/>
      <c r="B252" s="286"/>
      <c r="C252" s="286"/>
      <c r="D252" s="28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</row>
    <row r="253" spans="1:27" ht="15">
      <c r="A253" s="286"/>
      <c r="B253" s="286"/>
      <c r="C253" s="286"/>
      <c r="D253" s="28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</row>
    <row r="254" spans="1:27" ht="15">
      <c r="A254" s="286"/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</row>
    <row r="255" spans="1:27" ht="15">
      <c r="A255" s="286"/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</row>
    <row r="256" spans="1:27" ht="15">
      <c r="A256" s="286"/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</row>
    <row r="257" spans="1:27" ht="15">
      <c r="A257" s="286"/>
      <c r="B257" s="286"/>
      <c r="C257" s="286"/>
      <c r="D257" s="28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</row>
    <row r="258" spans="1:27" ht="15">
      <c r="A258" s="286"/>
      <c r="B258" s="286"/>
      <c r="C258" s="286"/>
      <c r="D258" s="28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</row>
    <row r="259" spans="1:27" ht="15">
      <c r="A259" s="286"/>
      <c r="B259" s="286"/>
      <c r="C259" s="286"/>
      <c r="D259" s="28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</row>
    <row r="260" spans="1:27" ht="15">
      <c r="A260" s="286"/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</row>
    <row r="261" spans="1:27" ht="15">
      <c r="A261" s="286"/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</row>
    <row r="262" spans="1:27" ht="15">
      <c r="A262" s="286"/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</row>
    <row r="263" spans="1:27" ht="15">
      <c r="A263" s="286"/>
      <c r="B263" s="286"/>
      <c r="C263" s="286"/>
      <c r="D263" s="28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</row>
    <row r="264" spans="1:27" ht="15">
      <c r="A264" s="286"/>
      <c r="B264" s="286"/>
      <c r="C264" s="286"/>
      <c r="D264" s="28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</row>
    <row r="265" spans="1:27" ht="15">
      <c r="A265" s="286"/>
      <c r="B265" s="286"/>
      <c r="C265" s="286"/>
      <c r="D265" s="28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</row>
    <row r="266" spans="1:27" ht="15">
      <c r="A266" s="286"/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</row>
    <row r="267" spans="1:27" ht="15">
      <c r="A267" s="286"/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</row>
    <row r="268" spans="1:27" ht="15">
      <c r="A268" s="286"/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</row>
    <row r="269" spans="1:27" ht="15">
      <c r="A269" s="286"/>
      <c r="B269" s="286"/>
      <c r="C269" s="286"/>
      <c r="D269" s="28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</row>
    <row r="270" spans="1:27" ht="15">
      <c r="A270" s="286"/>
      <c r="B270" s="286"/>
      <c r="C270" s="286"/>
      <c r="D270" s="28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</row>
    <row r="271" spans="1:27" ht="15">
      <c r="A271" s="286"/>
      <c r="B271" s="286"/>
      <c r="C271" s="286"/>
      <c r="D271" s="28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</row>
    <row r="272" spans="1:27" ht="15">
      <c r="A272" s="286"/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</row>
    <row r="273" spans="1:27" ht="15">
      <c r="A273" s="286"/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</row>
    <row r="274" spans="1:27" ht="15">
      <c r="A274" s="286"/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</row>
    <row r="275" spans="1:27" ht="15">
      <c r="A275" s="286"/>
      <c r="B275" s="286"/>
      <c r="C275" s="286"/>
      <c r="D275" s="28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</row>
    <row r="276" spans="1:27" ht="15">
      <c r="A276" s="286"/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</row>
    <row r="277" spans="1:27" ht="15">
      <c r="A277" s="286"/>
      <c r="B277" s="286"/>
      <c r="C277" s="286"/>
      <c r="D277" s="28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</row>
    <row r="278" spans="1:27" ht="15">
      <c r="A278" s="286"/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</row>
    <row r="279" spans="1:27" ht="15">
      <c r="A279" s="286"/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</row>
    <row r="280" spans="1:27" ht="15">
      <c r="A280" s="286"/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</row>
    <row r="281" spans="1:27" ht="15">
      <c r="A281" s="286"/>
      <c r="B281" s="286"/>
      <c r="C281" s="286"/>
      <c r="D281" s="28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</row>
    <row r="282" spans="1:27" ht="15">
      <c r="A282" s="286"/>
      <c r="B282" s="286"/>
      <c r="C282" s="286"/>
      <c r="D282" s="28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</row>
    <row r="283" spans="1:27" ht="15">
      <c r="A283" s="286"/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</row>
    <row r="284" spans="1:27" ht="15">
      <c r="A284" s="286"/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</row>
    <row r="285" spans="1:27" ht="15">
      <c r="A285" s="286"/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</row>
    <row r="286" spans="1:27" ht="15">
      <c r="A286" s="286"/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</row>
    <row r="287" spans="1:27" ht="15">
      <c r="A287" s="286"/>
      <c r="B287" s="286"/>
      <c r="C287" s="286"/>
      <c r="D287" s="28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</row>
    <row r="288" spans="1:27" ht="15">
      <c r="A288" s="286"/>
      <c r="B288" s="286"/>
      <c r="C288" s="286"/>
      <c r="D288" s="28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</row>
    <row r="289" spans="1:27" ht="15">
      <c r="A289" s="286"/>
      <c r="B289" s="286"/>
      <c r="C289" s="286"/>
      <c r="D289" s="28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</row>
    <row r="290" spans="1:27" ht="15">
      <c r="A290" s="286"/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</row>
    <row r="291" spans="1:27" ht="15">
      <c r="A291" s="286"/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</row>
    <row r="292" spans="1:27" ht="15">
      <c r="A292" s="286"/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</row>
    <row r="293" spans="1:27" ht="15">
      <c r="A293" s="286"/>
      <c r="B293" s="286"/>
      <c r="C293" s="286"/>
      <c r="D293" s="28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</row>
    <row r="294" spans="1:27" ht="15">
      <c r="A294" s="286"/>
      <c r="B294" s="286"/>
      <c r="C294" s="286"/>
      <c r="D294" s="28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</row>
    <row r="295" spans="1:27" ht="15">
      <c r="A295" s="286"/>
      <c r="B295" s="286"/>
      <c r="C295" s="286"/>
      <c r="D295" s="28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</row>
    <row r="296" spans="1:27" ht="15">
      <c r="A296" s="286"/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</row>
    <row r="297" spans="1:27" ht="15">
      <c r="A297" s="286"/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</row>
    <row r="298" spans="1:27" ht="15">
      <c r="A298" s="286"/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</row>
    <row r="299" spans="1:27" ht="15">
      <c r="A299" s="286"/>
      <c r="B299" s="286"/>
      <c r="C299" s="286"/>
      <c r="D299" s="28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</row>
    <row r="300" spans="1:27" ht="15">
      <c r="A300" s="286"/>
      <c r="B300" s="286"/>
      <c r="C300" s="286"/>
      <c r="D300" s="28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</row>
    <row r="301" spans="1:27" ht="15">
      <c r="A301" s="286"/>
      <c r="B301" s="286"/>
      <c r="C301" s="286"/>
      <c r="D301" s="28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</row>
    <row r="302" spans="1:27" ht="15">
      <c r="A302" s="286"/>
      <c r="B302" s="286"/>
      <c r="C302" s="286"/>
      <c r="D302" s="28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</row>
    <row r="303" spans="1:27" ht="15">
      <c r="A303" s="286"/>
      <c r="B303" s="286"/>
      <c r="C303" s="286"/>
      <c r="D303" s="28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</row>
    <row r="304" spans="1:27" ht="15">
      <c r="A304" s="286"/>
      <c r="B304" s="286"/>
      <c r="C304" s="286"/>
      <c r="D304" s="28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</row>
    <row r="305" spans="1:27" ht="15">
      <c r="A305" s="286"/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</row>
    <row r="306" spans="1:27" ht="15">
      <c r="A306" s="286"/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</row>
    <row r="307" spans="1:27" ht="15">
      <c r="A307" s="286"/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</row>
    <row r="308" spans="1:27" ht="15">
      <c r="A308" s="286"/>
      <c r="B308" s="286"/>
      <c r="C308" s="286"/>
      <c r="D308" s="28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</row>
    <row r="309" spans="1:27" ht="15">
      <c r="A309" s="286"/>
      <c r="B309" s="286"/>
      <c r="C309" s="286"/>
      <c r="D309" s="28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</row>
    <row r="310" spans="1:27" ht="15">
      <c r="A310" s="286"/>
      <c r="B310" s="286"/>
      <c r="C310" s="286"/>
      <c r="D310" s="28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</row>
    <row r="311" spans="1:27" ht="15">
      <c r="A311" s="286"/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</row>
    <row r="312" spans="1:27" ht="15">
      <c r="A312" s="286"/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</row>
    <row r="313" spans="1:27" ht="15">
      <c r="A313" s="286"/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</row>
    <row r="314" spans="1:27" ht="15">
      <c r="A314" s="286"/>
      <c r="B314" s="286"/>
      <c r="C314" s="286"/>
      <c r="D314" s="28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</row>
    <row r="315" spans="1:27" ht="15">
      <c r="A315" s="286"/>
      <c r="B315" s="286"/>
      <c r="C315" s="286"/>
      <c r="D315" s="28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</row>
    <row r="316" spans="1:27" ht="15">
      <c r="A316" s="286"/>
      <c r="B316" s="286"/>
      <c r="C316" s="286"/>
      <c r="D316" s="28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</row>
    <row r="317" spans="1:27" ht="15">
      <c r="A317" s="286"/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</row>
    <row r="318" spans="1:27" ht="15">
      <c r="A318" s="286"/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</row>
    <row r="319" spans="1:27" ht="15">
      <c r="A319" s="286"/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</row>
    <row r="320" spans="1:27" ht="15">
      <c r="A320" s="286"/>
      <c r="B320" s="286"/>
      <c r="C320" s="286"/>
      <c r="D320" s="28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</row>
    <row r="321" spans="1:27" ht="15">
      <c r="A321" s="286"/>
      <c r="B321" s="286"/>
      <c r="C321" s="286"/>
      <c r="D321" s="28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</row>
    <row r="322" spans="1:27" ht="15">
      <c r="A322" s="286"/>
      <c r="B322" s="286"/>
      <c r="C322" s="286"/>
      <c r="D322" s="28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</row>
    <row r="323" spans="1:27" ht="15">
      <c r="A323" s="286"/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</row>
    <row r="324" spans="1:27" ht="15">
      <c r="A324" s="286"/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</row>
    <row r="325" spans="1:27" ht="15">
      <c r="A325" s="286"/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</row>
    <row r="326" spans="1:27" ht="15">
      <c r="A326" s="286"/>
      <c r="B326" s="286"/>
      <c r="C326" s="286"/>
      <c r="D326" s="28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</row>
    <row r="327" spans="1:27" ht="15">
      <c r="A327" s="286"/>
      <c r="B327" s="286"/>
      <c r="C327" s="286"/>
      <c r="D327" s="28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</row>
    <row r="328" spans="1:27" ht="15">
      <c r="A328" s="286"/>
      <c r="B328" s="286"/>
      <c r="C328" s="286"/>
      <c r="D328" s="28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</row>
    <row r="329" spans="1:27" ht="15">
      <c r="A329" s="286"/>
      <c r="B329" s="286"/>
      <c r="C329" s="286"/>
      <c r="D329" s="28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</row>
    <row r="330" spans="1:27" ht="15">
      <c r="A330" s="286"/>
      <c r="B330" s="286"/>
      <c r="C330" s="286"/>
      <c r="D330" s="28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</row>
    <row r="331" spans="1:27" ht="15">
      <c r="A331" s="286"/>
      <c r="B331" s="286"/>
      <c r="C331" s="286"/>
      <c r="D331" s="28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</row>
    <row r="332" spans="1:27" ht="15">
      <c r="A332" s="286"/>
      <c r="B332" s="286"/>
      <c r="C332" s="286"/>
      <c r="D332" s="28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</row>
    <row r="333" spans="1:27" ht="15">
      <c r="A333" s="286"/>
      <c r="B333" s="286"/>
      <c r="C333" s="286"/>
      <c r="D333" s="28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</row>
    <row r="334" spans="1:27" ht="15">
      <c r="A334" s="286"/>
      <c r="B334" s="286"/>
      <c r="C334" s="286"/>
      <c r="D334" s="28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</row>
    <row r="335" spans="1:27" ht="15">
      <c r="A335" s="286"/>
      <c r="B335" s="286"/>
      <c r="C335" s="286"/>
      <c r="D335" s="28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</row>
    <row r="336" spans="1:27" ht="15">
      <c r="A336" s="286"/>
      <c r="B336" s="286"/>
      <c r="C336" s="286"/>
      <c r="D336" s="28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</row>
    <row r="337" spans="1:27" ht="15">
      <c r="A337" s="286"/>
      <c r="B337" s="286"/>
      <c r="C337" s="286"/>
      <c r="D337" s="28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</row>
    <row r="338" spans="1:27" ht="15">
      <c r="A338" s="286"/>
      <c r="B338" s="286"/>
      <c r="C338" s="286"/>
      <c r="D338" s="28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</row>
    <row r="339" spans="1:27" ht="15">
      <c r="A339" s="286"/>
      <c r="B339" s="286"/>
      <c r="C339" s="286"/>
      <c r="D339" s="28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</row>
    <row r="340" spans="1:27" ht="15">
      <c r="A340" s="286"/>
      <c r="B340" s="286"/>
      <c r="C340" s="286"/>
      <c r="D340" s="28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</row>
    <row r="341" spans="1:27" ht="15">
      <c r="A341" s="286"/>
      <c r="B341" s="286"/>
      <c r="C341" s="286"/>
      <c r="D341" s="28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</row>
    <row r="342" spans="1:27" ht="15">
      <c r="A342" s="286"/>
      <c r="B342" s="286"/>
      <c r="C342" s="286"/>
      <c r="D342" s="28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</row>
    <row r="343" spans="1:27" ht="15">
      <c r="A343" s="286"/>
      <c r="B343" s="286"/>
      <c r="C343" s="286"/>
      <c r="D343" s="28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</row>
    <row r="344" spans="1:27" ht="15">
      <c r="A344" s="286"/>
      <c r="B344" s="286"/>
      <c r="C344" s="286"/>
      <c r="D344" s="28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</row>
    <row r="345" spans="1:27" ht="15">
      <c r="A345" s="286"/>
      <c r="B345" s="286"/>
      <c r="C345" s="286"/>
      <c r="D345" s="28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</row>
    <row r="346" spans="1:27" ht="15">
      <c r="A346" s="286"/>
      <c r="B346" s="286"/>
      <c r="C346" s="286"/>
      <c r="D346" s="28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</row>
    <row r="347" spans="1:27" ht="15">
      <c r="A347" s="286"/>
      <c r="B347" s="286"/>
      <c r="C347" s="286"/>
      <c r="D347" s="28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</row>
    <row r="348" spans="1:27" ht="15">
      <c r="A348" s="286"/>
      <c r="B348" s="286"/>
      <c r="C348" s="286"/>
      <c r="D348" s="28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</row>
    <row r="349" spans="1:27" ht="15">
      <c r="A349" s="286"/>
      <c r="B349" s="286"/>
      <c r="C349" s="286"/>
      <c r="D349" s="28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</row>
    <row r="350" spans="1:27" ht="15">
      <c r="A350" s="286"/>
      <c r="B350" s="286"/>
      <c r="C350" s="286"/>
      <c r="D350" s="28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</row>
    <row r="351" spans="1:27" ht="15">
      <c r="A351" s="286"/>
      <c r="B351" s="286"/>
      <c r="C351" s="286"/>
      <c r="D351" s="28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</row>
    <row r="352" spans="1:27" ht="15">
      <c r="A352" s="286"/>
      <c r="B352" s="286"/>
      <c r="C352" s="286"/>
      <c r="D352" s="28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</row>
    <row r="353" spans="1:27" ht="15">
      <c r="A353" s="286"/>
      <c r="B353" s="286"/>
      <c r="C353" s="286"/>
      <c r="D353" s="28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</row>
    <row r="354" spans="1:27" ht="15">
      <c r="A354" s="286"/>
      <c r="B354" s="286"/>
      <c r="C354" s="286"/>
      <c r="D354" s="28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</row>
    <row r="355" spans="1:27" ht="15">
      <c r="A355" s="286"/>
      <c r="B355" s="286"/>
      <c r="C355" s="286"/>
      <c r="D355" s="28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</row>
    <row r="356" spans="1:27" ht="15">
      <c r="A356" s="286"/>
      <c r="B356" s="286"/>
      <c r="C356" s="286"/>
      <c r="D356" s="28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</row>
    <row r="357" spans="1:27" ht="15">
      <c r="A357" s="286"/>
      <c r="B357" s="286"/>
      <c r="C357" s="286"/>
      <c r="D357" s="28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</row>
    <row r="358" spans="1:27" ht="15">
      <c r="A358" s="286"/>
      <c r="B358" s="286"/>
      <c r="C358" s="286"/>
      <c r="D358" s="28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</row>
    <row r="359" spans="1:27" ht="15">
      <c r="A359" s="286"/>
      <c r="B359" s="286"/>
      <c r="C359" s="286"/>
      <c r="D359" s="28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</row>
    <row r="360" spans="1:27" ht="15">
      <c r="A360" s="286"/>
      <c r="B360" s="286"/>
      <c r="C360" s="286"/>
      <c r="D360" s="28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</row>
    <row r="361" spans="1:27" ht="15">
      <c r="A361" s="286"/>
      <c r="B361" s="286"/>
      <c r="C361" s="286"/>
      <c r="D361" s="28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</row>
    <row r="362" spans="1:27" ht="15">
      <c r="A362" s="286"/>
      <c r="B362" s="286"/>
      <c r="C362" s="286"/>
      <c r="D362" s="28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</row>
    <row r="363" spans="1:27" ht="15">
      <c r="A363" s="286"/>
      <c r="B363" s="286"/>
      <c r="C363" s="286"/>
      <c r="D363" s="28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</row>
    <row r="364" spans="1:27" ht="15">
      <c r="A364" s="286"/>
      <c r="B364" s="286"/>
      <c r="C364" s="286"/>
      <c r="D364" s="28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</row>
    <row r="365" spans="1:27" ht="15">
      <c r="A365" s="286"/>
      <c r="B365" s="286"/>
      <c r="C365" s="286"/>
      <c r="D365" s="28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</row>
    <row r="366" spans="1:27" ht="15">
      <c r="A366" s="286"/>
      <c r="B366" s="286"/>
      <c r="C366" s="286"/>
      <c r="D366" s="28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</row>
    <row r="367" spans="1:27" ht="15">
      <c r="A367" s="286"/>
      <c r="B367" s="286"/>
      <c r="C367" s="286"/>
      <c r="D367" s="28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</row>
    <row r="368" spans="1:27" ht="15">
      <c r="A368" s="286"/>
      <c r="B368" s="286"/>
      <c r="C368" s="286"/>
      <c r="D368" s="28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</row>
    <row r="369" spans="1:27" ht="15">
      <c r="A369" s="286"/>
      <c r="B369" s="286"/>
      <c r="C369" s="286"/>
      <c r="D369" s="28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</row>
    <row r="370" spans="1:27" ht="15">
      <c r="A370" s="286"/>
      <c r="B370" s="286"/>
      <c r="C370" s="286"/>
      <c r="D370" s="28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</row>
    <row r="371" spans="1:27" ht="15">
      <c r="A371" s="286"/>
      <c r="B371" s="286"/>
      <c r="C371" s="286"/>
      <c r="D371" s="28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</row>
    <row r="372" spans="1:27" ht="15">
      <c r="A372" s="286"/>
      <c r="B372" s="286"/>
      <c r="C372" s="286"/>
      <c r="D372" s="28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</row>
    <row r="373" spans="1:27" ht="15">
      <c r="A373" s="286"/>
      <c r="B373" s="286"/>
      <c r="C373" s="286"/>
      <c r="D373" s="28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</row>
    <row r="374" spans="1:27" ht="15">
      <c r="A374" s="286"/>
      <c r="B374" s="286"/>
      <c r="C374" s="286"/>
      <c r="D374" s="28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</row>
    <row r="375" spans="1:27" ht="15">
      <c r="A375" s="286"/>
      <c r="B375" s="286"/>
      <c r="C375" s="286"/>
      <c r="D375" s="28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</row>
    <row r="376" spans="1:27" ht="15">
      <c r="A376" s="286"/>
      <c r="B376" s="286"/>
      <c r="C376" s="286"/>
      <c r="D376" s="28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</row>
    <row r="377" spans="1:27" ht="15">
      <c r="A377" s="286"/>
      <c r="B377" s="286"/>
      <c r="C377" s="286"/>
      <c r="D377" s="28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</row>
    <row r="378" spans="1:27" ht="15">
      <c r="A378" s="286"/>
      <c r="B378" s="286"/>
      <c r="C378" s="286"/>
      <c r="D378" s="28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</row>
    <row r="379" spans="1:27" ht="15">
      <c r="A379" s="286"/>
      <c r="B379" s="286"/>
      <c r="C379" s="286"/>
      <c r="D379" s="28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</row>
    <row r="380" spans="1:27" ht="15">
      <c r="A380" s="286"/>
      <c r="B380" s="286"/>
      <c r="C380" s="286"/>
      <c r="D380" s="28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</row>
    <row r="381" spans="1:27" ht="15">
      <c r="A381" s="286"/>
      <c r="B381" s="286"/>
      <c r="C381" s="286"/>
      <c r="D381" s="28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</row>
    <row r="382" spans="1:27" ht="15">
      <c r="A382" s="286"/>
      <c r="B382" s="286"/>
      <c r="C382" s="286"/>
      <c r="D382" s="28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</row>
    <row r="383" spans="1:27" ht="15">
      <c r="A383" s="286"/>
      <c r="B383" s="286"/>
      <c r="C383" s="286"/>
      <c r="D383" s="28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</row>
    <row r="384" spans="1:27" ht="15">
      <c r="A384" s="286"/>
      <c r="B384" s="286"/>
      <c r="C384" s="286"/>
      <c r="D384" s="28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</row>
    <row r="385" spans="1:27" ht="15">
      <c r="A385" s="286"/>
      <c r="B385" s="286"/>
      <c r="C385" s="286"/>
      <c r="D385" s="28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</row>
    <row r="386" spans="1:27" ht="15">
      <c r="A386" s="286"/>
      <c r="B386" s="286"/>
      <c r="C386" s="286"/>
      <c r="D386" s="28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</row>
    <row r="387" spans="1:27" ht="15">
      <c r="A387" s="286"/>
      <c r="B387" s="286"/>
      <c r="C387" s="286"/>
      <c r="D387" s="28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</row>
    <row r="388" spans="1:27" ht="15">
      <c r="A388" s="286"/>
      <c r="B388" s="286"/>
      <c r="C388" s="286"/>
      <c r="D388" s="28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</row>
    <row r="389" spans="1:27" ht="15">
      <c r="A389" s="286"/>
      <c r="B389" s="286"/>
      <c r="C389" s="286"/>
      <c r="D389" s="28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</row>
    <row r="390" spans="1:27" ht="15">
      <c r="A390" s="286"/>
      <c r="B390" s="286"/>
      <c r="C390" s="286"/>
      <c r="D390" s="28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</row>
    <row r="391" spans="1:27" ht="15">
      <c r="A391" s="286"/>
      <c r="B391" s="286"/>
      <c r="C391" s="286"/>
      <c r="D391" s="28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</row>
    <row r="392" spans="1:27" ht="15">
      <c r="A392" s="286"/>
      <c r="B392" s="286"/>
      <c r="C392" s="286"/>
      <c r="D392" s="28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</row>
    <row r="393" spans="1:27" ht="15">
      <c r="A393" s="286"/>
      <c r="B393" s="286"/>
      <c r="C393" s="286"/>
      <c r="D393" s="28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</row>
    <row r="394" spans="1:27" ht="15">
      <c r="A394" s="286"/>
      <c r="B394" s="286"/>
      <c r="C394" s="286"/>
      <c r="D394" s="28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</row>
    <row r="395" spans="1:27" ht="15">
      <c r="A395" s="286"/>
      <c r="B395" s="286"/>
      <c r="C395" s="286"/>
      <c r="D395" s="28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</row>
    <row r="396" spans="1:27" ht="15">
      <c r="A396" s="286"/>
      <c r="B396" s="286"/>
      <c r="C396" s="286"/>
      <c r="D396" s="28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</row>
    <row r="397" spans="1:27" ht="15">
      <c r="A397" s="286"/>
      <c r="B397" s="286"/>
      <c r="C397" s="286"/>
      <c r="D397" s="28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</row>
    <row r="398" spans="1:27" ht="15">
      <c r="A398" s="286"/>
      <c r="B398" s="286"/>
      <c r="C398" s="286"/>
      <c r="D398" s="28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</row>
    <row r="399" spans="1:27" ht="15">
      <c r="A399" s="286"/>
      <c r="B399" s="286"/>
      <c r="C399" s="286"/>
      <c r="D399" s="28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</row>
    <row r="400" spans="1:27" ht="15">
      <c r="A400" s="286"/>
      <c r="B400" s="286"/>
      <c r="C400" s="286"/>
      <c r="D400" s="28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</row>
    <row r="401" spans="1:27" ht="15">
      <c r="A401" s="286"/>
      <c r="B401" s="286"/>
      <c r="C401" s="286"/>
      <c r="D401" s="28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</row>
    <row r="402" spans="1:27" ht="15">
      <c r="A402" s="286"/>
      <c r="B402" s="286"/>
      <c r="C402" s="286"/>
      <c r="D402" s="28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</row>
    <row r="403" spans="1:27" ht="15">
      <c r="A403" s="286"/>
      <c r="B403" s="286"/>
      <c r="C403" s="286"/>
      <c r="D403" s="28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</row>
    <row r="404" spans="1:27" ht="15">
      <c r="A404" s="286"/>
      <c r="B404" s="286"/>
      <c r="C404" s="286"/>
      <c r="D404" s="28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</row>
    <row r="405" spans="1:27" ht="15">
      <c r="A405" s="286"/>
      <c r="B405" s="286"/>
      <c r="C405" s="286"/>
      <c r="D405" s="28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</row>
    <row r="406" spans="1:27" ht="15">
      <c r="A406" s="286"/>
      <c r="B406" s="286"/>
      <c r="C406" s="286"/>
      <c r="D406" s="28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</row>
    <row r="407" spans="1:27" ht="15">
      <c r="A407" s="286"/>
      <c r="B407" s="286"/>
      <c r="C407" s="286"/>
      <c r="D407" s="28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</row>
    <row r="408" spans="1:27" ht="15">
      <c r="A408" s="286"/>
      <c r="B408" s="286"/>
      <c r="C408" s="286"/>
      <c r="D408" s="28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</row>
    <row r="409" spans="1:27" ht="15">
      <c r="A409" s="286"/>
      <c r="B409" s="286"/>
      <c r="C409" s="286"/>
      <c r="D409" s="28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</row>
    <row r="410" spans="1:27" ht="15">
      <c r="A410" s="286"/>
      <c r="B410" s="286"/>
      <c r="C410" s="286"/>
      <c r="D410" s="28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</row>
    <row r="411" spans="1:27" ht="15">
      <c r="A411" s="286"/>
      <c r="B411" s="286"/>
      <c r="C411" s="286"/>
      <c r="D411" s="28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</row>
    <row r="412" spans="1:27" ht="15">
      <c r="A412" s="286"/>
      <c r="B412" s="286"/>
      <c r="C412" s="286"/>
      <c r="D412" s="28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</row>
    <row r="413" spans="1:27" ht="15">
      <c r="A413" s="286"/>
      <c r="B413" s="286"/>
      <c r="C413" s="286"/>
      <c r="D413" s="28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</row>
    <row r="414" spans="1:27" ht="15">
      <c r="A414" s="286"/>
      <c r="B414" s="286"/>
      <c r="C414" s="286"/>
      <c r="D414" s="28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</row>
    <row r="415" spans="1:27" ht="15">
      <c r="A415" s="286"/>
      <c r="B415" s="286"/>
      <c r="C415" s="286"/>
      <c r="D415" s="28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</row>
    <row r="416" spans="1:27" ht="15">
      <c r="A416" s="286"/>
      <c r="B416" s="286"/>
      <c r="C416" s="286"/>
      <c r="D416" s="28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</row>
    <row r="417" spans="1:27" ht="15">
      <c r="A417" s="286"/>
      <c r="B417" s="286"/>
      <c r="C417" s="286"/>
      <c r="D417" s="28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</row>
    <row r="418" spans="1:27" ht="15">
      <c r="A418" s="286"/>
      <c r="B418" s="286"/>
      <c r="C418" s="286"/>
      <c r="D418" s="28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</row>
    <row r="419" spans="1:27" ht="15">
      <c r="A419" s="286"/>
      <c r="B419" s="286"/>
      <c r="C419" s="286"/>
      <c r="D419" s="28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</row>
    <row r="420" spans="1:27" ht="15">
      <c r="A420" s="286"/>
      <c r="B420" s="286"/>
      <c r="C420" s="286"/>
      <c r="D420" s="28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</row>
    <row r="421" spans="1:27" ht="15">
      <c r="A421" s="286"/>
      <c r="B421" s="286"/>
      <c r="C421" s="286"/>
      <c r="D421" s="28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</row>
    <row r="422" spans="1:27" ht="15">
      <c r="A422" s="286"/>
      <c r="B422" s="286"/>
      <c r="C422" s="286"/>
      <c r="D422" s="28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</row>
    <row r="423" spans="1:27" ht="15">
      <c r="A423" s="286"/>
      <c r="B423" s="286"/>
      <c r="C423" s="286"/>
      <c r="D423" s="28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</row>
    <row r="424" spans="1:27" ht="15">
      <c r="A424" s="286"/>
      <c r="B424" s="286"/>
      <c r="C424" s="286"/>
      <c r="D424" s="28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</row>
    <row r="425" spans="1:27" ht="15">
      <c r="A425" s="286"/>
      <c r="B425" s="286"/>
      <c r="C425" s="286"/>
      <c r="D425" s="28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</row>
    <row r="426" spans="1:27" ht="15">
      <c r="A426" s="286"/>
      <c r="B426" s="286"/>
      <c r="C426" s="286"/>
      <c r="D426" s="28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</row>
    <row r="427" spans="1:27" ht="15">
      <c r="A427" s="286"/>
      <c r="B427" s="286"/>
      <c r="C427" s="286"/>
      <c r="D427" s="28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</row>
    <row r="428" spans="1:27" ht="15">
      <c r="A428" s="286"/>
      <c r="B428" s="286"/>
      <c r="C428" s="286"/>
      <c r="D428" s="28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</row>
    <row r="429" spans="1:27" ht="15">
      <c r="A429" s="286"/>
      <c r="B429" s="286"/>
      <c r="C429" s="286"/>
      <c r="D429" s="28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</row>
    <row r="430" spans="1:27" ht="15">
      <c r="A430" s="286"/>
      <c r="B430" s="286"/>
      <c r="C430" s="286"/>
      <c r="D430" s="28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</row>
    <row r="431" spans="1:27" ht="15">
      <c r="A431" s="286"/>
      <c r="B431" s="286"/>
      <c r="C431" s="286"/>
      <c r="D431" s="28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</row>
    <row r="432" spans="1:27" ht="15">
      <c r="A432" s="286"/>
      <c r="B432" s="286"/>
      <c r="C432" s="286"/>
      <c r="D432" s="28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</row>
    <row r="433" spans="1:27" ht="15">
      <c r="A433" s="286"/>
      <c r="B433" s="286"/>
      <c r="C433" s="286"/>
      <c r="D433" s="28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</row>
    <row r="434" spans="1:27" ht="15">
      <c r="A434" s="286"/>
      <c r="B434" s="286"/>
      <c r="C434" s="286"/>
      <c r="D434" s="28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</row>
    <row r="435" spans="1:27" ht="15">
      <c r="A435" s="286"/>
      <c r="B435" s="286"/>
      <c r="C435" s="286"/>
      <c r="D435" s="28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</row>
    <row r="436" spans="1:27" ht="15">
      <c r="A436" s="286"/>
      <c r="B436" s="286"/>
      <c r="C436" s="286"/>
      <c r="D436" s="28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</row>
    <row r="437" spans="1:27" ht="15">
      <c r="A437" s="286"/>
      <c r="B437" s="286"/>
      <c r="C437" s="286"/>
      <c r="D437" s="28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</row>
    <row r="438" spans="1:27" ht="15">
      <c r="A438" s="286"/>
      <c r="B438" s="286"/>
      <c r="C438" s="286"/>
      <c r="D438" s="28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</row>
    <row r="439" spans="1:27" ht="15">
      <c r="A439" s="286"/>
      <c r="B439" s="286"/>
      <c r="C439" s="286"/>
      <c r="D439" s="28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</row>
    <row r="440" spans="1:27" ht="15">
      <c r="A440" s="286"/>
      <c r="B440" s="286"/>
      <c r="C440" s="286"/>
      <c r="D440" s="28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</row>
    <row r="441" spans="1:27" ht="15">
      <c r="A441" s="286"/>
      <c r="B441" s="286"/>
      <c r="C441" s="286"/>
      <c r="D441" s="28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</row>
    <row r="442" spans="1:27" ht="15">
      <c r="A442" s="286"/>
      <c r="B442" s="286"/>
      <c r="C442" s="286"/>
      <c r="D442" s="28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</row>
    <row r="443" spans="1:27" ht="15">
      <c r="A443" s="286"/>
      <c r="B443" s="286"/>
      <c r="C443" s="286"/>
      <c r="D443" s="28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</row>
    <row r="444" spans="1:27" ht="15">
      <c r="A444" s="286"/>
      <c r="B444" s="286"/>
      <c r="C444" s="286"/>
      <c r="D444" s="28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</row>
    <row r="445" spans="1:27" ht="15">
      <c r="A445" s="286"/>
      <c r="B445" s="286"/>
      <c r="C445" s="286"/>
      <c r="D445" s="28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</row>
    <row r="446" spans="1:27" ht="15">
      <c r="A446" s="286"/>
      <c r="B446" s="286"/>
      <c r="C446" s="286"/>
      <c r="D446" s="28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</row>
    <row r="447" spans="1:27" ht="15">
      <c r="A447" s="286"/>
      <c r="B447" s="286"/>
      <c r="C447" s="286"/>
      <c r="D447" s="28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</row>
    <row r="448" spans="1:27" ht="15">
      <c r="A448" s="286"/>
      <c r="B448" s="286"/>
      <c r="C448" s="286"/>
      <c r="D448" s="28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</row>
    <row r="449" spans="1:27" ht="15">
      <c r="A449" s="286"/>
      <c r="B449" s="286"/>
      <c r="C449" s="286"/>
      <c r="D449" s="28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</row>
    <row r="450" spans="1:27" ht="15">
      <c r="A450" s="286"/>
      <c r="B450" s="286"/>
      <c r="C450" s="286"/>
      <c r="D450" s="28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</row>
    <row r="451" spans="1:27" ht="15">
      <c r="A451" s="286"/>
      <c r="B451" s="286"/>
      <c r="C451" s="286"/>
      <c r="D451" s="28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</row>
    <row r="452" spans="1:27" ht="15">
      <c r="A452" s="286"/>
      <c r="B452" s="286"/>
      <c r="C452" s="286"/>
      <c r="D452" s="28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</row>
    <row r="453" spans="1:27" ht="15">
      <c r="A453" s="286"/>
      <c r="B453" s="286"/>
      <c r="C453" s="286"/>
      <c r="D453" s="28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</row>
    <row r="454" spans="1:27" ht="15">
      <c r="A454" s="286"/>
      <c r="B454" s="286"/>
      <c r="C454" s="286"/>
      <c r="D454" s="28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</row>
    <row r="455" spans="1:27" ht="15">
      <c r="A455" s="286"/>
      <c r="B455" s="286"/>
      <c r="C455" s="286"/>
      <c r="D455" s="28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</row>
    <row r="456" spans="1:27" ht="15">
      <c r="A456" s="286"/>
      <c r="B456" s="286"/>
      <c r="C456" s="286"/>
      <c r="D456" s="28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</row>
    <row r="457" spans="1:27" ht="15">
      <c r="A457" s="286"/>
      <c r="B457" s="286"/>
      <c r="C457" s="286"/>
      <c r="D457" s="28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</row>
    <row r="458" spans="1:27" ht="15">
      <c r="A458" s="286"/>
      <c r="B458" s="286"/>
      <c r="C458" s="286"/>
      <c r="D458" s="28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</row>
    <row r="459" spans="1:27" ht="15">
      <c r="A459" s="286"/>
      <c r="B459" s="286"/>
      <c r="C459" s="286"/>
      <c r="D459" s="28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</row>
    <row r="460" spans="1:27" ht="15">
      <c r="A460" s="286"/>
      <c r="B460" s="286"/>
      <c r="C460" s="286"/>
      <c r="D460" s="28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</row>
    <row r="461" spans="1:27" ht="15">
      <c r="A461" s="286"/>
      <c r="B461" s="286"/>
      <c r="C461" s="286"/>
      <c r="D461" s="28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</row>
    <row r="462" spans="1:27" ht="15">
      <c r="A462" s="286"/>
      <c r="B462" s="286"/>
      <c r="C462" s="286"/>
      <c r="D462" s="28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</row>
    <row r="463" spans="1:27" ht="15">
      <c r="A463" s="286"/>
      <c r="B463" s="286"/>
      <c r="C463" s="286"/>
      <c r="D463" s="28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</row>
    <row r="464" spans="1:27" ht="15">
      <c r="A464" s="286"/>
      <c r="B464" s="286"/>
      <c r="C464" s="286"/>
      <c r="D464" s="28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</row>
    <row r="465" spans="1:27" ht="15">
      <c r="A465" s="286"/>
      <c r="B465" s="286"/>
      <c r="C465" s="286"/>
      <c r="D465" s="28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</row>
    <row r="466" spans="1:27" ht="15">
      <c r="A466" s="286"/>
      <c r="B466" s="286"/>
      <c r="C466" s="286"/>
      <c r="D466" s="28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</row>
    <row r="467" spans="1:27" ht="15">
      <c r="A467" s="286"/>
      <c r="B467" s="286"/>
      <c r="C467" s="286"/>
      <c r="D467" s="28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</row>
    <row r="468" spans="1:27" ht="15">
      <c r="A468" s="286"/>
      <c r="B468" s="286"/>
      <c r="C468" s="286"/>
      <c r="D468" s="28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</row>
    <row r="469" spans="1:27" ht="15">
      <c r="A469" s="286"/>
      <c r="B469" s="286"/>
      <c r="C469" s="286"/>
      <c r="D469" s="28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</row>
    <row r="470" spans="1:27" ht="15">
      <c r="A470" s="286"/>
      <c r="B470" s="286"/>
      <c r="C470" s="286"/>
      <c r="D470" s="28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</row>
    <row r="471" spans="1:27" ht="15">
      <c r="A471" s="286"/>
      <c r="B471" s="286"/>
      <c r="C471" s="286"/>
      <c r="D471" s="28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</row>
    <row r="472" spans="1:27" ht="15">
      <c r="A472" s="286"/>
      <c r="B472" s="286"/>
      <c r="C472" s="286"/>
      <c r="D472" s="28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</row>
    <row r="473" spans="1:27" ht="15">
      <c r="A473" s="286"/>
      <c r="B473" s="286"/>
      <c r="C473" s="286"/>
      <c r="D473" s="28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</row>
    <row r="474" spans="1:27" ht="15">
      <c r="A474" s="286"/>
      <c r="B474" s="286"/>
      <c r="C474" s="286"/>
      <c r="D474" s="28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</row>
    <row r="475" spans="1:27" ht="15">
      <c r="A475" s="286"/>
      <c r="B475" s="286"/>
      <c r="C475" s="286"/>
      <c r="D475" s="28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</row>
    <row r="476" spans="1:27" ht="15">
      <c r="A476" s="286"/>
      <c r="B476" s="286"/>
      <c r="C476" s="286"/>
      <c r="D476" s="28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</row>
    <row r="477" spans="1:27" ht="15">
      <c r="A477" s="286"/>
      <c r="B477" s="286"/>
      <c r="C477" s="286"/>
      <c r="D477" s="28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</row>
    <row r="478" spans="1:27" ht="15">
      <c r="A478" s="286"/>
      <c r="B478" s="286"/>
      <c r="C478" s="286"/>
      <c r="D478" s="28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</row>
    <row r="479" spans="1:27" ht="15">
      <c r="A479" s="286"/>
      <c r="B479" s="286"/>
      <c r="C479" s="286"/>
      <c r="D479" s="28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</row>
    <row r="480" spans="1:27" ht="15">
      <c r="A480" s="286"/>
      <c r="B480" s="286"/>
      <c r="C480" s="286"/>
      <c r="D480" s="28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</row>
    <row r="481" spans="1:27" ht="15">
      <c r="A481" s="286"/>
      <c r="B481" s="286"/>
      <c r="C481" s="286"/>
      <c r="D481" s="28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</row>
    <row r="482" spans="1:27" ht="15">
      <c r="A482" s="286"/>
      <c r="B482" s="286"/>
      <c r="C482" s="286"/>
      <c r="D482" s="28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</row>
    <row r="483" spans="1:27" ht="15">
      <c r="A483" s="286"/>
      <c r="B483" s="286"/>
      <c r="C483" s="286"/>
      <c r="D483" s="28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</row>
    <row r="484" spans="1:27" ht="15">
      <c r="A484" s="286"/>
      <c r="B484" s="286"/>
      <c r="C484" s="286"/>
      <c r="D484" s="28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</row>
    <row r="485" spans="1:27" ht="15">
      <c r="A485" s="286"/>
      <c r="B485" s="286"/>
      <c r="C485" s="286"/>
      <c r="D485" s="28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</row>
    <row r="486" spans="1:27" ht="15">
      <c r="A486" s="286"/>
      <c r="B486" s="286"/>
      <c r="C486" s="286"/>
      <c r="D486" s="28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</row>
    <row r="487" spans="1:27" ht="15">
      <c r="A487" s="286"/>
      <c r="B487" s="286"/>
      <c r="C487" s="286"/>
      <c r="D487" s="28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</row>
    <row r="488" spans="1:27" ht="15">
      <c r="A488" s="286"/>
      <c r="B488" s="286"/>
      <c r="C488" s="286"/>
      <c r="D488" s="28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</row>
    <row r="489" spans="1:27" ht="15">
      <c r="A489" s="286"/>
      <c r="B489" s="286"/>
      <c r="C489" s="286"/>
      <c r="D489" s="28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</row>
    <row r="490" spans="1:27" ht="15">
      <c r="A490" s="286"/>
      <c r="B490" s="286"/>
      <c r="C490" s="286"/>
      <c r="D490" s="28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</row>
    <row r="491" spans="1:27" ht="15">
      <c r="A491" s="286"/>
      <c r="B491" s="286"/>
      <c r="C491" s="286"/>
      <c r="D491" s="28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</row>
    <row r="492" spans="1:27" ht="15">
      <c r="A492" s="286"/>
      <c r="B492" s="286"/>
      <c r="C492" s="286"/>
      <c r="D492" s="28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</row>
    <row r="493" spans="1:27" ht="15">
      <c r="A493" s="286"/>
      <c r="B493" s="286"/>
      <c r="C493" s="286"/>
      <c r="D493" s="28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</row>
    <row r="494" spans="1:27" ht="15">
      <c r="A494" s="286"/>
      <c r="B494" s="286"/>
      <c r="C494" s="286"/>
      <c r="D494" s="28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</row>
    <row r="495" spans="1:27" ht="15">
      <c r="A495" s="286"/>
      <c r="B495" s="286"/>
      <c r="C495" s="286"/>
      <c r="D495" s="28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</row>
    <row r="496" spans="1:27" ht="15">
      <c r="A496" s="286"/>
      <c r="B496" s="286"/>
      <c r="C496" s="286"/>
      <c r="D496" s="28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</row>
    <row r="497" spans="1:27" ht="15">
      <c r="A497" s="286"/>
      <c r="B497" s="286"/>
      <c r="C497" s="286"/>
      <c r="D497" s="28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</row>
    <row r="498" spans="1:27" ht="15">
      <c r="A498" s="286"/>
      <c r="B498" s="286"/>
      <c r="C498" s="286"/>
      <c r="D498" s="28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</row>
    <row r="499" spans="1:27" ht="15">
      <c r="A499" s="286"/>
      <c r="B499" s="286"/>
      <c r="C499" s="286"/>
      <c r="D499" s="28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</row>
    <row r="500" spans="1:27" ht="15">
      <c r="A500" s="286"/>
      <c r="B500" s="286"/>
      <c r="C500" s="286"/>
      <c r="D500" s="28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</row>
    <row r="501" spans="1:27" ht="15">
      <c r="A501" s="286"/>
      <c r="B501" s="286"/>
      <c r="C501" s="286"/>
      <c r="D501" s="28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</row>
    <row r="502" spans="1:27" ht="15">
      <c r="A502" s="286"/>
      <c r="B502" s="286"/>
      <c r="C502" s="286"/>
      <c r="D502" s="28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</row>
    <row r="503" spans="1:27" ht="15">
      <c r="A503" s="286"/>
      <c r="B503" s="286"/>
      <c r="C503" s="286"/>
      <c r="D503" s="28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</row>
    <row r="504" spans="1:27" ht="15">
      <c r="A504" s="286"/>
      <c r="B504" s="286"/>
      <c r="C504" s="286"/>
      <c r="D504" s="28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</row>
    <row r="505" spans="1:27" ht="15">
      <c r="A505" s="286"/>
      <c r="B505" s="286"/>
      <c r="C505" s="286"/>
      <c r="D505" s="28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</row>
    <row r="506" spans="1:27" ht="15">
      <c r="A506" s="286"/>
      <c r="B506" s="286"/>
      <c r="C506" s="286"/>
      <c r="D506" s="28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</row>
    <row r="507" spans="1:27" ht="15">
      <c r="A507" s="286"/>
      <c r="B507" s="286"/>
      <c r="C507" s="286"/>
      <c r="D507" s="28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</row>
    <row r="508" spans="1:27" ht="15">
      <c r="A508" s="286"/>
      <c r="B508" s="286"/>
      <c r="C508" s="286"/>
      <c r="D508" s="28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</row>
    <row r="509" spans="1:27" ht="15">
      <c r="A509" s="286"/>
      <c r="B509" s="286"/>
      <c r="C509" s="286"/>
      <c r="D509" s="28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</row>
    <row r="510" spans="1:27" ht="15">
      <c r="A510" s="286"/>
      <c r="B510" s="286"/>
      <c r="C510" s="286"/>
      <c r="D510" s="28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</row>
    <row r="511" spans="1:27" ht="15">
      <c r="A511" s="286"/>
      <c r="B511" s="286"/>
      <c r="C511" s="286"/>
      <c r="D511" s="28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</row>
    <row r="512" spans="1:27" ht="15">
      <c r="A512" s="286"/>
      <c r="B512" s="286"/>
      <c r="C512" s="286"/>
      <c r="D512" s="28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</row>
    <row r="513" spans="1:27" ht="15">
      <c r="A513" s="286"/>
      <c r="B513" s="286"/>
      <c r="C513" s="286"/>
      <c r="D513" s="28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</row>
    <row r="514" spans="1:27" ht="15">
      <c r="A514" s="286"/>
      <c r="B514" s="286"/>
      <c r="C514" s="286"/>
      <c r="D514" s="28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</row>
    <row r="515" spans="1:27" ht="15">
      <c r="A515" s="286"/>
      <c r="B515" s="286"/>
      <c r="C515" s="286"/>
      <c r="D515" s="28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</row>
    <row r="516" spans="1:27" ht="15">
      <c r="A516" s="286"/>
      <c r="B516" s="286"/>
      <c r="C516" s="286"/>
      <c r="D516" s="28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</row>
    <row r="517" spans="1:27" ht="15">
      <c r="A517" s="286"/>
      <c r="B517" s="286"/>
      <c r="C517" s="286"/>
      <c r="D517" s="28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</row>
    <row r="518" spans="1:27" ht="15">
      <c r="A518" s="286"/>
      <c r="B518" s="286"/>
      <c r="C518" s="286"/>
      <c r="D518" s="28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</row>
    <row r="519" spans="1:27" ht="15">
      <c r="A519" s="286"/>
      <c r="B519" s="286"/>
      <c r="C519" s="286"/>
      <c r="D519" s="28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</row>
    <row r="520" spans="1:27" ht="15">
      <c r="A520" s="286"/>
      <c r="B520" s="286"/>
      <c r="C520" s="286"/>
      <c r="D520" s="28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</row>
    <row r="521" spans="1:27" ht="15">
      <c r="A521" s="286"/>
      <c r="B521" s="286"/>
      <c r="C521" s="286"/>
      <c r="D521" s="28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</row>
    <row r="522" spans="1:27" ht="15">
      <c r="A522" s="286"/>
      <c r="B522" s="286"/>
      <c r="C522" s="286"/>
      <c r="D522" s="28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</row>
    <row r="523" spans="1:27" ht="15">
      <c r="A523" s="286"/>
      <c r="B523" s="286"/>
      <c r="C523" s="286"/>
      <c r="D523" s="28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</row>
    <row r="524" spans="1:27" ht="15">
      <c r="A524" s="286"/>
      <c r="B524" s="286"/>
      <c r="C524" s="286"/>
      <c r="D524" s="28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</row>
    <row r="525" spans="1:27" ht="15">
      <c r="A525" s="286"/>
      <c r="B525" s="286"/>
      <c r="C525" s="286"/>
      <c r="D525" s="28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</row>
    <row r="526" spans="1:27" ht="15">
      <c r="A526" s="286"/>
      <c r="B526" s="286"/>
      <c r="C526" s="286"/>
      <c r="D526" s="28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</row>
    <row r="527" spans="1:27" ht="15">
      <c r="A527" s="286"/>
      <c r="B527" s="286"/>
      <c r="C527" s="286"/>
      <c r="D527" s="28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</row>
    <row r="528" spans="1:27" ht="15">
      <c r="A528" s="286"/>
      <c r="B528" s="286"/>
      <c r="C528" s="286"/>
      <c r="D528" s="28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</row>
    <row r="529" spans="1:27" ht="15">
      <c r="A529" s="286"/>
      <c r="B529" s="286"/>
      <c r="C529" s="286"/>
      <c r="D529" s="28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</row>
    <row r="530" spans="1:27" ht="15">
      <c r="A530" s="286"/>
      <c r="B530" s="286"/>
      <c r="C530" s="286"/>
      <c r="D530" s="28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</row>
    <row r="531" spans="1:27" ht="15">
      <c r="A531" s="286"/>
      <c r="B531" s="286"/>
      <c r="C531" s="286"/>
      <c r="D531" s="28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</row>
    <row r="532" spans="1:27" ht="15">
      <c r="A532" s="286"/>
      <c r="B532" s="286"/>
      <c r="C532" s="286"/>
      <c r="D532" s="28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</row>
    <row r="533" spans="1:27" ht="15">
      <c r="A533" s="286"/>
      <c r="B533" s="286"/>
      <c r="C533" s="286"/>
      <c r="D533" s="28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</row>
    <row r="534" spans="1:27" ht="15">
      <c r="A534" s="286"/>
      <c r="B534" s="286"/>
      <c r="C534" s="286"/>
      <c r="D534" s="28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</row>
    <row r="535" spans="1:27" ht="15">
      <c r="A535" s="286"/>
      <c r="B535" s="286"/>
      <c r="C535" s="286"/>
      <c r="D535" s="28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</row>
    <row r="536" spans="1:27" ht="15">
      <c r="A536" s="286"/>
      <c r="B536" s="286"/>
      <c r="C536" s="286"/>
      <c r="D536" s="28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</row>
    <row r="537" spans="1:27" ht="15">
      <c r="A537" s="286"/>
      <c r="B537" s="286"/>
      <c r="C537" s="286"/>
      <c r="D537" s="28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</row>
    <row r="538" spans="1:27" ht="15">
      <c r="A538" s="286"/>
      <c r="B538" s="286"/>
      <c r="C538" s="286"/>
      <c r="D538" s="28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</row>
    <row r="539" spans="1:27" ht="15">
      <c r="A539" s="286"/>
      <c r="B539" s="286"/>
      <c r="C539" s="286"/>
      <c r="D539" s="28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</row>
    <row r="540" spans="1:27" ht="15">
      <c r="A540" s="286"/>
      <c r="B540" s="286"/>
      <c r="C540" s="286"/>
      <c r="D540" s="28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</row>
    <row r="541" spans="1:27" ht="15">
      <c r="A541" s="286"/>
      <c r="B541" s="286"/>
      <c r="C541" s="286"/>
      <c r="D541" s="28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</row>
    <row r="542" spans="1:27" ht="15">
      <c r="A542" s="286"/>
      <c r="B542" s="286"/>
      <c r="C542" s="286"/>
      <c r="D542" s="28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</row>
    <row r="543" spans="1:27" ht="15">
      <c r="A543" s="286"/>
      <c r="B543" s="286"/>
      <c r="C543" s="286"/>
      <c r="D543" s="28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</row>
    <row r="544" spans="1:27" ht="15">
      <c r="A544" s="286"/>
      <c r="B544" s="286"/>
      <c r="C544" s="286"/>
      <c r="D544" s="28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</row>
    <row r="545" spans="1:27" ht="15">
      <c r="A545" s="286"/>
      <c r="B545" s="286"/>
      <c r="C545" s="286"/>
      <c r="D545" s="28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</row>
    <row r="546" spans="1:27" ht="15">
      <c r="A546" s="286"/>
      <c r="B546" s="286"/>
      <c r="C546" s="286"/>
      <c r="D546" s="28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</row>
    <row r="547" spans="1:27" ht="15">
      <c r="A547" s="286"/>
      <c r="B547" s="286"/>
      <c r="C547" s="286"/>
      <c r="D547" s="28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</row>
    <row r="548" spans="1:27" ht="15">
      <c r="A548" s="286"/>
      <c r="B548" s="286"/>
      <c r="C548" s="286"/>
      <c r="D548" s="28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</row>
    <row r="549" spans="1:27" ht="15">
      <c r="A549" s="286"/>
      <c r="B549" s="286"/>
      <c r="C549" s="286"/>
      <c r="D549" s="28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</row>
    <row r="550" spans="1:27" ht="15">
      <c r="A550" s="286"/>
      <c r="B550" s="286"/>
      <c r="C550" s="286"/>
      <c r="D550" s="28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</row>
    <row r="551" spans="1:27" ht="15">
      <c r="A551" s="286"/>
      <c r="B551" s="286"/>
      <c r="C551" s="286"/>
      <c r="D551" s="28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</row>
    <row r="552" spans="1:27" ht="15">
      <c r="A552" s="286"/>
      <c r="B552" s="286"/>
      <c r="C552" s="286"/>
      <c r="D552" s="28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</row>
    <row r="553" spans="1:27" ht="15">
      <c r="A553" s="286"/>
      <c r="B553" s="286"/>
      <c r="C553" s="286"/>
      <c r="D553" s="28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</row>
    <row r="554" spans="1:27" ht="15">
      <c r="A554" s="286"/>
      <c r="B554" s="286"/>
      <c r="C554" s="286"/>
      <c r="D554" s="28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</row>
    <row r="555" spans="1:27" ht="15">
      <c r="A555" s="286"/>
      <c r="B555" s="286"/>
      <c r="C555" s="286"/>
      <c r="D555" s="28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</row>
    <row r="556" spans="1:27" ht="15">
      <c r="A556" s="286"/>
      <c r="B556" s="286"/>
      <c r="C556" s="286"/>
      <c r="D556" s="28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</row>
    <row r="557" spans="1:27" ht="15">
      <c r="A557" s="286"/>
      <c r="B557" s="286"/>
      <c r="C557" s="286"/>
      <c r="D557" s="28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</row>
    <row r="558" spans="1:27" ht="15">
      <c r="A558" s="286"/>
      <c r="B558" s="286"/>
      <c r="C558" s="286"/>
      <c r="D558" s="28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</row>
    <row r="559" spans="1:27" ht="15">
      <c r="A559" s="286"/>
      <c r="B559" s="286"/>
      <c r="C559" s="286"/>
      <c r="D559" s="28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</row>
    <row r="560" spans="1:27" ht="15">
      <c r="A560" s="286"/>
      <c r="B560" s="286"/>
      <c r="C560" s="286"/>
      <c r="D560" s="28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</row>
    <row r="561" spans="1:27" ht="15">
      <c r="A561" s="286"/>
      <c r="B561" s="286"/>
      <c r="C561" s="286"/>
      <c r="D561" s="28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</row>
    <row r="562" spans="1:27" ht="15">
      <c r="A562" s="286"/>
      <c r="B562" s="286"/>
      <c r="C562" s="286"/>
      <c r="D562" s="28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</row>
    <row r="563" spans="1:27" ht="15">
      <c r="A563" s="286"/>
      <c r="B563" s="286"/>
      <c r="C563" s="286"/>
      <c r="D563" s="28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</row>
    <row r="564" spans="1:27" ht="15">
      <c r="A564" s="286"/>
      <c r="B564" s="286"/>
      <c r="C564" s="286"/>
      <c r="D564" s="28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</row>
    <row r="565" spans="1:27" ht="15">
      <c r="A565" s="286"/>
      <c r="B565" s="286"/>
      <c r="C565" s="286"/>
      <c r="D565" s="28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</row>
    <row r="566" spans="1:27" ht="15">
      <c r="A566" s="286"/>
      <c r="B566" s="286"/>
      <c r="C566" s="286"/>
      <c r="D566" s="28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</row>
    <row r="567" spans="1:27" ht="15">
      <c r="A567" s="286"/>
      <c r="B567" s="286"/>
      <c r="C567" s="286"/>
      <c r="D567" s="28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</row>
    <row r="568" spans="1:27" ht="15">
      <c r="A568" s="286"/>
      <c r="B568" s="286"/>
      <c r="C568" s="286"/>
      <c r="D568" s="28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</row>
    <row r="569" spans="1:27" ht="15">
      <c r="A569" s="286"/>
      <c r="B569" s="286"/>
      <c r="C569" s="286"/>
      <c r="D569" s="28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</row>
    <row r="570" spans="1:27" ht="15">
      <c r="A570" s="286"/>
      <c r="B570" s="286"/>
      <c r="C570" s="286"/>
      <c r="D570" s="28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</row>
    <row r="571" spans="1:27" ht="15">
      <c r="A571" s="286"/>
      <c r="B571" s="286"/>
      <c r="C571" s="286"/>
      <c r="D571" s="28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</row>
    <row r="572" spans="1:27" ht="15">
      <c r="A572" s="286"/>
      <c r="B572" s="286"/>
      <c r="C572" s="286"/>
      <c r="D572" s="28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</row>
    <row r="573" spans="1:27" ht="15">
      <c r="A573" s="286"/>
      <c r="B573" s="286"/>
      <c r="C573" s="286"/>
      <c r="D573" s="28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</row>
    <row r="574" spans="1:27" ht="15">
      <c r="A574" s="286"/>
      <c r="B574" s="286"/>
      <c r="C574" s="286"/>
      <c r="D574" s="28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</row>
    <row r="575" spans="1:27" ht="15">
      <c r="A575" s="286"/>
      <c r="B575" s="286"/>
      <c r="C575" s="286"/>
      <c r="D575" s="28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</row>
    <row r="576" spans="1:27" ht="15">
      <c r="A576" s="286"/>
      <c r="B576" s="286"/>
      <c r="C576" s="286"/>
      <c r="D576" s="28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</row>
    <row r="577" spans="1:27" ht="15">
      <c r="A577" s="286"/>
      <c r="B577" s="286"/>
      <c r="C577" s="286"/>
      <c r="D577" s="28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</row>
    <row r="578" spans="1:27" ht="15">
      <c r="A578" s="286"/>
      <c r="B578" s="286"/>
      <c r="C578" s="286"/>
      <c r="D578" s="28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</row>
    <row r="579" spans="1:27" ht="15">
      <c r="A579" s="286"/>
      <c r="B579" s="286"/>
      <c r="C579" s="286"/>
      <c r="D579" s="28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</row>
    <row r="580" spans="1:27" ht="15">
      <c r="A580" s="286"/>
      <c r="B580" s="286"/>
      <c r="C580" s="286"/>
      <c r="D580" s="28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</row>
    <row r="581" spans="1:27" ht="15">
      <c r="A581" s="286"/>
      <c r="B581" s="286"/>
      <c r="C581" s="286"/>
      <c r="D581" s="28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</row>
    <row r="582" spans="1:27" ht="15">
      <c r="A582" s="286"/>
      <c r="B582" s="286"/>
      <c r="C582" s="286"/>
      <c r="D582" s="28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</row>
    <row r="583" spans="1:27" ht="15">
      <c r="A583" s="286"/>
      <c r="B583" s="286"/>
      <c r="C583" s="286"/>
      <c r="D583" s="28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</row>
    <row r="584" spans="1:27" ht="15">
      <c r="A584" s="286"/>
      <c r="B584" s="286"/>
      <c r="C584" s="286"/>
      <c r="D584" s="28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</row>
    <row r="585" spans="1:27" ht="15">
      <c r="A585" s="286"/>
      <c r="B585" s="286"/>
      <c r="C585" s="286"/>
      <c r="D585" s="28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</row>
    <row r="586" spans="1:27" ht="15">
      <c r="A586" s="286"/>
      <c r="B586" s="286"/>
      <c r="C586" s="286"/>
      <c r="D586" s="28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</row>
    <row r="587" spans="1:27" ht="15">
      <c r="A587" s="286"/>
      <c r="B587" s="286"/>
      <c r="C587" s="286"/>
      <c r="D587" s="28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</row>
    <row r="588" spans="1:27" ht="15">
      <c r="A588" s="286"/>
      <c r="B588" s="286"/>
      <c r="C588" s="286"/>
      <c r="D588" s="28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</row>
    <row r="589" spans="1:27" ht="15">
      <c r="A589" s="286"/>
      <c r="B589" s="286"/>
      <c r="C589" s="286"/>
      <c r="D589" s="28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</row>
    <row r="590" spans="1:27" ht="15">
      <c r="A590" s="286"/>
      <c r="B590" s="286"/>
      <c r="C590" s="286"/>
      <c r="D590" s="28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</row>
    <row r="591" spans="1:27" ht="15">
      <c r="A591" s="286"/>
      <c r="B591" s="286"/>
      <c r="C591" s="286"/>
      <c r="D591" s="28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</row>
    <row r="592" spans="1:27" ht="15">
      <c r="A592" s="286"/>
      <c r="B592" s="286"/>
      <c r="C592" s="286"/>
      <c r="D592" s="28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</row>
    <row r="593" spans="1:27" ht="15">
      <c r="A593" s="286"/>
      <c r="B593" s="286"/>
      <c r="C593" s="286"/>
      <c r="D593" s="28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</row>
    <row r="594" spans="1:27" ht="15">
      <c r="A594" s="286"/>
      <c r="B594" s="286"/>
      <c r="C594" s="286"/>
      <c r="D594" s="28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</row>
    <row r="595" spans="1:27" ht="15">
      <c r="A595" s="286"/>
      <c r="B595" s="286"/>
      <c r="C595" s="286"/>
      <c r="D595" s="28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</row>
    <row r="596" spans="1:27" ht="15">
      <c r="A596" s="286"/>
      <c r="B596" s="286"/>
      <c r="C596" s="286"/>
      <c r="D596" s="28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</row>
    <row r="597" spans="1:27" ht="15">
      <c r="A597" s="286"/>
      <c r="B597" s="286"/>
      <c r="C597" s="286"/>
      <c r="D597" s="28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</row>
    <row r="598" spans="1:27" ht="15">
      <c r="A598" s="286"/>
      <c r="B598" s="286"/>
      <c r="C598" s="286"/>
      <c r="D598" s="28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</row>
    <row r="599" spans="1:27" ht="15">
      <c r="A599" s="286"/>
      <c r="B599" s="286"/>
      <c r="C599" s="286"/>
      <c r="D599" s="28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</row>
    <row r="600" spans="1:27" ht="15">
      <c r="A600" s="286"/>
      <c r="B600" s="286"/>
      <c r="C600" s="286"/>
      <c r="D600" s="28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</row>
    <row r="601" spans="1:27" ht="15">
      <c r="A601" s="286"/>
      <c r="B601" s="286"/>
      <c r="C601" s="286"/>
      <c r="D601" s="28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</row>
    <row r="602" spans="1:27" ht="15">
      <c r="A602" s="286"/>
      <c r="B602" s="286"/>
      <c r="C602" s="286"/>
      <c r="D602" s="28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</row>
    <row r="603" spans="1:27" ht="15">
      <c r="A603" s="286"/>
      <c r="B603" s="286"/>
      <c r="C603" s="286"/>
      <c r="D603" s="28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</row>
    <row r="604" spans="1:27" ht="15">
      <c r="A604" s="286"/>
      <c r="B604" s="286"/>
      <c r="C604" s="286"/>
      <c r="D604" s="28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</row>
    <row r="605" spans="1:27" ht="15">
      <c r="A605" s="286"/>
      <c r="B605" s="286"/>
      <c r="C605" s="286"/>
      <c r="D605" s="28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</row>
    <row r="606" spans="1:27" ht="15">
      <c r="A606" s="286"/>
      <c r="B606" s="286"/>
      <c r="C606" s="286"/>
      <c r="D606" s="28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</row>
    <row r="607" spans="1:27" ht="15">
      <c r="A607" s="286"/>
      <c r="B607" s="286"/>
      <c r="C607" s="286"/>
      <c r="D607" s="28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</row>
    <row r="608" spans="1:27" ht="15">
      <c r="A608" s="286"/>
      <c r="B608" s="286"/>
      <c r="C608" s="286"/>
      <c r="D608" s="28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</row>
    <row r="609" spans="1:27" ht="15">
      <c r="A609" s="286"/>
      <c r="B609" s="286"/>
      <c r="C609" s="286"/>
      <c r="D609" s="28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</row>
    <row r="610" spans="1:27" ht="15">
      <c r="A610" s="286"/>
      <c r="B610" s="286"/>
      <c r="C610" s="286"/>
      <c r="D610" s="28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</row>
    <row r="611" spans="1:27" ht="15">
      <c r="A611" s="286"/>
      <c r="B611" s="286"/>
      <c r="C611" s="286"/>
      <c r="D611" s="28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</row>
    <row r="612" spans="1:27" ht="15">
      <c r="A612" s="286"/>
      <c r="B612" s="286"/>
      <c r="C612" s="286"/>
      <c r="D612" s="28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</row>
    <row r="613" spans="1:27" ht="15">
      <c r="A613" s="286"/>
      <c r="B613" s="286"/>
      <c r="C613" s="286"/>
      <c r="D613" s="28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</row>
    <row r="614" spans="1:27" ht="15">
      <c r="A614" s="286"/>
      <c r="B614" s="286"/>
      <c r="C614" s="286"/>
      <c r="D614" s="28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</row>
    <row r="615" spans="1:27" ht="15">
      <c r="A615" s="286"/>
      <c r="B615" s="286"/>
      <c r="C615" s="286"/>
      <c r="D615" s="28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</row>
    <row r="616" spans="1:27" ht="15">
      <c r="A616" s="286"/>
      <c r="B616" s="286"/>
      <c r="C616" s="286"/>
      <c r="D616" s="28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</row>
    <row r="617" spans="1:27" ht="15">
      <c r="A617" s="286"/>
      <c r="B617" s="286"/>
      <c r="C617" s="286"/>
      <c r="D617" s="28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</row>
    <row r="618" spans="1:27" ht="15">
      <c r="A618" s="286"/>
      <c r="B618" s="286"/>
      <c r="C618" s="286"/>
      <c r="D618" s="28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</row>
    <row r="619" spans="1:27" ht="15">
      <c r="A619" s="286"/>
      <c r="B619" s="286"/>
      <c r="C619" s="286"/>
      <c r="D619" s="28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</row>
    <row r="620" spans="1:27" ht="15">
      <c r="A620" s="286"/>
      <c r="B620" s="286"/>
      <c r="C620" s="286"/>
      <c r="D620" s="28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</row>
    <row r="621" spans="1:27" ht="15">
      <c r="A621" s="286"/>
      <c r="B621" s="286"/>
      <c r="C621" s="286"/>
      <c r="D621" s="28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</row>
    <row r="622" spans="1:27" ht="15">
      <c r="A622" s="286"/>
      <c r="B622" s="286"/>
      <c r="C622" s="286"/>
      <c r="D622" s="28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</row>
    <row r="623" spans="1:27" ht="15">
      <c r="A623" s="286"/>
      <c r="B623" s="286"/>
      <c r="C623" s="286"/>
      <c r="D623" s="28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</row>
    <row r="624" spans="1:27" ht="15">
      <c r="A624" s="286"/>
      <c r="B624" s="286"/>
      <c r="C624" s="286"/>
      <c r="D624" s="28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</row>
    <row r="625" spans="1:27" ht="15">
      <c r="A625" s="286"/>
      <c r="B625" s="286"/>
      <c r="C625" s="286"/>
      <c r="D625" s="28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</row>
    <row r="626" spans="1:27" ht="15">
      <c r="A626" s="286"/>
      <c r="B626" s="286"/>
      <c r="C626" s="286"/>
      <c r="D626" s="28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</row>
    <row r="627" spans="1:27" ht="15">
      <c r="A627" s="286"/>
      <c r="B627" s="286"/>
      <c r="C627" s="286"/>
      <c r="D627" s="28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</row>
    <row r="628" spans="1:27" ht="15">
      <c r="A628" s="286"/>
      <c r="B628" s="286"/>
      <c r="C628" s="286"/>
      <c r="D628" s="28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</row>
    <row r="629" spans="1:27" ht="15">
      <c r="A629" s="286"/>
      <c r="B629" s="286"/>
      <c r="C629" s="286"/>
      <c r="D629" s="28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</row>
    <row r="630" spans="1:27" ht="15">
      <c r="A630" s="286"/>
      <c r="B630" s="286"/>
      <c r="C630" s="286"/>
      <c r="D630" s="28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</row>
    <row r="631" spans="1:27" ht="15">
      <c r="A631" s="286"/>
      <c r="B631" s="286"/>
      <c r="C631" s="286"/>
      <c r="D631" s="28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</row>
    <row r="632" spans="1:27" ht="15">
      <c r="A632" s="286"/>
      <c r="B632" s="286"/>
      <c r="C632" s="286"/>
      <c r="D632" s="28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</row>
    <row r="633" spans="1:27" ht="15">
      <c r="A633" s="286"/>
      <c r="B633" s="286"/>
      <c r="C633" s="286"/>
      <c r="D633" s="28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</row>
    <row r="634" spans="1:27" ht="15">
      <c r="A634" s="286"/>
      <c r="B634" s="286"/>
      <c r="C634" s="286"/>
      <c r="D634" s="28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</row>
    <row r="635" spans="1:27" ht="15">
      <c r="A635" s="286"/>
      <c r="B635" s="286"/>
      <c r="C635" s="286"/>
      <c r="D635" s="28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</row>
    <row r="636" spans="1:27" ht="15">
      <c r="A636" s="286"/>
      <c r="B636" s="286"/>
      <c r="C636" s="286"/>
      <c r="D636" s="28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</row>
    <row r="637" spans="1:27" ht="15">
      <c r="A637" s="286"/>
      <c r="B637" s="286"/>
      <c r="C637" s="286"/>
      <c r="D637" s="28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</row>
    <row r="638" spans="1:27" ht="15">
      <c r="A638" s="286"/>
      <c r="B638" s="286"/>
      <c r="C638" s="286"/>
      <c r="D638" s="28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</row>
    <row r="639" spans="1:27" ht="15">
      <c r="A639" s="286"/>
      <c r="B639" s="286"/>
      <c r="C639" s="286"/>
      <c r="D639" s="28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</row>
    <row r="640" spans="1:27" ht="15">
      <c r="A640" s="286"/>
      <c r="B640" s="286"/>
      <c r="C640" s="286"/>
      <c r="D640" s="28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</row>
    <row r="641" spans="1:27" ht="15">
      <c r="A641" s="286"/>
      <c r="B641" s="286"/>
      <c r="C641" s="286"/>
      <c r="D641" s="28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</row>
    <row r="642" spans="1:27" ht="15">
      <c r="A642" s="286"/>
      <c r="B642" s="286"/>
      <c r="C642" s="286"/>
      <c r="D642" s="28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</row>
    <row r="643" spans="1:27" ht="15">
      <c r="A643" s="286"/>
      <c r="B643" s="286"/>
      <c r="C643" s="286"/>
      <c r="D643" s="28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</row>
    <row r="644" spans="1:27" ht="15">
      <c r="A644" s="286"/>
      <c r="B644" s="286"/>
      <c r="C644" s="286"/>
      <c r="D644" s="28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</row>
    <row r="645" spans="1:27" ht="15">
      <c r="A645" s="286"/>
      <c r="B645" s="286"/>
      <c r="C645" s="286"/>
      <c r="D645" s="28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</row>
    <row r="646" spans="1:27" ht="15">
      <c r="A646" s="286"/>
      <c r="B646" s="286"/>
      <c r="C646" s="286"/>
      <c r="D646" s="28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</row>
    <row r="647" spans="1:27" ht="15">
      <c r="A647" s="286"/>
      <c r="B647" s="286"/>
      <c r="C647" s="286"/>
      <c r="D647" s="28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</row>
    <row r="648" spans="1:27" ht="15">
      <c r="A648" s="286"/>
      <c r="B648" s="286"/>
      <c r="C648" s="286"/>
      <c r="D648" s="28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</row>
    <row r="649" spans="1:27" ht="15">
      <c r="A649" s="286"/>
      <c r="B649" s="286"/>
      <c r="C649" s="286"/>
      <c r="D649" s="28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</row>
    <row r="650" spans="1:27" ht="15">
      <c r="A650" s="286"/>
      <c r="B650" s="286"/>
      <c r="C650" s="286"/>
      <c r="D650" s="28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</row>
    <row r="651" spans="1:27" ht="15">
      <c r="A651" s="286"/>
      <c r="B651" s="286"/>
      <c r="C651" s="286"/>
      <c r="D651" s="28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</row>
    <row r="652" spans="1:27" ht="15">
      <c r="A652" s="286"/>
      <c r="B652" s="286"/>
      <c r="C652" s="286"/>
      <c r="D652" s="28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</row>
    <row r="653" spans="1:27" ht="15">
      <c r="A653" s="286"/>
      <c r="B653" s="286"/>
      <c r="C653" s="286"/>
      <c r="D653" s="28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</row>
    <row r="654" spans="1:27" ht="15">
      <c r="A654" s="286"/>
      <c r="B654" s="286"/>
      <c r="C654" s="286"/>
      <c r="D654" s="28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</row>
    <row r="655" spans="1:27" ht="15">
      <c r="A655" s="286"/>
      <c r="B655" s="286"/>
      <c r="C655" s="286"/>
      <c r="D655" s="28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</row>
    <row r="656" spans="1:27" ht="15">
      <c r="A656" s="286"/>
      <c r="B656" s="286"/>
      <c r="C656" s="286"/>
      <c r="D656" s="28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</row>
    <row r="657" spans="1:27" ht="15">
      <c r="A657" s="286"/>
      <c r="B657" s="286"/>
      <c r="C657" s="286"/>
      <c r="D657" s="28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</row>
    <row r="658" spans="1:27" ht="15">
      <c r="A658" s="286"/>
      <c r="B658" s="286"/>
      <c r="C658" s="286"/>
      <c r="D658" s="28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</row>
    <row r="659" spans="1:27" ht="15">
      <c r="A659" s="286"/>
      <c r="B659" s="286"/>
      <c r="C659" s="286"/>
      <c r="D659" s="28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</row>
    <row r="660" spans="1:27" ht="15">
      <c r="A660" s="286"/>
      <c r="B660" s="286"/>
      <c r="C660" s="286"/>
      <c r="D660" s="28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</row>
    <row r="661" spans="1:27" ht="15">
      <c r="A661" s="286"/>
      <c r="B661" s="286"/>
      <c r="C661" s="286"/>
      <c r="D661" s="28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</row>
    <row r="662" spans="1:27" ht="15">
      <c r="A662" s="286"/>
      <c r="B662" s="286"/>
      <c r="C662" s="286"/>
      <c r="D662" s="28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</row>
    <row r="663" spans="1:27" ht="15">
      <c r="A663" s="286"/>
      <c r="B663" s="286"/>
      <c r="C663" s="286"/>
      <c r="D663" s="28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</row>
    <row r="664" spans="1:27" ht="15">
      <c r="A664" s="286"/>
      <c r="B664" s="286"/>
      <c r="C664" s="286"/>
      <c r="D664" s="28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</row>
    <row r="665" spans="1:27" ht="15">
      <c r="A665" s="286"/>
      <c r="B665" s="286"/>
      <c r="C665" s="286"/>
      <c r="D665" s="28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</row>
    <row r="666" spans="1:27" ht="15">
      <c r="A666" s="286"/>
      <c r="B666" s="286"/>
      <c r="C666" s="286"/>
      <c r="D666" s="28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</row>
    <row r="667" spans="1:27" ht="15">
      <c r="A667" s="286"/>
      <c r="B667" s="286"/>
      <c r="C667" s="286"/>
      <c r="D667" s="28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</row>
    <row r="668" spans="1:27" ht="15">
      <c r="A668" s="286"/>
      <c r="B668" s="286"/>
      <c r="C668" s="286"/>
      <c r="D668" s="28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</row>
    <row r="669" spans="1:27" ht="15">
      <c r="A669" s="286"/>
      <c r="B669" s="286"/>
      <c r="C669" s="286"/>
      <c r="D669" s="28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</row>
    <row r="670" spans="1:27" ht="15">
      <c r="A670" s="286"/>
      <c r="B670" s="286"/>
      <c r="C670" s="286"/>
      <c r="D670" s="28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</row>
    <row r="671" spans="1:27" ht="15">
      <c r="A671" s="286"/>
      <c r="B671" s="286"/>
      <c r="C671" s="286"/>
      <c r="D671" s="28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</row>
    <row r="672" spans="1:27" ht="15">
      <c r="A672" s="286"/>
      <c r="B672" s="286"/>
      <c r="C672" s="286"/>
      <c r="D672" s="28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</row>
    <row r="673" spans="1:27" ht="15">
      <c r="A673" s="286"/>
      <c r="B673" s="286"/>
      <c r="C673" s="286"/>
      <c r="D673" s="28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</row>
    <row r="674" spans="1:27" ht="15">
      <c r="A674" s="286"/>
      <c r="B674" s="286"/>
      <c r="C674" s="286"/>
      <c r="D674" s="28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</row>
    <row r="675" spans="1:27" ht="15">
      <c r="A675" s="286"/>
      <c r="B675" s="286"/>
      <c r="C675" s="286"/>
      <c r="D675" s="28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</row>
    <row r="676" spans="1:27" ht="15">
      <c r="A676" s="286"/>
      <c r="B676" s="286"/>
      <c r="C676" s="286"/>
      <c r="D676" s="28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</row>
    <row r="677" spans="1:27" ht="15">
      <c r="A677" s="286"/>
      <c r="B677" s="286"/>
      <c r="C677" s="286"/>
      <c r="D677" s="28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</row>
    <row r="678" spans="1:27" ht="15">
      <c r="A678" s="286"/>
      <c r="B678" s="286"/>
      <c r="C678" s="286"/>
      <c r="D678" s="28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</row>
    <row r="679" spans="1:27" ht="15">
      <c r="A679" s="286"/>
      <c r="B679" s="286"/>
      <c r="C679" s="286"/>
      <c r="D679" s="28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</row>
    <row r="680" spans="1:27" ht="15">
      <c r="A680" s="286"/>
      <c r="B680" s="286"/>
      <c r="C680" s="286"/>
      <c r="D680" s="28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</row>
    <row r="681" spans="1:27" ht="15">
      <c r="A681" s="286"/>
      <c r="B681" s="286"/>
      <c r="C681" s="286"/>
      <c r="D681" s="28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</row>
    <row r="682" spans="1:27" ht="15">
      <c r="A682" s="286"/>
      <c r="B682" s="286"/>
      <c r="C682" s="286"/>
      <c r="D682" s="28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</row>
    <row r="683" spans="1:27" ht="15">
      <c r="A683" s="286"/>
      <c r="B683" s="286"/>
      <c r="C683" s="286"/>
      <c r="D683" s="28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</row>
    <row r="684" spans="1:27" ht="15">
      <c r="A684" s="286"/>
      <c r="B684" s="286"/>
      <c r="C684" s="286"/>
      <c r="D684" s="28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</row>
    <row r="685" spans="1:27" ht="15">
      <c r="A685" s="286"/>
      <c r="B685" s="286"/>
      <c r="C685" s="286"/>
      <c r="D685" s="28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</row>
    <row r="686" spans="1:27" ht="15">
      <c r="A686" s="286"/>
      <c r="B686" s="286"/>
      <c r="C686" s="286"/>
      <c r="D686" s="28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</row>
    <row r="687" spans="1:27" ht="15">
      <c r="A687" s="286"/>
      <c r="B687" s="286"/>
      <c r="C687" s="286"/>
      <c r="D687" s="28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</row>
    <row r="688" spans="1:27" ht="15">
      <c r="A688" s="286"/>
      <c r="B688" s="286"/>
      <c r="C688" s="286"/>
      <c r="D688" s="28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</row>
    <row r="689" spans="1:27" ht="15">
      <c r="A689" s="286"/>
      <c r="B689" s="286"/>
      <c r="C689" s="286"/>
      <c r="D689" s="28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</row>
    <row r="690" spans="1:27" ht="15">
      <c r="A690" s="286"/>
      <c r="B690" s="286"/>
      <c r="C690" s="286"/>
      <c r="D690" s="28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</row>
    <row r="691" spans="1:27" ht="15">
      <c r="A691" s="286"/>
      <c r="B691" s="286"/>
      <c r="C691" s="286"/>
      <c r="D691" s="28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</row>
    <row r="692" spans="1:27" ht="15">
      <c r="A692" s="286"/>
      <c r="B692" s="286"/>
      <c r="C692" s="286"/>
      <c r="D692" s="28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</row>
    <row r="693" spans="1:27" ht="15">
      <c r="A693" s="286"/>
      <c r="B693" s="286"/>
      <c r="C693" s="286"/>
      <c r="D693" s="28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</row>
    <row r="694" spans="1:27" ht="15">
      <c r="A694" s="286"/>
      <c r="B694" s="286"/>
      <c r="C694" s="286"/>
      <c r="D694" s="28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</row>
    <row r="695" spans="1:27" ht="15">
      <c r="A695" s="286"/>
      <c r="B695" s="286"/>
      <c r="C695" s="286"/>
      <c r="D695" s="28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</row>
    <row r="696" spans="1:27" ht="15">
      <c r="A696" s="286"/>
      <c r="B696" s="286"/>
      <c r="C696" s="286"/>
      <c r="D696" s="28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</row>
    <row r="697" spans="1:27" ht="15">
      <c r="A697" s="286"/>
      <c r="B697" s="286"/>
      <c r="C697" s="286"/>
      <c r="D697" s="28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</row>
    <row r="698" spans="1:27" ht="15">
      <c r="A698" s="286"/>
      <c r="B698" s="286"/>
      <c r="C698" s="286"/>
      <c r="D698" s="28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</row>
    <row r="699" spans="1:27" ht="15">
      <c r="A699" s="286"/>
      <c r="B699" s="286"/>
      <c r="C699" s="286"/>
      <c r="D699" s="28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</row>
    <row r="700" spans="1:27" ht="15">
      <c r="A700" s="286"/>
      <c r="B700" s="286"/>
      <c r="C700" s="286"/>
      <c r="D700" s="28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</row>
    <row r="701" spans="1:27" ht="15">
      <c r="A701" s="286"/>
      <c r="B701" s="286"/>
      <c r="C701" s="286"/>
      <c r="D701" s="28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</row>
    <row r="702" spans="1:27" ht="15">
      <c r="A702" s="286"/>
      <c r="B702" s="286"/>
      <c r="C702" s="286"/>
      <c r="D702" s="28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</row>
    <row r="703" spans="1:27" ht="15">
      <c r="A703" s="286"/>
      <c r="B703" s="286"/>
      <c r="C703" s="286"/>
      <c r="D703" s="28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</row>
    <row r="704" spans="1:27" ht="15">
      <c r="A704" s="286"/>
      <c r="B704" s="286"/>
      <c r="C704" s="286"/>
      <c r="D704" s="28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</row>
    <row r="705" spans="1:27" ht="15">
      <c r="A705" s="286"/>
      <c r="B705" s="286"/>
      <c r="C705" s="286"/>
      <c r="D705" s="28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</row>
    <row r="706" spans="1:27" ht="15">
      <c r="A706" s="286"/>
      <c r="B706" s="286"/>
      <c r="C706" s="286"/>
      <c r="D706" s="28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</row>
    <row r="707" spans="1:27" ht="15">
      <c r="A707" s="286"/>
      <c r="B707" s="286"/>
      <c r="C707" s="286"/>
      <c r="D707" s="28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</row>
    <row r="708" spans="1:27" ht="15">
      <c r="A708" s="286"/>
      <c r="B708" s="286"/>
      <c r="C708" s="286"/>
      <c r="D708" s="28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</row>
    <row r="709" spans="1:27" ht="15">
      <c r="A709" s="286"/>
      <c r="B709" s="286"/>
      <c r="C709" s="286"/>
      <c r="D709" s="28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</row>
    <row r="710" spans="1:27" ht="15">
      <c r="A710" s="286"/>
      <c r="B710" s="286"/>
      <c r="C710" s="286"/>
      <c r="D710" s="28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</row>
    <row r="711" spans="1:27" ht="15">
      <c r="A711" s="286"/>
      <c r="B711" s="286"/>
      <c r="C711" s="286"/>
      <c r="D711" s="28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</row>
    <row r="712" spans="1:27" ht="15">
      <c r="A712" s="286"/>
      <c r="B712" s="286"/>
      <c r="C712" s="286"/>
      <c r="D712" s="28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</row>
    <row r="713" spans="1:27" ht="15">
      <c r="A713" s="286"/>
      <c r="B713" s="286"/>
      <c r="C713" s="286"/>
      <c r="D713" s="28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</row>
    <row r="714" spans="1:27" ht="15">
      <c r="A714" s="286"/>
      <c r="B714" s="286"/>
      <c r="C714" s="286"/>
      <c r="D714" s="28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</row>
    <row r="715" spans="1:27" ht="15">
      <c r="A715" s="286"/>
      <c r="B715" s="286"/>
      <c r="C715" s="286"/>
      <c r="D715" s="28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</row>
    <row r="716" spans="1:27" ht="15">
      <c r="A716" s="286"/>
      <c r="B716" s="286"/>
      <c r="C716" s="286"/>
      <c r="D716" s="28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</row>
    <row r="717" spans="1:27" ht="15">
      <c r="A717" s="286"/>
      <c r="B717" s="286"/>
      <c r="C717" s="286"/>
      <c r="D717" s="28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</row>
    <row r="718" spans="1:27" ht="15">
      <c r="A718" s="286"/>
      <c r="B718" s="286"/>
      <c r="C718" s="286"/>
      <c r="D718" s="28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</row>
    <row r="719" spans="1:27" ht="15">
      <c r="A719" s="286"/>
      <c r="B719" s="286"/>
      <c r="C719" s="286"/>
      <c r="D719" s="28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</row>
    <row r="720" spans="1:27" ht="15">
      <c r="A720" s="286"/>
      <c r="B720" s="286"/>
      <c r="C720" s="286"/>
      <c r="D720" s="28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</row>
    <row r="721" spans="1:27" ht="15">
      <c r="A721" s="286"/>
      <c r="B721" s="286"/>
      <c r="C721" s="286"/>
      <c r="D721" s="28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</row>
    <row r="722" spans="1:27" ht="15">
      <c r="A722" s="286"/>
      <c r="B722" s="286"/>
      <c r="C722" s="286"/>
      <c r="D722" s="28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</row>
    <row r="723" spans="1:27" ht="15">
      <c r="A723" s="286"/>
      <c r="B723" s="286"/>
      <c r="C723" s="286"/>
      <c r="D723" s="28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</row>
    <row r="724" spans="1:27" ht="15">
      <c r="A724" s="286"/>
      <c r="B724" s="286"/>
      <c r="C724" s="286"/>
      <c r="D724" s="28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</row>
    <row r="725" spans="1:27" ht="15">
      <c r="A725" s="286"/>
      <c r="B725" s="286"/>
      <c r="C725" s="286"/>
      <c r="D725" s="28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</row>
    <row r="726" spans="1:27" ht="15">
      <c r="A726" s="286"/>
      <c r="B726" s="286"/>
      <c r="C726" s="286"/>
      <c r="D726" s="28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</row>
    <row r="727" spans="1:27" ht="15">
      <c r="A727" s="286"/>
      <c r="B727" s="286"/>
      <c r="C727" s="286"/>
      <c r="D727" s="28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</row>
    <row r="728" spans="1:27" ht="15">
      <c r="A728" s="286"/>
      <c r="B728" s="286"/>
      <c r="C728" s="286"/>
      <c r="D728" s="28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</row>
    <row r="729" spans="1:27" ht="15">
      <c r="A729" s="286"/>
      <c r="B729" s="286"/>
      <c r="C729" s="286"/>
      <c r="D729" s="28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</row>
    <row r="730" spans="1:27" ht="15">
      <c r="A730" s="286"/>
      <c r="B730" s="286"/>
      <c r="C730" s="286"/>
      <c r="D730" s="28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</row>
    <row r="731" spans="1:27" ht="15">
      <c r="A731" s="286"/>
      <c r="B731" s="286"/>
      <c r="C731" s="286"/>
      <c r="D731" s="28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</row>
    <row r="732" spans="1:27" ht="15">
      <c r="A732" s="286"/>
      <c r="B732" s="286"/>
      <c r="C732" s="286"/>
      <c r="D732" s="28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</row>
    <row r="733" spans="1:27" ht="15">
      <c r="A733" s="286"/>
      <c r="B733" s="286"/>
      <c r="C733" s="286"/>
      <c r="D733" s="28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</row>
    <row r="734" spans="1:27" ht="15">
      <c r="A734" s="286"/>
      <c r="B734" s="286"/>
      <c r="C734" s="286"/>
      <c r="D734" s="28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</row>
    <row r="735" spans="1:27" ht="15">
      <c r="A735" s="286"/>
      <c r="B735" s="286"/>
      <c r="C735" s="286"/>
      <c r="D735" s="28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</row>
    <row r="736" spans="1:27" ht="15">
      <c r="A736" s="286"/>
      <c r="B736" s="286"/>
      <c r="C736" s="286"/>
      <c r="D736" s="28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</row>
    <row r="737" spans="1:27" ht="15">
      <c r="A737" s="286"/>
      <c r="B737" s="286"/>
      <c r="C737" s="286"/>
      <c r="D737" s="28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</row>
    <row r="738" spans="1:27" ht="15">
      <c r="A738" s="286"/>
      <c r="B738" s="286"/>
      <c r="C738" s="286"/>
      <c r="D738" s="28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</row>
    <row r="739" spans="1:27" ht="15">
      <c r="A739" s="286"/>
      <c r="B739" s="286"/>
      <c r="C739" s="286"/>
      <c r="D739" s="28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</row>
    <row r="740" spans="1:27" ht="15">
      <c r="A740" s="286"/>
      <c r="B740" s="286"/>
      <c r="C740" s="286"/>
      <c r="D740" s="28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</row>
    <row r="741" spans="1:27" ht="15">
      <c r="A741" s="286"/>
      <c r="B741" s="286"/>
      <c r="C741" s="286"/>
      <c r="D741" s="28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</row>
    <row r="742" spans="1:27" ht="15">
      <c r="A742" s="286"/>
      <c r="B742" s="286"/>
      <c r="C742" s="286"/>
      <c r="D742" s="28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</row>
    <row r="743" spans="1:27" ht="15">
      <c r="A743" s="286"/>
      <c r="B743" s="286"/>
      <c r="C743" s="286"/>
      <c r="D743" s="28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</row>
    <row r="744" spans="1:27" ht="15">
      <c r="A744" s="286"/>
      <c r="B744" s="286"/>
      <c r="C744" s="286"/>
      <c r="D744" s="28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</row>
    <row r="745" spans="1:27" ht="15">
      <c r="A745" s="286"/>
      <c r="B745" s="286"/>
      <c r="C745" s="286"/>
      <c r="D745" s="28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</row>
    <row r="746" spans="1:27" ht="15">
      <c r="A746" s="286"/>
      <c r="B746" s="286"/>
      <c r="C746" s="286"/>
      <c r="D746" s="28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</row>
    <row r="747" spans="1:27" ht="15">
      <c r="A747" s="286"/>
      <c r="B747" s="286"/>
      <c r="C747" s="286"/>
      <c r="D747" s="28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</row>
    <row r="748" spans="1:27" ht="15">
      <c r="A748" s="286"/>
      <c r="B748" s="286"/>
      <c r="C748" s="286"/>
      <c r="D748" s="28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</row>
    <row r="749" spans="1:27" ht="15">
      <c r="A749" s="286"/>
      <c r="B749" s="286"/>
      <c r="C749" s="286"/>
      <c r="D749" s="28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</row>
    <row r="750" spans="1:27" ht="15">
      <c r="A750" s="286"/>
      <c r="B750" s="286"/>
      <c r="C750" s="286"/>
      <c r="D750" s="28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</row>
    <row r="751" spans="1:27" ht="15">
      <c r="A751" s="286"/>
      <c r="B751" s="286"/>
      <c r="C751" s="286"/>
      <c r="D751" s="28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</row>
    <row r="752" spans="1:27" ht="15">
      <c r="A752" s="286"/>
      <c r="B752" s="286"/>
      <c r="C752" s="286"/>
      <c r="D752" s="28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</row>
    <row r="753" spans="1:27" ht="15">
      <c r="A753" s="286"/>
      <c r="B753" s="286"/>
      <c r="C753" s="286"/>
      <c r="D753" s="28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</row>
    <row r="754" spans="1:27" ht="15">
      <c r="A754" s="286"/>
      <c r="B754" s="286"/>
      <c r="C754" s="286"/>
      <c r="D754" s="28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</row>
    <row r="755" spans="1:27" ht="15">
      <c r="A755" s="286"/>
      <c r="B755" s="286"/>
      <c r="C755" s="286"/>
      <c r="D755" s="28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</row>
    <row r="756" spans="1:27" ht="15">
      <c r="A756" s="286"/>
      <c r="B756" s="286"/>
      <c r="C756" s="286"/>
      <c r="D756" s="28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</row>
    <row r="757" spans="1:27" ht="15">
      <c r="A757" s="286"/>
      <c r="B757" s="286"/>
      <c r="C757" s="286"/>
      <c r="D757" s="28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</row>
    <row r="758" spans="1:27" ht="15">
      <c r="A758" s="286"/>
      <c r="B758" s="286"/>
      <c r="C758" s="286"/>
      <c r="D758" s="28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</row>
    <row r="759" spans="1:27" ht="15">
      <c r="A759" s="286"/>
      <c r="B759" s="286"/>
      <c r="C759" s="286"/>
      <c r="D759" s="28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</row>
    <row r="760" spans="1:27" ht="15">
      <c r="A760" s="286"/>
      <c r="B760" s="286"/>
      <c r="C760" s="286"/>
      <c r="D760" s="28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</row>
    <row r="761" spans="1:27" ht="15">
      <c r="A761" s="286"/>
      <c r="B761" s="286"/>
      <c r="C761" s="286"/>
      <c r="D761" s="28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</row>
    <row r="762" spans="1:27" ht="15">
      <c r="A762" s="286"/>
      <c r="B762" s="286"/>
      <c r="C762" s="286"/>
      <c r="D762" s="28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</row>
    <row r="763" spans="1:27" ht="15">
      <c r="A763" s="286"/>
      <c r="B763" s="286"/>
      <c r="C763" s="286"/>
      <c r="D763" s="28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</row>
    <row r="764" spans="1:27" ht="15">
      <c r="A764" s="286"/>
      <c r="B764" s="286"/>
      <c r="C764" s="286"/>
      <c r="D764" s="28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</row>
    <row r="765" spans="1:27" ht="15">
      <c r="A765" s="286"/>
      <c r="B765" s="286"/>
      <c r="C765" s="286"/>
      <c r="D765" s="28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</row>
    <row r="766" spans="1:27" ht="15">
      <c r="A766" s="286"/>
      <c r="B766" s="286"/>
      <c r="C766" s="286"/>
      <c r="D766" s="28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</row>
    <row r="767" spans="1:27" ht="15">
      <c r="A767" s="286"/>
      <c r="B767" s="286"/>
      <c r="C767" s="286"/>
      <c r="D767" s="28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</row>
    <row r="768" spans="1:27" ht="15">
      <c r="A768" s="286"/>
      <c r="B768" s="286"/>
      <c r="C768" s="286"/>
      <c r="D768" s="28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</row>
    <row r="769" spans="1:27" ht="15">
      <c r="A769" s="286"/>
      <c r="B769" s="286"/>
      <c r="C769" s="286"/>
      <c r="D769" s="28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</row>
    <row r="770" spans="1:27" ht="15">
      <c r="A770" s="286"/>
      <c r="B770" s="286"/>
      <c r="C770" s="286"/>
      <c r="D770" s="28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</row>
    <row r="771" spans="1:27" ht="15">
      <c r="A771" s="286"/>
      <c r="B771" s="286"/>
      <c r="C771" s="286"/>
      <c r="D771" s="28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</row>
    <row r="772" spans="1:27" ht="15">
      <c r="A772" s="286"/>
      <c r="B772" s="286"/>
      <c r="C772" s="286"/>
      <c r="D772" s="28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</row>
    <row r="773" spans="1:27" ht="15">
      <c r="A773" s="286"/>
      <c r="B773" s="286"/>
      <c r="C773" s="286"/>
      <c r="D773" s="28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</row>
    <row r="774" spans="1:27" ht="15">
      <c r="A774" s="286"/>
      <c r="B774" s="286"/>
      <c r="C774" s="286"/>
      <c r="D774" s="28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</row>
    <row r="775" spans="1:27" ht="15">
      <c r="A775" s="286"/>
      <c r="B775" s="286"/>
      <c r="C775" s="286"/>
      <c r="D775" s="28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</row>
    <row r="776" spans="1:27" ht="15">
      <c r="A776" s="286"/>
      <c r="B776" s="286"/>
      <c r="C776" s="286"/>
      <c r="D776" s="28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</row>
    <row r="777" spans="1:27" ht="15">
      <c r="A777" s="286"/>
      <c r="B777" s="286"/>
      <c r="C777" s="286"/>
      <c r="D777" s="28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</row>
    <row r="778" spans="1:27" ht="15">
      <c r="A778" s="286"/>
      <c r="B778" s="286"/>
      <c r="C778" s="286"/>
      <c r="D778" s="28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</row>
    <row r="779" spans="1:27" ht="15">
      <c r="A779" s="286"/>
      <c r="B779" s="286"/>
      <c r="C779" s="286"/>
      <c r="D779" s="28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</row>
    <row r="780" spans="1:27" ht="15">
      <c r="A780" s="286"/>
      <c r="B780" s="286"/>
      <c r="C780" s="286"/>
      <c r="D780" s="28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</row>
    <row r="781" spans="1:27" ht="15">
      <c r="A781" s="286"/>
      <c r="B781" s="286"/>
      <c r="C781" s="286"/>
      <c r="D781" s="28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</row>
    <row r="782" spans="1:27" ht="15">
      <c r="A782" s="286"/>
      <c r="B782" s="286"/>
      <c r="C782" s="286"/>
      <c r="D782" s="28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</row>
    <row r="783" spans="1:27" ht="15">
      <c r="A783" s="286"/>
      <c r="B783" s="286"/>
      <c r="C783" s="286"/>
      <c r="D783" s="28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</row>
    <row r="784" spans="1:27" ht="15">
      <c r="A784" s="286"/>
      <c r="B784" s="286"/>
      <c r="C784" s="286"/>
      <c r="D784" s="28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</row>
    <row r="785" spans="1:27" ht="15">
      <c r="A785" s="286"/>
      <c r="B785" s="286"/>
      <c r="C785" s="286"/>
      <c r="D785" s="28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</row>
    <row r="786" spans="1:27" ht="15">
      <c r="A786" s="286"/>
      <c r="B786" s="286"/>
      <c r="C786" s="286"/>
      <c r="D786" s="28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</row>
    <row r="787" spans="1:27" ht="15">
      <c r="A787" s="286"/>
      <c r="B787" s="286"/>
      <c r="C787" s="286"/>
      <c r="D787" s="28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</row>
    <row r="788" spans="1:27" ht="15">
      <c r="A788" s="286"/>
      <c r="B788" s="286"/>
      <c r="C788" s="286"/>
      <c r="D788" s="28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</row>
    <row r="789" spans="1:27" ht="15">
      <c r="A789" s="286"/>
      <c r="B789" s="286"/>
      <c r="C789" s="286"/>
      <c r="D789" s="28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</row>
    <row r="790" spans="1:27" ht="15">
      <c r="A790" s="286"/>
      <c r="B790" s="286"/>
      <c r="C790" s="286"/>
      <c r="D790" s="28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</row>
    <row r="791" spans="1:27" ht="15">
      <c r="A791" s="286"/>
      <c r="B791" s="286"/>
      <c r="C791" s="286"/>
      <c r="D791" s="28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</row>
    <row r="792" spans="1:27" ht="15">
      <c r="A792" s="286"/>
      <c r="B792" s="286"/>
      <c r="C792" s="286"/>
      <c r="D792" s="28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</row>
    <row r="793" spans="1:27" ht="15">
      <c r="A793" s="286"/>
      <c r="B793" s="286"/>
      <c r="C793" s="286"/>
      <c r="D793" s="28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</row>
    <row r="794" spans="1:27" ht="15">
      <c r="A794" s="286"/>
      <c r="B794" s="286"/>
      <c r="C794" s="286"/>
      <c r="D794" s="28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</row>
    <row r="795" spans="1:27" ht="15">
      <c r="A795" s="286"/>
      <c r="B795" s="286"/>
      <c r="C795" s="286"/>
      <c r="D795" s="28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</row>
    <row r="796" spans="1:27" ht="15">
      <c r="A796" s="286"/>
      <c r="B796" s="286"/>
      <c r="C796" s="286"/>
      <c r="D796" s="28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</row>
    <row r="797" spans="1:27" ht="15">
      <c r="A797" s="286"/>
      <c r="B797" s="286"/>
      <c r="C797" s="286"/>
      <c r="D797" s="28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</row>
    <row r="798" spans="1:27" ht="15">
      <c r="A798" s="286"/>
      <c r="B798" s="286"/>
      <c r="C798" s="286"/>
      <c r="D798" s="28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</row>
    <row r="799" spans="1:27" ht="15">
      <c r="A799" s="286"/>
      <c r="B799" s="286"/>
      <c r="C799" s="286"/>
      <c r="D799" s="28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</row>
    <row r="800" spans="1:27" ht="15">
      <c r="A800" s="286"/>
      <c r="B800" s="286"/>
      <c r="C800" s="286"/>
      <c r="D800" s="28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</row>
    <row r="801" spans="1:27" ht="15">
      <c r="A801" s="286"/>
      <c r="B801" s="286"/>
      <c r="C801" s="286"/>
      <c r="D801" s="28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</row>
    <row r="802" spans="1:27" ht="15">
      <c r="A802" s="286"/>
      <c r="B802" s="286"/>
      <c r="C802" s="286"/>
      <c r="D802" s="28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</row>
    <row r="803" spans="1:27" ht="15">
      <c r="A803" s="286"/>
      <c r="B803" s="286"/>
      <c r="C803" s="286"/>
      <c r="D803" s="28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</row>
    <row r="804" spans="1:27" ht="15">
      <c r="A804" s="286"/>
      <c r="B804" s="286"/>
      <c r="C804" s="286"/>
      <c r="D804" s="28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</row>
    <row r="805" spans="1:27" ht="15">
      <c r="A805" s="286"/>
      <c r="B805" s="286"/>
      <c r="C805" s="286"/>
      <c r="D805" s="28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</row>
    <row r="806" spans="1:27" ht="15">
      <c r="A806" s="286"/>
      <c r="B806" s="286"/>
      <c r="C806" s="286"/>
      <c r="D806" s="28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</row>
    <row r="807" spans="1:27" ht="15">
      <c r="A807" s="286"/>
      <c r="B807" s="286"/>
      <c r="C807" s="286"/>
      <c r="D807" s="28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</row>
    <row r="808" spans="1:27" ht="15">
      <c r="A808" s="286"/>
      <c r="B808" s="286"/>
      <c r="C808" s="286"/>
      <c r="D808" s="28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</row>
    <row r="809" spans="1:27" ht="15">
      <c r="A809" s="286"/>
      <c r="B809" s="286"/>
      <c r="C809" s="286"/>
      <c r="D809" s="28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</row>
    <row r="810" spans="1:27" ht="15">
      <c r="A810" s="286"/>
      <c r="B810" s="286"/>
      <c r="C810" s="286"/>
      <c r="D810" s="28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</row>
    <row r="811" spans="1:27" ht="15">
      <c r="A811" s="286"/>
      <c r="B811" s="286"/>
      <c r="C811" s="286"/>
      <c r="D811" s="28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</row>
    <row r="812" spans="1:27" ht="15">
      <c r="A812" s="286"/>
      <c r="B812" s="286"/>
      <c r="C812" s="286"/>
      <c r="D812" s="28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</row>
    <row r="813" spans="1:27" ht="15">
      <c r="A813" s="286"/>
      <c r="B813" s="286"/>
      <c r="C813" s="286"/>
      <c r="D813" s="28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</row>
    <row r="814" spans="1:27" ht="15">
      <c r="A814" s="286"/>
      <c r="B814" s="286"/>
      <c r="C814" s="286"/>
      <c r="D814" s="28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</row>
    <row r="815" spans="1:27" ht="15">
      <c r="A815" s="286"/>
      <c r="B815" s="286"/>
      <c r="C815" s="286"/>
      <c r="D815" s="28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</row>
    <row r="816" spans="1:27" ht="15">
      <c r="A816" s="286"/>
      <c r="B816" s="286"/>
      <c r="C816" s="286"/>
      <c r="D816" s="28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</row>
    <row r="817" spans="1:27" ht="15">
      <c r="A817" s="286"/>
      <c r="B817" s="286"/>
      <c r="C817" s="286"/>
      <c r="D817" s="28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</row>
    <row r="818" spans="1:27" ht="15">
      <c r="A818" s="286"/>
      <c r="B818" s="286"/>
      <c r="C818" s="286"/>
      <c r="D818" s="28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</row>
    <row r="819" spans="1:27" ht="15">
      <c r="A819" s="286"/>
      <c r="B819" s="286"/>
      <c r="C819" s="286"/>
      <c r="D819" s="28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</row>
    <row r="820" spans="1:27" ht="15">
      <c r="A820" s="286"/>
      <c r="B820" s="286"/>
      <c r="C820" s="286"/>
      <c r="D820" s="28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</row>
    <row r="821" spans="1:27" ht="15">
      <c r="A821" s="286"/>
      <c r="B821" s="286"/>
      <c r="C821" s="286"/>
      <c r="D821" s="28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</row>
    <row r="822" spans="1:27" ht="15">
      <c r="A822" s="286"/>
      <c r="B822" s="286"/>
      <c r="C822" s="286"/>
      <c r="D822" s="28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</row>
    <row r="823" spans="1:27" ht="15">
      <c r="A823" s="286"/>
      <c r="B823" s="286"/>
      <c r="C823" s="286"/>
      <c r="D823" s="28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</row>
    <row r="824" spans="1:27" ht="15">
      <c r="A824" s="286"/>
      <c r="B824" s="286"/>
      <c r="C824" s="286"/>
      <c r="D824" s="28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</row>
    <row r="825" spans="1:27" ht="15">
      <c r="A825" s="286"/>
      <c r="B825" s="286"/>
      <c r="C825" s="286"/>
      <c r="D825" s="28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</row>
    <row r="826" spans="1:27" ht="15">
      <c r="A826" s="286"/>
      <c r="B826" s="286"/>
      <c r="C826" s="286"/>
      <c r="D826" s="28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</row>
    <row r="827" spans="1:27" ht="15">
      <c r="A827" s="286"/>
      <c r="B827" s="286"/>
      <c r="C827" s="286"/>
      <c r="D827" s="28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</row>
    <row r="828" spans="1:27" ht="15">
      <c r="A828" s="286"/>
      <c r="B828" s="286"/>
      <c r="C828" s="286"/>
      <c r="D828" s="28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</row>
    <row r="829" spans="1:27" ht="15">
      <c r="A829" s="286"/>
      <c r="B829" s="286"/>
      <c r="C829" s="286"/>
      <c r="D829" s="28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</row>
    <row r="830" spans="1:27" ht="15">
      <c r="A830" s="286"/>
      <c r="B830" s="286"/>
      <c r="C830" s="286"/>
      <c r="D830" s="28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</row>
    <row r="831" spans="1:27" ht="15">
      <c r="A831" s="286"/>
      <c r="B831" s="286"/>
      <c r="C831" s="286"/>
      <c r="D831" s="28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</row>
    <row r="832" spans="1:27" ht="15">
      <c r="A832" s="286"/>
      <c r="B832" s="286"/>
      <c r="C832" s="286"/>
      <c r="D832" s="28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</row>
    <row r="833" spans="1:27" ht="15">
      <c r="A833" s="286"/>
      <c r="B833" s="286"/>
      <c r="C833" s="286"/>
      <c r="D833" s="28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</row>
    <row r="834" spans="1:27" ht="15">
      <c r="A834" s="286"/>
      <c r="B834" s="286"/>
      <c r="C834" s="286"/>
      <c r="D834" s="28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</row>
    <row r="835" spans="1:27" ht="15">
      <c r="A835" s="286"/>
      <c r="B835" s="286"/>
      <c r="C835" s="286"/>
      <c r="D835" s="28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</row>
    <row r="836" spans="1:27" ht="15">
      <c r="A836" s="286"/>
      <c r="B836" s="286"/>
      <c r="C836" s="286"/>
      <c r="D836" s="28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</row>
    <row r="837" spans="1:27" ht="15">
      <c r="A837" s="286"/>
      <c r="B837" s="286"/>
      <c r="C837" s="286"/>
      <c r="D837" s="28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</row>
    <row r="838" spans="1:27" ht="15">
      <c r="A838" s="286"/>
      <c r="B838" s="286"/>
      <c r="C838" s="286"/>
      <c r="D838" s="28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</row>
    <row r="839" spans="1:27" ht="15">
      <c r="A839" s="286"/>
      <c r="B839" s="286"/>
      <c r="C839" s="286"/>
      <c r="D839" s="28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</row>
    <row r="840" spans="1:27" ht="15">
      <c r="A840" s="286"/>
      <c r="B840" s="286"/>
      <c r="C840" s="286"/>
      <c r="D840" s="28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</row>
    <row r="841" spans="1:27" ht="15">
      <c r="A841" s="286"/>
      <c r="B841" s="286"/>
      <c r="C841" s="286"/>
      <c r="D841" s="28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</row>
    <row r="842" spans="1:27" ht="15">
      <c r="A842" s="286"/>
      <c r="B842" s="286"/>
      <c r="C842" s="286"/>
      <c r="D842" s="28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</row>
    <row r="843" spans="1:27" ht="15">
      <c r="A843" s="286"/>
      <c r="B843" s="286"/>
      <c r="C843" s="286"/>
      <c r="D843" s="28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</row>
    <row r="844" spans="1:27" ht="15">
      <c r="A844" s="286"/>
      <c r="B844" s="286"/>
      <c r="C844" s="286"/>
      <c r="D844" s="28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</row>
    <row r="845" spans="1:27" ht="15">
      <c r="A845" s="286"/>
      <c r="B845" s="286"/>
      <c r="C845" s="286"/>
      <c r="D845" s="28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</row>
    <row r="846" spans="1:27" ht="15">
      <c r="A846" s="286"/>
      <c r="B846" s="286"/>
      <c r="C846" s="286"/>
      <c r="D846" s="28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</row>
    <row r="847" spans="1:27" ht="15">
      <c r="A847" s="286"/>
      <c r="B847" s="286"/>
      <c r="C847" s="286"/>
      <c r="D847" s="28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</row>
    <row r="848" spans="1:27" ht="15">
      <c r="A848" s="286"/>
      <c r="B848" s="286"/>
      <c r="C848" s="286"/>
      <c r="D848" s="28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</row>
    <row r="849" spans="1:27" ht="15">
      <c r="A849" s="286"/>
      <c r="B849" s="286"/>
      <c r="C849" s="286"/>
      <c r="D849" s="28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</row>
    <row r="850" spans="1:27" ht="15">
      <c r="A850" s="286"/>
      <c r="B850" s="286"/>
      <c r="C850" s="286"/>
      <c r="D850" s="28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</row>
    <row r="851" spans="1:27" ht="15">
      <c r="A851" s="286"/>
      <c r="B851" s="286"/>
      <c r="C851" s="286"/>
      <c r="D851" s="28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</row>
    <row r="852" spans="1:27" ht="15">
      <c r="A852" s="286"/>
      <c r="B852" s="286"/>
      <c r="C852" s="286"/>
      <c r="D852" s="28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</row>
    <row r="853" spans="1:27" ht="15">
      <c r="A853" s="286"/>
      <c r="B853" s="286"/>
      <c r="C853" s="286"/>
      <c r="D853" s="28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</row>
    <row r="854" spans="1:27" ht="15">
      <c r="A854" s="286"/>
      <c r="B854" s="286"/>
      <c r="C854" s="286"/>
      <c r="D854" s="28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</row>
    <row r="855" spans="1:27" ht="15">
      <c r="A855" s="286"/>
      <c r="B855" s="286"/>
      <c r="C855" s="286"/>
      <c r="D855" s="28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</row>
    <row r="856" spans="1:27" ht="15">
      <c r="A856" s="286"/>
      <c r="B856" s="286"/>
      <c r="C856" s="286"/>
      <c r="D856" s="28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</row>
    <row r="857" spans="1:27" ht="15">
      <c r="A857" s="286"/>
      <c r="B857" s="286"/>
      <c r="C857" s="286"/>
      <c r="D857" s="28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</row>
    <row r="858" spans="1:27" ht="15">
      <c r="A858" s="286"/>
      <c r="B858" s="286"/>
      <c r="C858" s="286"/>
      <c r="D858" s="28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</row>
    <row r="859" spans="1:27" ht="15">
      <c r="A859" s="286"/>
      <c r="B859" s="286"/>
      <c r="C859" s="286"/>
      <c r="D859" s="28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</row>
    <row r="860" spans="1:27" ht="15">
      <c r="A860" s="286"/>
      <c r="B860" s="286"/>
      <c r="C860" s="286"/>
      <c r="D860" s="28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</row>
    <row r="861" spans="1:27" ht="15">
      <c r="A861" s="286"/>
      <c r="B861" s="286"/>
      <c r="C861" s="286"/>
      <c r="D861" s="28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</row>
    <row r="862" spans="1:27" ht="15">
      <c r="A862" s="286"/>
      <c r="B862" s="286"/>
      <c r="C862" s="286"/>
      <c r="D862" s="28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</row>
    <row r="863" spans="1:27" ht="15">
      <c r="A863" s="286"/>
      <c r="B863" s="286"/>
      <c r="C863" s="286"/>
      <c r="D863" s="28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</row>
    <row r="864" spans="1:27" ht="15">
      <c r="A864" s="286"/>
      <c r="B864" s="286"/>
      <c r="C864" s="286"/>
      <c r="D864" s="28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</row>
    <row r="865" spans="1:27" ht="15">
      <c r="A865" s="286"/>
      <c r="B865" s="286"/>
      <c r="C865" s="286"/>
      <c r="D865" s="28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</row>
    <row r="866" spans="1:27" ht="15">
      <c r="A866" s="286"/>
      <c r="B866" s="286"/>
      <c r="C866" s="286"/>
      <c r="D866" s="28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</row>
    <row r="867" spans="1:27" ht="15">
      <c r="A867" s="286"/>
      <c r="B867" s="286"/>
      <c r="C867" s="286"/>
      <c r="D867" s="28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</row>
    <row r="868" spans="1:27" ht="15">
      <c r="A868" s="286"/>
      <c r="B868" s="286"/>
      <c r="C868" s="286"/>
      <c r="D868" s="28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</row>
    <row r="869" spans="1:27" ht="15">
      <c r="A869" s="286"/>
      <c r="B869" s="286"/>
      <c r="C869" s="286"/>
      <c r="D869" s="28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</row>
    <row r="870" spans="1:27" ht="15">
      <c r="A870" s="286"/>
      <c r="B870" s="286"/>
      <c r="C870" s="286"/>
      <c r="D870" s="28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</row>
    <row r="871" spans="1:27" ht="15">
      <c r="A871" s="286"/>
      <c r="B871" s="286"/>
      <c r="C871" s="286"/>
      <c r="D871" s="28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</row>
    <row r="872" spans="1:27" ht="15">
      <c r="A872" s="286"/>
      <c r="B872" s="286"/>
      <c r="C872" s="286"/>
      <c r="D872" s="28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</row>
    <row r="873" spans="1:27" ht="15">
      <c r="A873" s="286"/>
      <c r="B873" s="286"/>
      <c r="C873" s="286"/>
      <c r="D873" s="28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</row>
    <row r="874" spans="1:27" ht="15">
      <c r="A874" s="286"/>
      <c r="B874" s="286"/>
      <c r="C874" s="286"/>
      <c r="D874" s="28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</row>
    <row r="875" spans="1:27" ht="15">
      <c r="A875" s="286"/>
      <c r="B875" s="286"/>
      <c r="C875" s="286"/>
      <c r="D875" s="28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</row>
    <row r="876" spans="1:27" ht="15">
      <c r="A876" s="286"/>
      <c r="B876" s="286"/>
      <c r="C876" s="286"/>
      <c r="D876" s="28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</row>
    <row r="877" spans="1:27" ht="15">
      <c r="A877" s="286"/>
      <c r="B877" s="286"/>
      <c r="C877" s="286"/>
      <c r="D877" s="28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</row>
    <row r="878" spans="1:27" ht="15">
      <c r="A878" s="286"/>
      <c r="B878" s="286"/>
      <c r="C878" s="286"/>
      <c r="D878" s="28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</row>
    <row r="879" spans="1:27" ht="15">
      <c r="A879" s="286"/>
      <c r="B879" s="286"/>
      <c r="C879" s="286"/>
      <c r="D879" s="28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</row>
    <row r="880" spans="1:27" ht="15">
      <c r="A880" s="286"/>
      <c r="B880" s="286"/>
      <c r="C880" s="286"/>
      <c r="D880" s="28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</row>
    <row r="881" spans="1:27" ht="15">
      <c r="A881" s="286"/>
      <c r="B881" s="286"/>
      <c r="C881" s="286"/>
      <c r="D881" s="28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</row>
    <row r="882" spans="1:27" ht="15">
      <c r="A882" s="286"/>
      <c r="B882" s="286"/>
      <c r="C882" s="286"/>
      <c r="D882" s="28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</row>
    <row r="883" spans="1:27" ht="15">
      <c r="A883" s="286"/>
      <c r="B883" s="286"/>
      <c r="C883" s="286"/>
      <c r="D883" s="28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</row>
    <row r="884" spans="1:27" ht="15">
      <c r="A884" s="286"/>
      <c r="B884" s="286"/>
      <c r="C884" s="286"/>
      <c r="D884" s="28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</row>
    <row r="885" spans="1:27" ht="15">
      <c r="A885" s="286"/>
      <c r="B885" s="286"/>
      <c r="C885" s="286"/>
      <c r="D885" s="28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</row>
    <row r="886" spans="1:27" ht="15">
      <c r="A886" s="286"/>
      <c r="B886" s="286"/>
      <c r="C886" s="286"/>
      <c r="D886" s="28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</row>
    <row r="887" spans="1:27" ht="15">
      <c r="A887" s="286"/>
      <c r="B887" s="286"/>
      <c r="C887" s="286"/>
      <c r="D887" s="28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</row>
    <row r="888" spans="1:27" ht="15">
      <c r="A888" s="286"/>
      <c r="B888" s="286"/>
      <c r="C888" s="286"/>
      <c r="D888" s="28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</row>
    <row r="889" spans="1:27" ht="15">
      <c r="A889" s="286"/>
      <c r="B889" s="286"/>
      <c r="C889" s="286"/>
      <c r="D889" s="28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</row>
    <row r="890" spans="1:27" ht="15">
      <c r="A890" s="286"/>
      <c r="B890" s="286"/>
      <c r="C890" s="286"/>
      <c r="D890" s="28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</row>
    <row r="891" spans="1:27" ht="15">
      <c r="A891" s="286"/>
      <c r="B891" s="286"/>
      <c r="C891" s="286"/>
      <c r="D891" s="28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</row>
    <row r="892" spans="1:27" ht="15">
      <c r="A892" s="286"/>
      <c r="B892" s="286"/>
      <c r="C892" s="286"/>
      <c r="D892" s="28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</row>
    <row r="893" spans="1:27" ht="15">
      <c r="A893" s="286"/>
      <c r="B893" s="286"/>
      <c r="C893" s="286"/>
      <c r="D893" s="28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</row>
    <row r="894" spans="1:27" ht="15">
      <c r="A894" s="286"/>
      <c r="B894" s="286"/>
      <c r="C894" s="286"/>
      <c r="D894" s="28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</row>
    <row r="895" spans="1:27" ht="15">
      <c r="A895" s="286"/>
      <c r="B895" s="286"/>
      <c r="C895" s="286"/>
      <c r="D895" s="28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</row>
    <row r="896" spans="1:27" ht="15">
      <c r="A896" s="286"/>
      <c r="B896" s="286"/>
      <c r="C896" s="286"/>
      <c r="D896" s="28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</row>
    <row r="897" spans="1:27" ht="15">
      <c r="A897" s="286"/>
      <c r="B897" s="286"/>
      <c r="C897" s="286"/>
      <c r="D897" s="28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</row>
    <row r="898" spans="1:27" ht="15">
      <c r="A898" s="286"/>
      <c r="B898" s="286"/>
      <c r="C898" s="286"/>
      <c r="D898" s="28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</row>
    <row r="899" spans="1:27" ht="15">
      <c r="A899" s="286"/>
      <c r="B899" s="286"/>
      <c r="C899" s="286"/>
      <c r="D899" s="28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</row>
    <row r="900" spans="1:27" ht="15">
      <c r="A900" s="286"/>
      <c r="B900" s="286"/>
      <c r="C900" s="286"/>
      <c r="D900" s="28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</row>
    <row r="901" spans="1:27" ht="15">
      <c r="A901" s="286"/>
      <c r="B901" s="286"/>
      <c r="C901" s="286"/>
      <c r="D901" s="28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</row>
    <row r="902" spans="1:27" ht="15">
      <c r="A902" s="286"/>
      <c r="B902" s="286"/>
      <c r="C902" s="286"/>
      <c r="D902" s="28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</row>
    <row r="903" spans="1:27" ht="15">
      <c r="A903" s="286"/>
      <c r="B903" s="286"/>
      <c r="C903" s="286"/>
      <c r="D903" s="28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</row>
    <row r="904" spans="1:27" ht="15">
      <c r="A904" s="286"/>
      <c r="B904" s="286"/>
      <c r="C904" s="286"/>
      <c r="D904" s="28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</row>
    <row r="905" spans="1:27" ht="15">
      <c r="A905" s="286"/>
      <c r="B905" s="286"/>
      <c r="C905" s="286"/>
      <c r="D905" s="28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</row>
    <row r="906" spans="1:27" ht="15">
      <c r="A906" s="286"/>
      <c r="B906" s="286"/>
      <c r="C906" s="286"/>
      <c r="D906" s="28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</row>
    <row r="907" spans="1:27" ht="15">
      <c r="A907" s="286"/>
      <c r="B907" s="286"/>
      <c r="C907" s="286"/>
      <c r="D907" s="28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</row>
    <row r="908" spans="1:27" ht="15">
      <c r="A908" s="286"/>
      <c r="B908" s="286"/>
      <c r="C908" s="286"/>
      <c r="D908" s="28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</row>
    <row r="909" spans="1:27" ht="15">
      <c r="A909" s="286"/>
      <c r="B909" s="286"/>
      <c r="C909" s="286"/>
      <c r="D909" s="28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</row>
    <row r="910" spans="1:27" ht="15">
      <c r="A910" s="286"/>
      <c r="B910" s="286"/>
      <c r="C910" s="286"/>
      <c r="D910" s="28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</row>
    <row r="911" spans="1:27" ht="15">
      <c r="A911" s="286"/>
      <c r="B911" s="286"/>
      <c r="C911" s="286"/>
      <c r="D911" s="28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</row>
    <row r="912" spans="1:27" ht="15">
      <c r="A912" s="286"/>
      <c r="B912" s="286"/>
      <c r="C912" s="286"/>
      <c r="D912" s="28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</row>
    <row r="913" spans="1:27" ht="15">
      <c r="A913" s="286"/>
      <c r="B913" s="286"/>
      <c r="C913" s="286"/>
      <c r="D913" s="28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</row>
    <row r="914" spans="1:27" ht="15">
      <c r="A914" s="286"/>
      <c r="B914" s="286"/>
      <c r="C914" s="286"/>
      <c r="D914" s="28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</row>
    <row r="915" spans="1:27" ht="15">
      <c r="A915" s="286"/>
      <c r="B915" s="286"/>
      <c r="C915" s="286"/>
      <c r="D915" s="28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</row>
    <row r="916" spans="1:27" ht="15">
      <c r="A916" s="286"/>
      <c r="B916" s="286"/>
      <c r="C916" s="286"/>
      <c r="D916" s="28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</row>
    <row r="917" spans="1:27" ht="15">
      <c r="A917" s="286"/>
      <c r="B917" s="286"/>
      <c r="C917" s="286"/>
      <c r="D917" s="28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</row>
    <row r="918" spans="1:27" ht="15">
      <c r="A918" s="286"/>
      <c r="B918" s="286"/>
      <c r="C918" s="286"/>
      <c r="D918" s="28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</row>
    <row r="919" spans="1:27" ht="15">
      <c r="A919" s="286"/>
      <c r="B919" s="286"/>
      <c r="C919" s="286"/>
      <c r="D919" s="28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</row>
    <row r="920" spans="1:27" ht="15">
      <c r="A920" s="286"/>
      <c r="B920" s="286"/>
      <c r="C920" s="286"/>
      <c r="D920" s="28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</row>
    <row r="921" spans="1:27" ht="15">
      <c r="A921" s="286"/>
      <c r="B921" s="286"/>
      <c r="C921" s="286"/>
      <c r="D921" s="28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</row>
    <row r="922" spans="1:27" ht="15">
      <c r="A922" s="286"/>
      <c r="B922" s="286"/>
      <c r="C922" s="286"/>
      <c r="D922" s="28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</row>
    <row r="923" spans="1:27" ht="15">
      <c r="A923" s="286"/>
      <c r="B923" s="286"/>
      <c r="C923" s="286"/>
      <c r="D923" s="28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</row>
    <row r="924" spans="1:27" ht="15">
      <c r="A924" s="286"/>
      <c r="B924" s="286"/>
      <c r="C924" s="286"/>
      <c r="D924" s="28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</row>
    <row r="925" spans="1:27" ht="15">
      <c r="A925" s="286"/>
      <c r="B925" s="286"/>
      <c r="C925" s="286"/>
      <c r="D925" s="28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</row>
    <row r="926" spans="1:27" ht="15">
      <c r="A926" s="286"/>
      <c r="B926" s="286"/>
      <c r="C926" s="286"/>
      <c r="D926" s="28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</row>
    <row r="927" spans="1:27" ht="15">
      <c r="A927" s="286"/>
      <c r="B927" s="286"/>
      <c r="C927" s="286"/>
      <c r="D927" s="28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</row>
    <row r="928" spans="1:27" ht="15">
      <c r="A928" s="286"/>
      <c r="B928" s="286"/>
      <c r="C928" s="286"/>
      <c r="D928" s="28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</row>
    <row r="929" spans="1:27" ht="15">
      <c r="A929" s="286"/>
      <c r="B929" s="286"/>
      <c r="C929" s="286"/>
      <c r="D929" s="28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</row>
    <row r="930" spans="1:27" ht="15">
      <c r="A930" s="286"/>
      <c r="B930" s="286"/>
      <c r="C930" s="286"/>
      <c r="D930" s="28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</row>
    <row r="931" spans="1:27" ht="15">
      <c r="A931" s="286"/>
      <c r="B931" s="286"/>
      <c r="C931" s="286"/>
      <c r="D931" s="28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</row>
    <row r="932" spans="1:27" ht="15">
      <c r="A932" s="286"/>
      <c r="B932" s="286"/>
      <c r="C932" s="286"/>
      <c r="D932" s="28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</row>
    <row r="933" spans="1:27" ht="15">
      <c r="A933" s="286"/>
      <c r="B933" s="286"/>
      <c r="C933" s="286"/>
      <c r="D933" s="28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</row>
    <row r="934" spans="1:27" ht="15">
      <c r="A934" s="286"/>
      <c r="B934" s="286"/>
      <c r="C934" s="286"/>
      <c r="D934" s="28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</row>
    <row r="935" spans="1:27" ht="15">
      <c r="A935" s="286"/>
      <c r="B935" s="286"/>
      <c r="C935" s="286"/>
      <c r="D935" s="28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</row>
    <row r="936" spans="1:27" ht="15">
      <c r="A936" s="286"/>
      <c r="B936" s="286"/>
      <c r="C936" s="286"/>
      <c r="D936" s="28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</row>
    <row r="937" spans="1:27" ht="15">
      <c r="A937" s="286"/>
      <c r="B937" s="286"/>
      <c r="C937" s="286"/>
      <c r="D937" s="28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</row>
    <row r="938" spans="1:27" ht="15">
      <c r="A938" s="286"/>
      <c r="B938" s="286"/>
      <c r="C938" s="286"/>
      <c r="D938" s="28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</row>
    <row r="939" spans="1:27" ht="15">
      <c r="A939" s="286"/>
      <c r="B939" s="286"/>
      <c r="C939" s="286"/>
      <c r="D939" s="28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</row>
    <row r="940" spans="1:27" ht="15">
      <c r="A940" s="286"/>
      <c r="B940" s="286"/>
      <c r="C940" s="286"/>
      <c r="D940" s="28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</row>
    <row r="941" spans="1:27" ht="15">
      <c r="A941" s="286"/>
      <c r="B941" s="286"/>
      <c r="C941" s="286"/>
      <c r="D941" s="28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</row>
    <row r="942" spans="1:27" ht="15">
      <c r="A942" s="286"/>
      <c r="B942" s="286"/>
      <c r="C942" s="286"/>
      <c r="D942" s="28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</row>
    <row r="943" spans="1:27" ht="15">
      <c r="A943" s="286"/>
      <c r="B943" s="286"/>
      <c r="C943" s="286"/>
      <c r="D943" s="28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</row>
    <row r="944" spans="1:27" ht="15">
      <c r="A944" s="286"/>
      <c r="B944" s="286"/>
      <c r="C944" s="286"/>
      <c r="D944" s="28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</row>
    <row r="945" spans="1:27" ht="15">
      <c r="A945" s="286"/>
      <c r="B945" s="286"/>
      <c r="C945" s="286"/>
      <c r="D945" s="28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</row>
    <row r="946" spans="1:27" ht="15">
      <c r="A946" s="286"/>
      <c r="B946" s="286"/>
      <c r="C946" s="286"/>
      <c r="D946" s="28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</row>
    <row r="947" spans="1:27" ht="15">
      <c r="A947" s="286"/>
      <c r="B947" s="286"/>
      <c r="C947" s="286"/>
      <c r="D947" s="28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</row>
    <row r="948" spans="1:27" ht="15">
      <c r="A948" s="286"/>
      <c r="B948" s="286"/>
      <c r="C948" s="286"/>
      <c r="D948" s="28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</row>
    <row r="949" spans="1:27" ht="15">
      <c r="A949" s="286"/>
      <c r="B949" s="286"/>
      <c r="C949" s="286"/>
      <c r="D949" s="28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</row>
    <row r="950" spans="1:27" ht="15">
      <c r="A950" s="286"/>
      <c r="B950" s="286"/>
      <c r="C950" s="286"/>
      <c r="D950" s="28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</row>
    <row r="951" spans="1:27" ht="15">
      <c r="A951" s="286"/>
      <c r="B951" s="286"/>
      <c r="C951" s="286"/>
      <c r="D951" s="28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</row>
    <row r="952" spans="1:27" ht="15">
      <c r="A952" s="286"/>
      <c r="B952" s="286"/>
      <c r="C952" s="286"/>
      <c r="D952" s="28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</row>
    <row r="953" spans="1:27" ht="15">
      <c r="A953" s="286"/>
      <c r="B953" s="286"/>
      <c r="C953" s="286"/>
      <c r="D953" s="28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</row>
    <row r="954" spans="1:27" ht="15">
      <c r="A954" s="286"/>
      <c r="B954" s="286"/>
      <c r="C954" s="286"/>
      <c r="D954" s="28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</row>
    <row r="955" spans="1:27" ht="15">
      <c r="A955" s="286"/>
      <c r="B955" s="286"/>
      <c r="C955" s="286"/>
      <c r="D955" s="28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</row>
    <row r="956" spans="1:27" ht="15">
      <c r="A956" s="286"/>
      <c r="B956" s="286"/>
      <c r="C956" s="286"/>
      <c r="D956" s="28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</row>
    <row r="957" spans="1:27" ht="15">
      <c r="A957" s="286"/>
      <c r="B957" s="286"/>
      <c r="C957" s="286"/>
      <c r="D957" s="28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</row>
    <row r="958" spans="1:27" ht="15">
      <c r="A958" s="286"/>
      <c r="B958" s="286"/>
      <c r="C958" s="286"/>
      <c r="D958" s="28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</row>
    <row r="959" spans="1:27" ht="15">
      <c r="A959" s="286"/>
      <c r="B959" s="286"/>
      <c r="C959" s="286"/>
      <c r="D959" s="28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</row>
    <row r="960" spans="1:27" ht="15">
      <c r="A960" s="286"/>
      <c r="B960" s="286"/>
      <c r="C960" s="286"/>
      <c r="D960" s="28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</row>
    <row r="961" spans="1:27" ht="15">
      <c r="A961" s="286"/>
      <c r="B961" s="286"/>
      <c r="C961" s="286"/>
      <c r="D961" s="28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</row>
    <row r="962" spans="1:27" ht="15">
      <c r="A962" s="286"/>
      <c r="B962" s="286"/>
      <c r="C962" s="286"/>
      <c r="D962" s="28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</row>
    <row r="963" spans="1:27" ht="15">
      <c r="A963" s="286"/>
      <c r="B963" s="286"/>
      <c r="C963" s="286"/>
      <c r="D963" s="28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</row>
    <row r="964" spans="1:27" ht="15">
      <c r="A964" s="286"/>
      <c r="B964" s="286"/>
      <c r="C964" s="286"/>
      <c r="D964" s="28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</row>
    <row r="965" spans="1:27" ht="15">
      <c r="A965" s="286"/>
      <c r="B965" s="286"/>
      <c r="C965" s="286"/>
      <c r="D965" s="28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</row>
    <row r="966" spans="1:27" ht="15">
      <c r="A966" s="286"/>
      <c r="B966" s="286"/>
      <c r="C966" s="286"/>
      <c r="D966" s="28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</row>
    <row r="967" spans="1:27" ht="15">
      <c r="A967" s="286"/>
      <c r="B967" s="286"/>
      <c r="C967" s="286"/>
      <c r="D967" s="28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</row>
    <row r="968" spans="1:27" ht="15">
      <c r="A968" s="286"/>
      <c r="B968" s="286"/>
      <c r="C968" s="286"/>
      <c r="D968" s="28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</row>
    <row r="969" spans="1:27" ht="15">
      <c r="A969" s="286"/>
      <c r="B969" s="286"/>
      <c r="C969" s="286"/>
      <c r="D969" s="28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</row>
    <row r="970" spans="1:27" ht="15">
      <c r="A970" s="286"/>
      <c r="B970" s="286"/>
      <c r="C970" s="286"/>
      <c r="D970" s="28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</row>
    <row r="971" spans="1:27" ht="15">
      <c r="A971" s="286"/>
      <c r="B971" s="286"/>
      <c r="C971" s="286"/>
      <c r="D971" s="28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</row>
    <row r="972" spans="1:27" ht="15">
      <c r="A972" s="286"/>
      <c r="B972" s="286"/>
      <c r="C972" s="286"/>
      <c r="D972" s="28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</row>
    <row r="973" spans="1:27" ht="15">
      <c r="A973" s="286"/>
      <c r="B973" s="286"/>
      <c r="C973" s="286"/>
      <c r="D973" s="28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</row>
    <row r="974" spans="1:27" ht="15">
      <c r="A974" s="286"/>
      <c r="B974" s="286"/>
      <c r="C974" s="286"/>
      <c r="D974" s="28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</row>
    <row r="975" spans="1:27" ht="15">
      <c r="A975" s="286"/>
      <c r="B975" s="286"/>
      <c r="C975" s="286"/>
      <c r="D975" s="28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</row>
    <row r="976" spans="1:27" ht="15">
      <c r="A976" s="286"/>
      <c r="B976" s="286"/>
      <c r="C976" s="286"/>
      <c r="D976" s="28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</row>
    <row r="977" spans="1:27" ht="15">
      <c r="A977" s="286"/>
      <c r="B977" s="286"/>
      <c r="C977" s="286"/>
      <c r="D977" s="28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</row>
    <row r="978" spans="1:27" ht="15">
      <c r="A978" s="286"/>
      <c r="B978" s="286"/>
      <c r="C978" s="286"/>
      <c r="D978" s="28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</row>
    <row r="979" spans="1:27" ht="15">
      <c r="A979" s="286"/>
      <c r="B979" s="286"/>
      <c r="C979" s="286"/>
      <c r="D979" s="28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</row>
    <row r="980" spans="1:27" ht="15">
      <c r="A980" s="286"/>
      <c r="B980" s="286"/>
      <c r="C980" s="286"/>
      <c r="D980" s="28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</row>
    <row r="981" spans="1:27" ht="15">
      <c r="A981" s="286"/>
      <c r="B981" s="286"/>
      <c r="C981" s="286"/>
      <c r="D981" s="28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</row>
    <row r="982" spans="1:27" ht="15">
      <c r="A982" s="286"/>
      <c r="B982" s="286"/>
      <c r="C982" s="286"/>
      <c r="D982" s="28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</row>
    <row r="983" spans="1:27" ht="15">
      <c r="A983" s="286"/>
      <c r="B983" s="286"/>
      <c r="C983" s="286"/>
      <c r="D983" s="28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</row>
    <row r="984" spans="1:27" ht="15">
      <c r="A984" s="286"/>
      <c r="B984" s="286"/>
      <c r="C984" s="286"/>
      <c r="D984" s="28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</row>
    <row r="985" spans="1:27" ht="15">
      <c r="A985" s="286"/>
      <c r="B985" s="286"/>
      <c r="C985" s="286"/>
      <c r="D985" s="28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</row>
    <row r="986" spans="1:27" ht="15">
      <c r="A986" s="286"/>
      <c r="B986" s="286"/>
      <c r="C986" s="286"/>
      <c r="D986" s="28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</row>
    <row r="987" spans="1:27" ht="15">
      <c r="A987" s="286"/>
      <c r="B987" s="286"/>
      <c r="C987" s="286"/>
      <c r="D987" s="28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</row>
    <row r="988" spans="1:27" ht="15">
      <c r="A988" s="286"/>
      <c r="B988" s="286"/>
      <c r="C988" s="286"/>
      <c r="D988" s="28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</row>
    <row r="989" spans="1:27" ht="15">
      <c r="A989" s="286"/>
      <c r="B989" s="286"/>
      <c r="C989" s="286"/>
      <c r="D989" s="28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</row>
    <row r="990" spans="1:27" ht="15">
      <c r="A990" s="286"/>
      <c r="B990" s="286"/>
      <c r="C990" s="286"/>
      <c r="D990" s="28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</row>
    <row r="991" spans="1:27" ht="15">
      <c r="A991" s="286"/>
      <c r="B991" s="286"/>
      <c r="C991" s="286"/>
      <c r="D991" s="28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</row>
    <row r="992" spans="1:27" ht="15">
      <c r="A992" s="286"/>
      <c r="B992" s="286"/>
      <c r="C992" s="286"/>
      <c r="D992" s="28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</row>
    <row r="993" spans="1:27" ht="15">
      <c r="A993" s="286"/>
      <c r="B993" s="286"/>
      <c r="C993" s="286"/>
      <c r="D993" s="28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</row>
    <row r="994" spans="1:27" ht="15">
      <c r="A994" s="286"/>
      <c r="B994" s="286"/>
      <c r="C994" s="286"/>
      <c r="D994" s="28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</row>
    <row r="995" spans="1:27" ht="15">
      <c r="A995" s="286"/>
      <c r="B995" s="286"/>
      <c r="C995" s="286"/>
      <c r="D995" s="28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</row>
    <row r="996" spans="1:27" ht="15">
      <c r="A996" s="286"/>
      <c r="B996" s="286"/>
      <c r="C996" s="286"/>
      <c r="D996" s="28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</row>
    <row r="997" spans="1:27" ht="15">
      <c r="A997" s="286"/>
      <c r="B997" s="286"/>
      <c r="C997" s="286"/>
      <c r="D997" s="28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</row>
    <row r="998" spans="1:27" ht="15">
      <c r="A998" s="286"/>
      <c r="B998" s="286"/>
      <c r="C998" s="286"/>
      <c r="D998" s="28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</row>
    <row r="999" spans="1:27" ht="15">
      <c r="A999" s="286"/>
      <c r="B999" s="286"/>
      <c r="C999" s="286"/>
      <c r="D999" s="28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</row>
    <row r="1000" spans="1:27" ht="15">
      <c r="A1000" s="286"/>
      <c r="B1000" s="286"/>
      <c r="C1000" s="286"/>
      <c r="D1000" s="28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</row>
    <row r="1001" spans="1:27" ht="15">
      <c r="A1001" s="286"/>
      <c r="B1001" s="286"/>
      <c r="C1001" s="286"/>
      <c r="D1001" s="28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</row>
    <row r="1002" spans="1:27" ht="15">
      <c r="A1002" s="286"/>
      <c r="B1002" s="286"/>
      <c r="C1002" s="286"/>
      <c r="D1002" s="28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</row>
    <row r="1003" spans="1:27" ht="15">
      <c r="A1003" s="286"/>
      <c r="B1003" s="286"/>
      <c r="C1003" s="286"/>
      <c r="D1003" s="28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</row>
    <row r="1004" spans="1:27" ht="15">
      <c r="A1004" s="286"/>
      <c r="B1004" s="286"/>
      <c r="C1004" s="286"/>
      <c r="D1004" s="28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</row>
    <row r="1005" spans="1:27" ht="15">
      <c r="A1005" s="286"/>
      <c r="B1005" s="286"/>
      <c r="C1005" s="286"/>
      <c r="D1005" s="28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0"/>
  <sheetViews>
    <sheetView workbookViewId="0">
      <pane xSplit="1" ySplit="3" topLeftCell="B136" activePane="bottomRight" state="frozen"/>
      <selection pane="topRight" activeCell="B1" sqref="B1"/>
      <selection pane="bottomLeft" activeCell="A4" sqref="A4"/>
      <selection pane="bottomRight" activeCell="B142" sqref="B142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329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59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138</v>
      </c>
      <c r="B4" s="314">
        <v>2667</v>
      </c>
      <c r="C4" s="317">
        <f>B4/$B$3</f>
        <v>0.36114233097266046</v>
      </c>
      <c r="D4" s="316"/>
      <c r="E4" s="318">
        <f>CONSUMPTION!AW5</f>
        <v>0.25008019803881254</v>
      </c>
      <c r="F4" s="318">
        <f>CONSUMPTION!AW53</f>
        <v>0.12699669701157523</v>
      </c>
      <c r="G4" s="318">
        <f>CONSUMPTION!AW74</f>
        <v>3.889733667581588E-2</v>
      </c>
      <c r="H4" s="318">
        <f>CONSUMPTION!AW82</f>
        <v>0.31827733207701447</v>
      </c>
      <c r="I4" s="318">
        <f>CONSUMPTION!AW137</f>
        <v>1.0354796123706822E-2</v>
      </c>
      <c r="J4" s="318">
        <f>CONSUMPTION!AW143</f>
        <v>0.11883640021560982</v>
      </c>
      <c r="K4" s="318">
        <f>CONSUMPTION!AW162</f>
        <v>0.13655723985746529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666.9638881695131</v>
      </c>
      <c r="F5" s="320">
        <f t="shared" si="1"/>
        <v>338.70019092987116</v>
      </c>
      <c r="G5" s="320">
        <f t="shared" si="1"/>
        <v>103.73919691440095</v>
      </c>
      <c r="H5" s="320">
        <f t="shared" si="1"/>
        <v>848.84564464939763</v>
      </c>
      <c r="I5" s="320">
        <f t="shared" si="1"/>
        <v>27.616241261926096</v>
      </c>
      <c r="J5" s="320">
        <f t="shared" si="1"/>
        <v>316.93667937503136</v>
      </c>
      <c r="K5" s="320">
        <f t="shared" si="1"/>
        <v>364.1981586998599</v>
      </c>
      <c r="L5" s="286"/>
      <c r="M5" s="320">
        <f t="shared" si="0"/>
        <v>2667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66</v>
      </c>
      <c r="B6" s="314">
        <v>1130</v>
      </c>
      <c r="C6" s="317">
        <f>B6/$B$3</f>
        <v>0.15301493588267953</v>
      </c>
      <c r="D6" s="316"/>
      <c r="E6" s="318">
        <f>CONSUMPTION!AH5</f>
        <v>0.11988732969927827</v>
      </c>
      <c r="F6" s="318">
        <f>CONSUMPTION!AH53</f>
        <v>0.14149171391667945</v>
      </c>
      <c r="G6" s="318">
        <f>CONSUMPTION!AH74</f>
        <v>1.9251734932901336E-2</v>
      </c>
      <c r="H6" s="318">
        <f>CONSUMPTION!AH82</f>
        <v>0.49354407933623773</v>
      </c>
      <c r="I6" s="318">
        <f>CONSUMPTION!AH137</f>
        <v>1.5688463699584786E-2</v>
      </c>
      <c r="J6" s="318">
        <f>CONSUMPTION!AH143</f>
        <v>0.11558192313024951</v>
      </c>
      <c r="K6" s="318">
        <f>CONSUMPTION!AH162</f>
        <v>9.4554755285068987E-2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135.47268256018444</v>
      </c>
      <c r="F7" s="320">
        <f t="shared" si="2"/>
        <v>159.88563672584777</v>
      </c>
      <c r="G7" s="320">
        <f t="shared" si="2"/>
        <v>21.754460474178508</v>
      </c>
      <c r="H7" s="320">
        <f t="shared" si="2"/>
        <v>557.70480964994863</v>
      </c>
      <c r="I7" s="320">
        <f t="shared" si="2"/>
        <v>17.727963980530809</v>
      </c>
      <c r="J7" s="320">
        <f t="shared" si="2"/>
        <v>130.60757313718196</v>
      </c>
      <c r="K7" s="320">
        <f t="shared" si="2"/>
        <v>106.84687347212795</v>
      </c>
      <c r="L7" s="286"/>
      <c r="M7" s="320">
        <f t="shared" si="0"/>
        <v>1130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67</v>
      </c>
      <c r="B8" s="314">
        <v>883</v>
      </c>
      <c r="C8" s="317">
        <f>B8/$B$3</f>
        <v>0.1195683083047841</v>
      </c>
      <c r="D8" s="316"/>
      <c r="E8" s="318">
        <f>CONSUMPTION!AM5</f>
        <v>0.22060035690363433</v>
      </c>
      <c r="F8" s="318">
        <f>CONSUMPTION!AM53</f>
        <v>0.12861793012679648</v>
      </c>
      <c r="G8" s="318">
        <f>CONSUMPTION!AM74</f>
        <v>1.4286217912667728E-2</v>
      </c>
      <c r="H8" s="318">
        <f>CONSUMPTION!AM82</f>
        <v>0.39618401857376206</v>
      </c>
      <c r="I8" s="318">
        <f>CONSUMPTION!AM137</f>
        <v>1.4460808589861316E-2</v>
      </c>
      <c r="J8" s="318">
        <f>CONSUMPTION!AM143</f>
        <v>7.8457524942124865E-2</v>
      </c>
      <c r="K8" s="318">
        <f>CONSUMPTION!AM162</f>
        <v>0.14739314295115322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194.79011514590911</v>
      </c>
      <c r="F9" s="320">
        <f t="shared" si="3"/>
        <v>113.56963230196129</v>
      </c>
      <c r="G9" s="320">
        <f t="shared" si="3"/>
        <v>12.614730416885603</v>
      </c>
      <c r="H9" s="320">
        <f t="shared" si="3"/>
        <v>349.83048840063191</v>
      </c>
      <c r="I9" s="320">
        <f t="shared" si="3"/>
        <v>12.768893984847542</v>
      </c>
      <c r="J9" s="320">
        <f t="shared" si="3"/>
        <v>69.277994523896254</v>
      </c>
      <c r="K9" s="320">
        <f t="shared" si="3"/>
        <v>130.14814522586829</v>
      </c>
      <c r="L9" s="286"/>
      <c r="M9" s="320">
        <f t="shared" si="0"/>
        <v>883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125</v>
      </c>
      <c r="B10" s="314">
        <v>841</v>
      </c>
      <c r="C10" s="317">
        <f>B10/$B$3</f>
        <v>0.11388102750206502</v>
      </c>
      <c r="D10" s="316"/>
      <c r="E10" s="318">
        <f>CONSUMPTION!D5</f>
        <v>9.2485318110099982E-2</v>
      </c>
      <c r="F10" s="318">
        <f>CONSUMPTION!D53</f>
        <v>6.784718307548683E-2</v>
      </c>
      <c r="G10" s="318">
        <f>CONSUMPTION!D74</f>
        <v>1.6702607098011493E-2</v>
      </c>
      <c r="H10" s="318">
        <f>CONSUMPTION!D82</f>
        <v>0.6362971513107073</v>
      </c>
      <c r="I10" s="318">
        <f>CONSUMPTION!D137</f>
        <v>2.6352538348887632E-2</v>
      </c>
      <c r="J10" s="318">
        <f>CONSUMPTION!D143</f>
        <v>2.8806032027249101E-2</v>
      </c>
      <c r="K10" s="318">
        <f>CONSUMPTION!D162</f>
        <v>0.13150917002955764</v>
      </c>
      <c r="L10" s="286"/>
      <c r="M10" s="319">
        <f t="shared" si="0"/>
        <v>0.99999999999999989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77.78015253059408</v>
      </c>
      <c r="F11" s="320">
        <f t="shared" si="4"/>
        <v>57.059480966484422</v>
      </c>
      <c r="G11" s="320">
        <f t="shared" si="4"/>
        <v>14.046892569427666</v>
      </c>
      <c r="H11" s="320">
        <f t="shared" si="4"/>
        <v>535.12590425230485</v>
      </c>
      <c r="I11" s="320">
        <f t="shared" si="4"/>
        <v>22.1624847514145</v>
      </c>
      <c r="J11" s="320">
        <f t="shared" si="4"/>
        <v>24.225872934916495</v>
      </c>
      <c r="K11" s="320">
        <f t="shared" si="4"/>
        <v>110.59921199485798</v>
      </c>
      <c r="L11" s="286"/>
      <c r="M11" s="320">
        <f t="shared" si="0"/>
        <v>841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137</v>
      </c>
      <c r="B12" s="314">
        <v>834.7</v>
      </c>
      <c r="C12" s="317">
        <f>B12/$B$3</f>
        <v>0.11302793538165717</v>
      </c>
      <c r="D12" s="316"/>
      <c r="E12" s="318">
        <f>CONSUMPTION!X5</f>
        <v>0.46306911946080215</v>
      </c>
      <c r="F12" s="318">
        <f>CONSUMPTION!X53</f>
        <v>4.5213982547871762E-2</v>
      </c>
      <c r="G12" s="318">
        <f>CONSUMPTION!X74</f>
        <v>1.8183643020789304E-2</v>
      </c>
      <c r="H12" s="318">
        <f>CONSUMPTION!X82</f>
        <v>0.30140338890143475</v>
      </c>
      <c r="I12" s="318">
        <f>CONSUMPTION!X137</f>
        <v>1.2955918031742723E-2</v>
      </c>
      <c r="J12" s="318">
        <f>CONSUMPTION!X143</f>
        <v>7.122714981384011E-2</v>
      </c>
      <c r="K12" s="318">
        <f>CONSUMPTION!X162</f>
        <v>8.7946798223519265E-2</v>
      </c>
      <c r="L12" s="286"/>
      <c r="M12" s="319">
        <f t="shared" si="0"/>
        <v>1.0000000000000002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386.52379401393159</v>
      </c>
      <c r="F13" s="320">
        <f t="shared" si="5"/>
        <v>37.740111232708564</v>
      </c>
      <c r="G13" s="320">
        <f t="shared" si="5"/>
        <v>15.177886829452833</v>
      </c>
      <c r="H13" s="320">
        <f t="shared" si="5"/>
        <v>251.5814087160276</v>
      </c>
      <c r="I13" s="320">
        <f t="shared" si="5"/>
        <v>10.814304781095652</v>
      </c>
      <c r="J13" s="320">
        <f t="shared" si="5"/>
        <v>59.453301949612346</v>
      </c>
      <c r="K13" s="320">
        <f t="shared" si="5"/>
        <v>73.40919247717153</v>
      </c>
      <c r="L13" s="286"/>
      <c r="M13" s="320">
        <f t="shared" si="0"/>
        <v>834.7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141</v>
      </c>
      <c r="B14" s="314">
        <v>440</v>
      </c>
      <c r="C14" s="317">
        <f>B14/$B$3</f>
        <v>5.9581036980866364E-2</v>
      </c>
      <c r="D14" s="316"/>
      <c r="E14" s="318">
        <f>CONSUMPTION!AR5</f>
        <v>0.44023328210584395</v>
      </c>
      <c r="F14" s="318">
        <f>CONSUMPTION!AR53</f>
        <v>9.8404066674547833E-2</v>
      </c>
      <c r="G14" s="318">
        <f>CONSUMPTION!AR74</f>
        <v>3.5504590771170748E-2</v>
      </c>
      <c r="H14" s="318">
        <f>CONSUMPTION!AR82</f>
        <v>0.1559601213697443</v>
      </c>
      <c r="I14" s="318">
        <f>CONSUMPTION!AR137</f>
        <v>1.9482208298853297E-2</v>
      </c>
      <c r="J14" s="318">
        <f>CONSUMPTION!AR143</f>
        <v>9.5842692201599869E-2</v>
      </c>
      <c r="K14" s="318">
        <f>CONSUMPTION!AR162</f>
        <v>0.15457303857824015</v>
      </c>
      <c r="L14" s="286"/>
      <c r="M14" s="319">
        <f t="shared" si="0"/>
        <v>1.0000000000000002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193.70264412657133</v>
      </c>
      <c r="F15" s="320">
        <f t="shared" si="6"/>
        <v>43.297789336801046</v>
      </c>
      <c r="G15" s="320">
        <f t="shared" si="6"/>
        <v>15.622019939315129</v>
      </c>
      <c r="H15" s="320">
        <f t="shared" si="6"/>
        <v>68.622453402687498</v>
      </c>
      <c r="I15" s="320">
        <f t="shared" si="6"/>
        <v>8.5721716514954505</v>
      </c>
      <c r="J15" s="320">
        <f t="shared" si="6"/>
        <v>42.170784568703944</v>
      </c>
      <c r="K15" s="320">
        <f t="shared" si="6"/>
        <v>68.012136974425658</v>
      </c>
      <c r="L15" s="286"/>
      <c r="M15" s="320">
        <f t="shared" si="0"/>
        <v>440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139</v>
      </c>
      <c r="B16" s="314">
        <v>212</v>
      </c>
      <c r="C16" s="317">
        <f>B16/$B$3</f>
        <v>2.8707226908962886E-2</v>
      </c>
      <c r="D16" s="316"/>
      <c r="E16" s="318">
        <f>CONSUMPTION!N5</f>
        <v>0.10769729197775513</v>
      </c>
      <c r="F16" s="318">
        <f>CONSUMPTION!N53</f>
        <v>5.1264125343161507E-2</v>
      </c>
      <c r="G16" s="318">
        <f>CONSUMPTION!N74</f>
        <v>6.7475232692115646E-3</v>
      </c>
      <c r="H16" s="318">
        <f>CONSUMPTION!N82</f>
        <v>0.55634425522689457</v>
      </c>
      <c r="I16" s="318">
        <f>CONSUMPTION!N137</f>
        <v>2.8695243361484556E-2</v>
      </c>
      <c r="J16" s="318">
        <f>CONSUMPTION!N143</f>
        <v>0.1147614860141138</v>
      </c>
      <c r="K16" s="318">
        <f>CONSUMPTION!N162</f>
        <v>0.13449007480737896</v>
      </c>
      <c r="L16" s="286"/>
      <c r="M16" s="319">
        <f t="shared" si="0"/>
        <v>1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22.831825899284087</v>
      </c>
      <c r="F17" s="320">
        <f t="shared" si="7"/>
        <v>10.86799457275024</v>
      </c>
      <c r="G17" s="320">
        <f t="shared" si="7"/>
        <v>1.4304749330728517</v>
      </c>
      <c r="H17" s="320">
        <f t="shared" si="7"/>
        <v>117.94498210810166</v>
      </c>
      <c r="I17" s="320">
        <f t="shared" si="7"/>
        <v>6.083391592634726</v>
      </c>
      <c r="J17" s="320">
        <f t="shared" si="7"/>
        <v>24.329435034992127</v>
      </c>
      <c r="K17" s="320">
        <f t="shared" si="7"/>
        <v>28.511895859164341</v>
      </c>
      <c r="L17" s="286"/>
      <c r="M17" s="320">
        <f t="shared" si="0"/>
        <v>212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72</v>
      </c>
      <c r="B18" s="314">
        <v>155</v>
      </c>
      <c r="C18" s="317">
        <f>B18/$B$3</f>
        <v>2.0988774390987015E-2</v>
      </c>
      <c r="D18" s="316"/>
      <c r="E18" s="318">
        <f>CONSUMPTION!AC5</f>
        <v>0.19893633870443383</v>
      </c>
      <c r="F18" s="318">
        <f>CONSUMPTION!AC53</f>
        <v>8.1716862699332274E-2</v>
      </c>
      <c r="G18" s="318">
        <f>CONSUMPTION!AC74</f>
        <v>1.4904595583638283E-2</v>
      </c>
      <c r="H18" s="318">
        <f>CONSUMPTION!AC82</f>
        <v>0.37195218525712104</v>
      </c>
      <c r="I18" s="318">
        <f>CONSUMPTION!AC137</f>
        <v>1.8676591949184328E-2</v>
      </c>
      <c r="J18" s="318">
        <f>CONSUMPTION!AC143</f>
        <v>0.22281870243325019</v>
      </c>
      <c r="K18" s="318">
        <f>CONSUMPTION!AC162</f>
        <v>9.0994723373039987E-2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30.835132499187246</v>
      </c>
      <c r="F19" s="320">
        <f t="shared" si="8"/>
        <v>12.666113718396502</v>
      </c>
      <c r="G19" s="320">
        <f t="shared" si="8"/>
        <v>2.310212315463934</v>
      </c>
      <c r="H19" s="320">
        <f t="shared" si="8"/>
        <v>57.652588714853763</v>
      </c>
      <c r="I19" s="320">
        <f t="shared" si="8"/>
        <v>2.8948717521235707</v>
      </c>
      <c r="J19" s="320">
        <f t="shared" si="8"/>
        <v>34.536898877153781</v>
      </c>
      <c r="K19" s="320">
        <f t="shared" si="8"/>
        <v>14.104182122821198</v>
      </c>
      <c r="L19" s="286"/>
      <c r="M19" s="320">
        <f t="shared" si="0"/>
        <v>155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71</v>
      </c>
      <c r="B20" s="314">
        <v>134</v>
      </c>
      <c r="C20" s="317">
        <f>B20/$B$3</f>
        <v>1.8145133989627485E-2</v>
      </c>
      <c r="D20" s="316"/>
      <c r="E20" s="318">
        <f>CONSUMPTION!S5</f>
        <v>0.12097923595003215</v>
      </c>
      <c r="F20" s="318">
        <f>CONSUMPTION!S53</f>
        <v>0.14510881064831266</v>
      </c>
      <c r="G20" s="318">
        <f>CONSUMPTION!S74</f>
        <v>4.3476351499714553E-3</v>
      </c>
      <c r="H20" s="318">
        <f>CONSUMPTION!S82</f>
        <v>0.36863075442847948</v>
      </c>
      <c r="I20" s="318">
        <f>CONSUMPTION!S137</f>
        <v>3.8773399978441481E-2</v>
      </c>
      <c r="J20" s="318">
        <f>CONSUMPTION!S143</f>
        <v>9.9452653095444377E-2</v>
      </c>
      <c r="K20" s="318">
        <f>CONSUMPTION!S162</f>
        <v>0.22270751074931833</v>
      </c>
      <c r="L20" s="286"/>
      <c r="M20" s="319">
        <f t="shared" si="0"/>
        <v>0.99999999999999978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16.21121761730431</v>
      </c>
      <c r="F21" s="320">
        <f t="shared" si="9"/>
        <v>19.444580626873897</v>
      </c>
      <c r="G21" s="320">
        <f t="shared" si="9"/>
        <v>0.58258311009617503</v>
      </c>
      <c r="H21" s="320">
        <f t="shared" si="9"/>
        <v>49.396521093416247</v>
      </c>
      <c r="I21" s="320">
        <f t="shared" si="9"/>
        <v>5.1956355971111581</v>
      </c>
      <c r="J21" s="320">
        <f t="shared" si="9"/>
        <v>13.326655514789547</v>
      </c>
      <c r="K21" s="320">
        <f t="shared" si="9"/>
        <v>29.842806440408655</v>
      </c>
      <c r="L21" s="286"/>
      <c r="M21" s="320">
        <f t="shared" si="0"/>
        <v>134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140</v>
      </c>
      <c r="B22" s="314">
        <v>82.9</v>
      </c>
      <c r="C22" s="317">
        <f>B22/$B$3</f>
        <v>1.1225609012985959E-2</v>
      </c>
      <c r="D22" s="316"/>
      <c r="E22" s="318">
        <f>CONSUMPTION!I5</f>
        <v>5.9538439208476471E-2</v>
      </c>
      <c r="F22" s="318">
        <f>CONSUMPTION!I53</f>
        <v>9.8195365039431035E-2</v>
      </c>
      <c r="G22" s="318">
        <f>CONSUMPTION!I74</f>
        <v>1.1069717935071846E-2</v>
      </c>
      <c r="H22" s="318">
        <f>CONSUMPTION!I82</f>
        <v>0.49235086361217284</v>
      </c>
      <c r="I22" s="318">
        <f>CONSUMPTION!I137</f>
        <v>2.7664618510813293E-2</v>
      </c>
      <c r="J22" s="318">
        <f>CONSUMPTION!I143</f>
        <v>0.13816827132420528</v>
      </c>
      <c r="K22" s="318">
        <f>CONSUMPTION!I162</f>
        <v>0.17301272436982923</v>
      </c>
      <c r="L22" s="286"/>
      <c r="M22" s="319">
        <f t="shared" si="0"/>
        <v>1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4.9357366103826994</v>
      </c>
      <c r="F23" s="320">
        <f t="shared" si="10"/>
        <v>8.1403957617688327</v>
      </c>
      <c r="G23" s="320">
        <f t="shared" si="10"/>
        <v>0.91767961681745613</v>
      </c>
      <c r="H23" s="320">
        <f t="shared" si="10"/>
        <v>40.815886593449129</v>
      </c>
      <c r="I23" s="320">
        <f t="shared" si="10"/>
        <v>2.2933968745464219</v>
      </c>
      <c r="J23" s="320">
        <f t="shared" si="10"/>
        <v>11.454149692776619</v>
      </c>
      <c r="K23" s="320">
        <f t="shared" si="10"/>
        <v>14.342754850258844</v>
      </c>
      <c r="L23" s="286"/>
      <c r="M23" s="320">
        <f t="shared" si="0"/>
        <v>82.9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7.1768067272407214E-4</v>
      </c>
      <c r="D24" s="316"/>
      <c r="E24" s="318">
        <f>CONSUMPTION!BB5</f>
        <v>9.8180893939944072E-2</v>
      </c>
      <c r="F24" s="318">
        <f>CONSUMPTION!BB53</f>
        <v>0.15801895356014667</v>
      </c>
      <c r="G24" s="318">
        <f>CONSUMPTION!BB74</f>
        <v>1.6157728477542571E-2</v>
      </c>
      <c r="H24" s="318">
        <f>CONSUMPTION!BB82</f>
        <v>0.4838967357757526</v>
      </c>
      <c r="I24" s="318">
        <f>CONSUMPTION!BB137</f>
        <v>2.5017247013543444E-2</v>
      </c>
      <c r="J24" s="318">
        <f>CONSUMPTION!BB143</f>
        <v>0.15594931193493333</v>
      </c>
      <c r="K24" s="318">
        <f>CONSUMPTION!BB162</f>
        <v>6.2779129298137309E-2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0.52035873788170361</v>
      </c>
      <c r="F25" s="320">
        <f t="shared" si="11"/>
        <v>0.83750045386877736</v>
      </c>
      <c r="G25" s="320">
        <f t="shared" si="11"/>
        <v>8.5635960930975627E-2</v>
      </c>
      <c r="H25" s="320">
        <f t="shared" si="11"/>
        <v>2.5646526996114885</v>
      </c>
      <c r="I25" s="320">
        <f t="shared" si="11"/>
        <v>0.13259140917178025</v>
      </c>
      <c r="J25" s="320">
        <f t="shared" si="11"/>
        <v>0.82653135325514659</v>
      </c>
      <c r="K25" s="320">
        <f t="shared" si="11"/>
        <v>0.33272938528012774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314" t="s">
        <v>330</v>
      </c>
      <c r="B27" s="285" t="s">
        <v>331</v>
      </c>
      <c r="C27" s="286"/>
      <c r="D27" s="316"/>
      <c r="E27" s="458">
        <f t="shared" ref="E27:K27" si="12">E6+E8+E10+E12+E14+E16+E18+E20+E22+E24</f>
        <v>1.9216076060603002</v>
      </c>
      <c r="F27" s="458">
        <f t="shared" si="12"/>
        <v>1.0158789936317665</v>
      </c>
      <c r="G27" s="458">
        <f t="shared" si="12"/>
        <v>0.15715599415097634</v>
      </c>
      <c r="H27" s="458">
        <f t="shared" si="12"/>
        <v>4.256563553792307</v>
      </c>
      <c r="I27" s="458">
        <f t="shared" si="12"/>
        <v>0.22776703778239685</v>
      </c>
      <c r="J27" s="458">
        <f t="shared" si="12"/>
        <v>1.1210657469170104</v>
      </c>
      <c r="K27" s="458">
        <f t="shared" si="12"/>
        <v>1.2999610676652429</v>
      </c>
      <c r="L27" s="286"/>
      <c r="M27" s="319">
        <f>SUM(E27:K27)</f>
        <v>10</v>
      </c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314" t="s">
        <v>330</v>
      </c>
      <c r="B28" s="460" t="s">
        <v>332</v>
      </c>
      <c r="C28" s="312"/>
      <c r="D28" s="313"/>
      <c r="E28" s="461">
        <f t="shared" ref="E28:K28" si="13">E27*1000000</f>
        <v>1921607.6060603003</v>
      </c>
      <c r="F28" s="461">
        <f t="shared" si="13"/>
        <v>1015878.9936317665</v>
      </c>
      <c r="G28" s="461">
        <f t="shared" si="13"/>
        <v>157155.99415097633</v>
      </c>
      <c r="H28" s="461">
        <f t="shared" si="13"/>
        <v>4256563.5537923072</v>
      </c>
      <c r="I28" s="461">
        <f t="shared" si="13"/>
        <v>227767.03778239686</v>
      </c>
      <c r="J28" s="461">
        <f t="shared" si="13"/>
        <v>1121065.7469170105</v>
      </c>
      <c r="K28" s="461">
        <f t="shared" si="13"/>
        <v>1299961.0676652428</v>
      </c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314" t="s">
        <v>42</v>
      </c>
      <c r="B29" s="311"/>
      <c r="C29" s="312"/>
      <c r="D29" s="313"/>
      <c r="E29" s="461">
        <f>CONSUMPTION!BG5</f>
        <v>643782928</v>
      </c>
      <c r="F29" s="461">
        <f>CONSUMPTION!BG53</f>
        <v>389455861</v>
      </c>
      <c r="G29" s="461">
        <f>CONSUMPTION!BG74</f>
        <v>1310898890</v>
      </c>
      <c r="H29" s="461">
        <f>CONSUMPTION!BG82</f>
        <v>1046254720</v>
      </c>
      <c r="I29" s="461">
        <f>CONSUMPTION!BG137</f>
        <v>331543147</v>
      </c>
      <c r="J29" s="461">
        <f>CONSUMPTION!BG143</f>
        <v>2113393271</v>
      </c>
      <c r="K29" s="461">
        <f>CONSUMPTION!BG162</f>
        <v>581130580</v>
      </c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314" t="s">
        <v>333</v>
      </c>
      <c r="B30" s="311"/>
      <c r="C30" s="312"/>
      <c r="D30" s="313"/>
      <c r="E30" s="462">
        <f t="shared" ref="E30:K30" si="14">E28/E29</f>
        <v>2.9848688470662586E-3</v>
      </c>
      <c r="F30" s="462">
        <f t="shared" si="14"/>
        <v>2.6084573256217256E-3</v>
      </c>
      <c r="G30" s="462">
        <f t="shared" si="14"/>
        <v>1.1988414617619848E-4</v>
      </c>
      <c r="H30" s="462">
        <f t="shared" si="14"/>
        <v>4.0683816975203776E-3</v>
      </c>
      <c r="I30" s="462">
        <f t="shared" si="14"/>
        <v>6.869906370961631E-4</v>
      </c>
      <c r="J30" s="462">
        <f t="shared" si="14"/>
        <v>5.3045770623966865E-4</v>
      </c>
      <c r="K30" s="462">
        <f t="shared" si="14"/>
        <v>2.2369517495796605E-3</v>
      </c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3"/>
      <c r="I31" s="314"/>
      <c r="J31" s="312"/>
      <c r="K31" s="312"/>
      <c r="L31" s="286"/>
      <c r="M31" s="285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3"/>
      <c r="I32" s="314"/>
      <c r="J32" s="312"/>
      <c r="K32" s="312"/>
      <c r="L32" s="286"/>
      <c r="M32" s="285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3"/>
      <c r="I33" s="314"/>
      <c r="J33" s="312"/>
      <c r="K33" s="312"/>
      <c r="L33" s="286"/>
      <c r="M33" s="285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3"/>
      <c r="I34" s="314"/>
      <c r="J34" s="312"/>
      <c r="K34" s="312"/>
      <c r="L34" s="286"/>
      <c r="M34" s="285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286"/>
      <c r="B35" s="311"/>
      <c r="C35" s="312"/>
      <c r="D35" s="313"/>
      <c r="I35" s="314"/>
      <c r="J35" s="312"/>
      <c r="K35" s="312"/>
      <c r="L35" s="286"/>
      <c r="M35" s="285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286"/>
      <c r="B36" s="311"/>
      <c r="C36" s="312"/>
      <c r="D36" s="313"/>
      <c r="I36" s="314"/>
      <c r="J36" s="312"/>
      <c r="K36" s="312"/>
      <c r="L36" s="286"/>
      <c r="M36" s="285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286"/>
      <c r="B37" s="311"/>
      <c r="C37" s="312"/>
      <c r="D37" s="313"/>
      <c r="I37" s="314"/>
      <c r="J37" s="312"/>
      <c r="K37" s="312"/>
      <c r="L37" s="286"/>
      <c r="M37" s="285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286"/>
      <c r="B38" s="311"/>
      <c r="C38" s="312"/>
      <c r="D38" s="31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I39" s="286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I40" s="320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I41" s="286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I42" s="320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85" t="s">
        <v>328</v>
      </c>
      <c r="F43" s="286"/>
      <c r="G43" s="286"/>
      <c r="H43" s="286"/>
      <c r="I43" s="286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87" t="s">
        <v>108</v>
      </c>
      <c r="F44" s="287" t="s">
        <v>109</v>
      </c>
      <c r="G44" s="287" t="s">
        <v>110</v>
      </c>
      <c r="H44" s="312"/>
      <c r="I44" s="320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65</v>
      </c>
      <c r="F45" s="222" t="s">
        <v>115</v>
      </c>
      <c r="G45" s="457">
        <f>E5</f>
        <v>666.9638881695131</v>
      </c>
      <c r="H45" s="312"/>
      <c r="I45" s="286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65</v>
      </c>
      <c r="F46" s="222" t="s">
        <v>95</v>
      </c>
      <c r="G46" s="457">
        <f>F5</f>
        <v>338.70019092987116</v>
      </c>
      <c r="H46" s="312"/>
      <c r="I46" s="320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65</v>
      </c>
      <c r="F47" s="222" t="s">
        <v>116</v>
      </c>
      <c r="G47" s="457">
        <f>G5</f>
        <v>103.73919691440095</v>
      </c>
      <c r="H47" s="312"/>
      <c r="I47" s="286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65</v>
      </c>
      <c r="F48" s="222" t="s">
        <v>103</v>
      </c>
      <c r="G48" s="457">
        <f>H5</f>
        <v>848.84564464939763</v>
      </c>
      <c r="H48" s="312"/>
      <c r="I48" s="320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65</v>
      </c>
      <c r="F49" s="222" t="s">
        <v>117</v>
      </c>
      <c r="G49" s="457">
        <f>I5</f>
        <v>27.616241261926096</v>
      </c>
      <c r="H49" s="312"/>
      <c r="I49" s="286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65</v>
      </c>
      <c r="F50" s="222" t="s">
        <v>119</v>
      </c>
      <c r="G50" s="457">
        <f>J5</f>
        <v>316.93667937503136</v>
      </c>
      <c r="H50" s="312"/>
      <c r="I50" s="320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65</v>
      </c>
      <c r="F51" s="222" t="s">
        <v>121</v>
      </c>
      <c r="G51" s="457">
        <f>K5</f>
        <v>364.1981586998599</v>
      </c>
      <c r="H51" s="312"/>
      <c r="I51" s="286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6"/>
      <c r="E52" s="222" t="s">
        <v>66</v>
      </c>
      <c r="F52" s="222" t="s">
        <v>115</v>
      </c>
      <c r="G52" s="457">
        <f>E7</f>
        <v>135.47268256018444</v>
      </c>
      <c r="H52" s="463">
        <f>SUM(G52:G58)</f>
        <v>1130</v>
      </c>
      <c r="I52" s="320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6"/>
      <c r="E53" s="222" t="s">
        <v>66</v>
      </c>
      <c r="F53" s="222" t="s">
        <v>95</v>
      </c>
      <c r="G53" s="457">
        <f>F7</f>
        <v>159.88563672584777</v>
      </c>
      <c r="I53" s="286"/>
      <c r="J53" s="286"/>
      <c r="K53" s="286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6"/>
      <c r="E54" s="222" t="s">
        <v>66</v>
      </c>
      <c r="F54" s="222" t="s">
        <v>116</v>
      </c>
      <c r="G54" s="457">
        <f>G7</f>
        <v>21.754460474178508</v>
      </c>
      <c r="I54" s="320"/>
      <c r="J54" s="320"/>
      <c r="K54" s="320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6"/>
      <c r="E55" s="222" t="s">
        <v>66</v>
      </c>
      <c r="F55" s="222" t="s">
        <v>103</v>
      </c>
      <c r="G55" s="457">
        <f>H7</f>
        <v>557.70480964994863</v>
      </c>
      <c r="I55" s="286"/>
      <c r="J55" s="286"/>
      <c r="K55" s="286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6"/>
      <c r="E56" s="222" t="s">
        <v>66</v>
      </c>
      <c r="F56" s="222" t="s">
        <v>117</v>
      </c>
      <c r="G56" s="457">
        <f>I7</f>
        <v>17.727963980530809</v>
      </c>
      <c r="I56" s="320"/>
      <c r="J56" s="320"/>
      <c r="K56" s="320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314"/>
      <c r="B57" s="314"/>
      <c r="C57" s="317"/>
      <c r="D57" s="316"/>
      <c r="E57" s="222" t="s">
        <v>66</v>
      </c>
      <c r="F57" s="222" t="s">
        <v>119</v>
      </c>
      <c r="G57" s="457">
        <f>J7</f>
        <v>130.60757313718196</v>
      </c>
      <c r="I57" s="286"/>
      <c r="J57" s="286"/>
      <c r="K57" s="286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314"/>
      <c r="B58" s="314"/>
      <c r="C58" s="317"/>
      <c r="D58" s="316"/>
      <c r="E58" s="222" t="s">
        <v>66</v>
      </c>
      <c r="F58" s="222" t="s">
        <v>121</v>
      </c>
      <c r="G58" s="457">
        <f>K7</f>
        <v>106.84687347212795</v>
      </c>
      <c r="I58" s="320"/>
      <c r="J58" s="320"/>
      <c r="K58" s="320"/>
      <c r="L58" s="286"/>
      <c r="M58" s="321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314"/>
      <c r="B59" s="314"/>
      <c r="C59" s="317"/>
      <c r="D59" s="316"/>
      <c r="E59" s="222" t="s">
        <v>67</v>
      </c>
      <c r="F59" s="222" t="s">
        <v>115</v>
      </c>
      <c r="G59" s="457">
        <f>E9</f>
        <v>194.79011514590911</v>
      </c>
      <c r="H59" s="463">
        <f>SUM(G59:G65)</f>
        <v>883</v>
      </c>
      <c r="I59" s="286"/>
      <c r="J59" s="286"/>
      <c r="K59" s="286"/>
      <c r="L59" s="286"/>
      <c r="M59" s="321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E60" s="222" t="s">
        <v>67</v>
      </c>
      <c r="F60" s="222" t="s">
        <v>95</v>
      </c>
      <c r="G60" s="457">
        <f>F9</f>
        <v>113.56963230196129</v>
      </c>
      <c r="I60" s="320"/>
      <c r="J60" s="320"/>
      <c r="K60" s="320"/>
      <c r="L60" s="286"/>
      <c r="M60" s="321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E61" s="222" t="s">
        <v>67</v>
      </c>
      <c r="F61" s="222" t="s">
        <v>116</v>
      </c>
      <c r="G61" s="457">
        <f>G9</f>
        <v>12.614730416885603</v>
      </c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 ht="15">
      <c r="A62" s="286"/>
      <c r="B62" s="286"/>
      <c r="C62" s="286"/>
      <c r="D62" s="316"/>
      <c r="E62" s="222" t="s">
        <v>67</v>
      </c>
      <c r="F62" s="222" t="s">
        <v>103</v>
      </c>
      <c r="G62" s="457">
        <f>H9</f>
        <v>349.83048840063191</v>
      </c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E63" s="222" t="s">
        <v>67</v>
      </c>
      <c r="F63" s="222" t="s">
        <v>117</v>
      </c>
      <c r="G63" s="457">
        <f>I9</f>
        <v>12.768893984847542</v>
      </c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 ht="15">
      <c r="A64" s="286"/>
      <c r="B64" s="286"/>
      <c r="C64" s="286"/>
      <c r="D64" s="316"/>
      <c r="E64" s="222" t="s">
        <v>67</v>
      </c>
      <c r="F64" s="222" t="s">
        <v>119</v>
      </c>
      <c r="G64" s="457">
        <f>J9</f>
        <v>69.277994523896254</v>
      </c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E65" s="222" t="s">
        <v>67</v>
      </c>
      <c r="F65" s="222" t="s">
        <v>121</v>
      </c>
      <c r="G65" s="457">
        <f>K9</f>
        <v>130.14814522586829</v>
      </c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125</v>
      </c>
      <c r="F66" s="222" t="s">
        <v>115</v>
      </c>
      <c r="G66" s="457">
        <f>E11</f>
        <v>77.78015253059408</v>
      </c>
      <c r="H66" s="463">
        <f>SUM(G66:G72)</f>
        <v>841</v>
      </c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E67" s="222" t="s">
        <v>125</v>
      </c>
      <c r="F67" s="222" t="s">
        <v>95</v>
      </c>
      <c r="G67" s="457">
        <f>F11</f>
        <v>57.059480966484422</v>
      </c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E68" s="222" t="s">
        <v>125</v>
      </c>
      <c r="F68" s="222" t="s">
        <v>116</v>
      </c>
      <c r="G68" s="457">
        <f>G11</f>
        <v>14.046892569427666</v>
      </c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 ht="15">
      <c r="A69" s="286"/>
      <c r="B69" s="286"/>
      <c r="C69" s="286"/>
      <c r="D69" s="316"/>
      <c r="E69" s="222" t="s">
        <v>125</v>
      </c>
      <c r="F69" s="222" t="s">
        <v>103</v>
      </c>
      <c r="G69" s="457">
        <f>H11</f>
        <v>535.12590425230485</v>
      </c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E70" s="222" t="s">
        <v>125</v>
      </c>
      <c r="F70" s="222" t="s">
        <v>117</v>
      </c>
      <c r="G70" s="457">
        <f>I11</f>
        <v>22.1624847514145</v>
      </c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 ht="15">
      <c r="A71" s="286"/>
      <c r="B71" s="286"/>
      <c r="C71" s="286"/>
      <c r="D71" s="316"/>
      <c r="E71" s="222" t="s">
        <v>125</v>
      </c>
      <c r="F71" s="222" t="s">
        <v>119</v>
      </c>
      <c r="G71" s="457">
        <f>J11</f>
        <v>24.225872934916495</v>
      </c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E72" s="222" t="s">
        <v>125</v>
      </c>
      <c r="F72" s="222" t="s">
        <v>121</v>
      </c>
      <c r="G72" s="457">
        <f>K11</f>
        <v>110.59921199485798</v>
      </c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114</v>
      </c>
      <c r="F73" s="222" t="s">
        <v>115</v>
      </c>
      <c r="G73" s="457">
        <f>E13</f>
        <v>386.52379401393159</v>
      </c>
      <c r="H73" s="463">
        <f>SUM(G73:G79)</f>
        <v>834.7</v>
      </c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E74" s="222" t="s">
        <v>114</v>
      </c>
      <c r="F74" s="222" t="s">
        <v>95</v>
      </c>
      <c r="G74" s="457">
        <f>F13</f>
        <v>37.740111232708564</v>
      </c>
      <c r="H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E75" s="222" t="s">
        <v>114</v>
      </c>
      <c r="F75" s="222" t="s">
        <v>116</v>
      </c>
      <c r="G75" s="457">
        <f>G13</f>
        <v>15.177886829452833</v>
      </c>
      <c r="H75" s="320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 ht="15">
      <c r="A76" s="286"/>
      <c r="B76" s="286"/>
      <c r="C76" s="286"/>
      <c r="D76" s="316"/>
      <c r="E76" s="222" t="s">
        <v>114</v>
      </c>
      <c r="F76" s="222" t="s">
        <v>103</v>
      </c>
      <c r="G76" s="457">
        <f>H13</f>
        <v>251.5814087160276</v>
      </c>
      <c r="H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E77" s="222" t="s">
        <v>114</v>
      </c>
      <c r="F77" s="222" t="s">
        <v>117</v>
      </c>
      <c r="G77" s="457">
        <f>I13</f>
        <v>10.814304781095652</v>
      </c>
      <c r="H77" s="320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 ht="15">
      <c r="A78" s="286"/>
      <c r="B78" s="286"/>
      <c r="C78" s="286"/>
      <c r="D78" s="316"/>
      <c r="E78" s="222" t="s">
        <v>114</v>
      </c>
      <c r="F78" s="222" t="s">
        <v>119</v>
      </c>
      <c r="G78" s="457">
        <f>J13</f>
        <v>59.453301949612346</v>
      </c>
      <c r="H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E79" s="222" t="s">
        <v>114</v>
      </c>
      <c r="F79" s="222" t="s">
        <v>121</v>
      </c>
      <c r="G79" s="457">
        <f>K13</f>
        <v>73.40919247717153</v>
      </c>
      <c r="H79" s="320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141</v>
      </c>
      <c r="F80" s="222" t="s">
        <v>115</v>
      </c>
      <c r="G80" s="457">
        <f>E15</f>
        <v>193.70264412657133</v>
      </c>
      <c r="H80" s="463">
        <f>SUM(G80:G86)</f>
        <v>440</v>
      </c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E81" s="222" t="s">
        <v>141</v>
      </c>
      <c r="F81" s="222" t="s">
        <v>95</v>
      </c>
      <c r="G81" s="457">
        <f>F15</f>
        <v>43.297789336801046</v>
      </c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E82" s="222" t="s">
        <v>141</v>
      </c>
      <c r="F82" s="222" t="s">
        <v>116</v>
      </c>
      <c r="G82" s="457">
        <f>G15</f>
        <v>15.622019939315129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 ht="15">
      <c r="A83" s="286"/>
      <c r="B83" s="286"/>
      <c r="C83" s="286"/>
      <c r="D83" s="316"/>
      <c r="E83" s="222" t="s">
        <v>141</v>
      </c>
      <c r="F83" s="222" t="s">
        <v>103</v>
      </c>
      <c r="G83" s="457">
        <f>H15</f>
        <v>68.622453402687498</v>
      </c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E84" s="222" t="s">
        <v>141</v>
      </c>
      <c r="F84" s="222" t="s">
        <v>117</v>
      </c>
      <c r="G84" s="457">
        <f>I15</f>
        <v>8.5721716514954505</v>
      </c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 ht="15">
      <c r="A85" s="286"/>
      <c r="B85" s="286"/>
      <c r="C85" s="286"/>
      <c r="D85" s="316"/>
      <c r="E85" s="222" t="s">
        <v>141</v>
      </c>
      <c r="F85" s="222" t="s">
        <v>119</v>
      </c>
      <c r="G85" s="457">
        <f>J15</f>
        <v>42.170784568703944</v>
      </c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E86" s="222" t="s">
        <v>141</v>
      </c>
      <c r="F86" s="222" t="s">
        <v>121</v>
      </c>
      <c r="G86" s="457">
        <f>K15</f>
        <v>68.012136974425658</v>
      </c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123</v>
      </c>
      <c r="F87" s="222" t="s">
        <v>115</v>
      </c>
      <c r="G87" s="457">
        <f>E17</f>
        <v>22.831825899284087</v>
      </c>
      <c r="H87" s="463">
        <f>SUM(G87:G93)</f>
        <v>212</v>
      </c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E88" s="222" t="s">
        <v>123</v>
      </c>
      <c r="F88" s="222" t="s">
        <v>95</v>
      </c>
      <c r="G88" s="457">
        <f>F17</f>
        <v>10.86799457275024</v>
      </c>
      <c r="H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E89" s="222" t="s">
        <v>123</v>
      </c>
      <c r="F89" s="222" t="s">
        <v>116</v>
      </c>
      <c r="G89" s="457">
        <f>G17</f>
        <v>1.4304749330728517</v>
      </c>
      <c r="H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 ht="15">
      <c r="A90" s="286"/>
      <c r="B90" s="286"/>
      <c r="C90" s="286"/>
      <c r="D90" s="316"/>
      <c r="E90" s="222" t="s">
        <v>123</v>
      </c>
      <c r="F90" s="222" t="s">
        <v>103</v>
      </c>
      <c r="G90" s="457">
        <f>H17</f>
        <v>117.94498210810166</v>
      </c>
      <c r="H90" s="320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E91" s="222" t="s">
        <v>123</v>
      </c>
      <c r="F91" s="222" t="s">
        <v>117</v>
      </c>
      <c r="G91" s="457">
        <f>I17</f>
        <v>6.083391592634726</v>
      </c>
      <c r="H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 ht="15">
      <c r="A92" s="286"/>
      <c r="B92" s="286"/>
      <c r="C92" s="286"/>
      <c r="D92" s="316"/>
      <c r="E92" s="222" t="s">
        <v>123</v>
      </c>
      <c r="F92" s="222" t="s">
        <v>119</v>
      </c>
      <c r="G92" s="457">
        <f>J17</f>
        <v>24.329435034992127</v>
      </c>
      <c r="H92" s="320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E93" s="222" t="s">
        <v>123</v>
      </c>
      <c r="F93" s="222" t="s">
        <v>121</v>
      </c>
      <c r="G93" s="457">
        <f>K17</f>
        <v>28.511895859164341</v>
      </c>
      <c r="H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72</v>
      </c>
      <c r="F94" s="222" t="s">
        <v>115</v>
      </c>
      <c r="G94" s="457">
        <f>E19</f>
        <v>30.835132499187246</v>
      </c>
      <c r="H94" s="463">
        <f>SUM(G94:G100)</f>
        <v>155</v>
      </c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E95" s="222" t="s">
        <v>72</v>
      </c>
      <c r="F95" s="222" t="s">
        <v>95</v>
      </c>
      <c r="G95" s="457">
        <f>F19</f>
        <v>12.666113718396502</v>
      </c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E96" s="222" t="s">
        <v>72</v>
      </c>
      <c r="F96" s="222" t="s">
        <v>116</v>
      </c>
      <c r="G96" s="457">
        <f>G19</f>
        <v>2.310212315463934</v>
      </c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 ht="15">
      <c r="A97" s="286"/>
      <c r="B97" s="286"/>
      <c r="C97" s="286"/>
      <c r="D97" s="316"/>
      <c r="E97" s="222" t="s">
        <v>72</v>
      </c>
      <c r="F97" s="222" t="s">
        <v>103</v>
      </c>
      <c r="G97" s="457">
        <f>H19</f>
        <v>57.652588714853763</v>
      </c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E98" s="222" t="s">
        <v>72</v>
      </c>
      <c r="F98" s="222" t="s">
        <v>117</v>
      </c>
      <c r="G98" s="457">
        <f>I19</f>
        <v>2.8948717521235707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 ht="15">
      <c r="A99" s="286"/>
      <c r="B99" s="286"/>
      <c r="C99" s="286"/>
      <c r="D99" s="316"/>
      <c r="E99" s="222" t="s">
        <v>72</v>
      </c>
      <c r="F99" s="222" t="s">
        <v>119</v>
      </c>
      <c r="G99" s="457">
        <f>J19</f>
        <v>34.536898877153781</v>
      </c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E100" s="222" t="s">
        <v>72</v>
      </c>
      <c r="F100" s="222" t="s">
        <v>121</v>
      </c>
      <c r="G100" s="457">
        <f>K19</f>
        <v>14.104182122821198</v>
      </c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71</v>
      </c>
      <c r="F101" s="222" t="s">
        <v>115</v>
      </c>
      <c r="G101" s="457">
        <f>E21</f>
        <v>16.21121761730431</v>
      </c>
      <c r="H101" s="463">
        <f>SUM(G101:G107)</f>
        <v>134</v>
      </c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E102" s="222" t="s">
        <v>71</v>
      </c>
      <c r="F102" s="222" t="s">
        <v>95</v>
      </c>
      <c r="G102" s="457">
        <f>F21</f>
        <v>19.444580626873897</v>
      </c>
      <c r="H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E103" s="222" t="s">
        <v>71</v>
      </c>
      <c r="F103" s="222" t="s">
        <v>116</v>
      </c>
      <c r="G103" s="457">
        <f>G21</f>
        <v>0.58258311009617503</v>
      </c>
      <c r="H103" s="320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 ht="15">
      <c r="A104" s="286"/>
      <c r="B104" s="286"/>
      <c r="C104" s="286"/>
      <c r="D104" s="316"/>
      <c r="E104" s="222" t="s">
        <v>71</v>
      </c>
      <c r="F104" s="222" t="s">
        <v>103</v>
      </c>
      <c r="G104" s="457">
        <f>H21</f>
        <v>49.396521093416247</v>
      </c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E105" s="222" t="s">
        <v>71</v>
      </c>
      <c r="F105" s="222" t="s">
        <v>117</v>
      </c>
      <c r="G105" s="457">
        <f>I21</f>
        <v>5.1956355971111581</v>
      </c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71</v>
      </c>
      <c r="F106" s="222" t="s">
        <v>119</v>
      </c>
      <c r="G106" s="457">
        <f>J21</f>
        <v>13.326655514789547</v>
      </c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71</v>
      </c>
      <c r="F107" s="222" t="s">
        <v>121</v>
      </c>
      <c r="G107" s="457">
        <f>K21</f>
        <v>29.842806440408655</v>
      </c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316"/>
      <c r="E108" s="222" t="s">
        <v>140</v>
      </c>
      <c r="F108" s="222" t="s">
        <v>115</v>
      </c>
      <c r="G108" s="457">
        <f>E23</f>
        <v>4.9357366103826994</v>
      </c>
      <c r="H108" s="463">
        <f>SUM(G108:G114)</f>
        <v>82.9</v>
      </c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140</v>
      </c>
      <c r="F109" s="222" t="s">
        <v>95</v>
      </c>
      <c r="G109" s="457">
        <f>F23</f>
        <v>8.1403957617688327</v>
      </c>
      <c r="H109" s="320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E110" s="222" t="s">
        <v>140</v>
      </c>
      <c r="F110" s="222" t="s">
        <v>116</v>
      </c>
      <c r="G110" s="457">
        <f>G23</f>
        <v>0.91767961681745613</v>
      </c>
      <c r="H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22" t="s">
        <v>140</v>
      </c>
      <c r="F111" s="222" t="s">
        <v>103</v>
      </c>
      <c r="G111" s="457">
        <f>H23</f>
        <v>40.815886593449129</v>
      </c>
      <c r="H111" s="320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22" t="s">
        <v>140</v>
      </c>
      <c r="F112" s="222" t="s">
        <v>117</v>
      </c>
      <c r="G112" s="457">
        <f>I23</f>
        <v>2.2933968745464219</v>
      </c>
      <c r="H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22" t="s">
        <v>140</v>
      </c>
      <c r="F113" s="222" t="s">
        <v>119</v>
      </c>
      <c r="G113" s="457">
        <f>J23</f>
        <v>11.454149692776619</v>
      </c>
      <c r="H113" s="320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22" t="s">
        <v>140</v>
      </c>
      <c r="F114" s="222" t="s">
        <v>121</v>
      </c>
      <c r="G114" s="457">
        <f>K23</f>
        <v>14.342754850258844</v>
      </c>
      <c r="H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>
      <c r="A115" s="286"/>
      <c r="B115" s="286"/>
      <c r="C115" s="286"/>
      <c r="D115" s="316"/>
      <c r="E115" s="222" t="s">
        <v>76</v>
      </c>
      <c r="F115" s="222" t="s">
        <v>115</v>
      </c>
      <c r="G115" s="457">
        <f>E25</f>
        <v>0.52035873788170361</v>
      </c>
      <c r="H115" s="463">
        <f>SUM(G115:G121)</f>
        <v>5.3</v>
      </c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22" t="s">
        <v>76</v>
      </c>
      <c r="F116" s="222" t="s">
        <v>95</v>
      </c>
      <c r="G116" s="457">
        <f>F25</f>
        <v>0.83750045386877736</v>
      </c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22" t="s">
        <v>76</v>
      </c>
      <c r="F117" s="222" t="s">
        <v>116</v>
      </c>
      <c r="G117" s="457">
        <f>G25</f>
        <v>8.5635960930975627E-2</v>
      </c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22" t="s">
        <v>76</v>
      </c>
      <c r="F118" s="222" t="s">
        <v>103</v>
      </c>
      <c r="G118" s="457">
        <f>H25</f>
        <v>2.5646526996114885</v>
      </c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22" t="s">
        <v>76</v>
      </c>
      <c r="F119" s="222" t="s">
        <v>117</v>
      </c>
      <c r="G119" s="457">
        <f>I25</f>
        <v>0.13259140917178025</v>
      </c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22" t="s">
        <v>76</v>
      </c>
      <c r="F120" s="222" t="s">
        <v>119</v>
      </c>
      <c r="G120" s="457">
        <f>J25</f>
        <v>0.82653135325514659</v>
      </c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22" t="s">
        <v>76</v>
      </c>
      <c r="F121" s="222" t="s">
        <v>121</v>
      </c>
      <c r="G121" s="457">
        <f>K25</f>
        <v>0.33272938528012774</v>
      </c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G123" s="339">
        <f>SUM(G45:G121)</f>
        <v>7384.9000000000015</v>
      </c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>
      <c r="A142" s="286" t="s">
        <v>2823</v>
      </c>
      <c r="B142" s="286" t="s">
        <v>2825</v>
      </c>
      <c r="C142" s="286"/>
      <c r="D142" s="316"/>
      <c r="H142" s="312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>
      <c r="A143" s="315" t="s">
        <v>138</v>
      </c>
      <c r="B143" s="315">
        <v>2667</v>
      </c>
      <c r="C143" s="286"/>
      <c r="D143" s="31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>
      <c r="A144" s="315" t="s">
        <v>66</v>
      </c>
      <c r="B144" s="315">
        <v>1130</v>
      </c>
      <c r="C144" s="286"/>
      <c r="D144" s="31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>
      <c r="A145" s="315" t="s">
        <v>67</v>
      </c>
      <c r="B145" s="315">
        <v>883</v>
      </c>
      <c r="C145" s="286"/>
      <c r="D145" s="31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>
      <c r="A146" s="315" t="s">
        <v>125</v>
      </c>
      <c r="B146" s="315">
        <v>841</v>
      </c>
      <c r="C146" s="286"/>
      <c r="D146" s="31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>
      <c r="A147" s="315" t="s">
        <v>137</v>
      </c>
      <c r="B147" s="315">
        <v>834.7</v>
      </c>
      <c r="C147" s="286"/>
      <c r="D147" s="31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>
      <c r="A148" s="315" t="s">
        <v>141</v>
      </c>
      <c r="B148" s="315">
        <v>440</v>
      </c>
      <c r="C148" s="286"/>
      <c r="D148" s="31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>
      <c r="A149" s="315" t="s">
        <v>139</v>
      </c>
      <c r="B149" s="315">
        <v>212</v>
      </c>
      <c r="C149" s="286"/>
      <c r="D149" s="31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>
      <c r="A150" s="315" t="s">
        <v>72</v>
      </c>
      <c r="B150" s="315">
        <v>155</v>
      </c>
      <c r="C150" s="286"/>
      <c r="D150" s="316"/>
      <c r="E150" s="286"/>
      <c r="F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>
      <c r="A151" s="315" t="s">
        <v>71</v>
      </c>
      <c r="B151" s="315">
        <v>134</v>
      </c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>
      <c r="A152" s="315" t="s">
        <v>140</v>
      </c>
      <c r="B152" s="315">
        <v>82.9</v>
      </c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>
      <c r="A153" s="315" t="s">
        <v>76</v>
      </c>
      <c r="B153" s="315">
        <v>5.3</v>
      </c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1"/>
  <sheetViews>
    <sheetView workbookViewId="0">
      <pane ySplit="3" topLeftCell="A52" activePane="bottomLeft" state="frozen"/>
      <selection pane="bottomLeft" activeCell="A55" sqref="A55"/>
    </sheetView>
  </sheetViews>
  <sheetFormatPr defaultColWidth="14.42578125" defaultRowHeight="15.75" customHeight="1"/>
  <cols>
    <col min="1" max="1" width="24" customWidth="1"/>
    <col min="2" max="2" width="59.28515625" customWidth="1"/>
    <col min="3" max="3" width="13.28515625" customWidth="1"/>
    <col min="4" max="5" width="11" customWidth="1"/>
    <col min="6" max="6" width="22.85546875" customWidth="1"/>
  </cols>
  <sheetData>
    <row r="1" spans="1:12">
      <c r="A1" s="287" t="s">
        <v>334</v>
      </c>
      <c r="B1" s="222" t="s">
        <v>335</v>
      </c>
      <c r="C1" s="287" t="s">
        <v>334</v>
      </c>
      <c r="F1" s="222" t="s">
        <v>336</v>
      </c>
      <c r="G1" s="464"/>
      <c r="H1" s="464"/>
      <c r="I1" s="464"/>
      <c r="J1" s="464"/>
      <c r="K1" s="464"/>
      <c r="L1" s="464"/>
    </row>
    <row r="2" spans="1:12">
      <c r="A2" s="222"/>
      <c r="B2" s="222"/>
      <c r="C2" s="222" t="s">
        <v>337</v>
      </c>
      <c r="D2" s="222" t="s">
        <v>61</v>
      </c>
      <c r="E2" s="222" t="s">
        <v>338</v>
      </c>
      <c r="F2" s="222"/>
      <c r="G2" s="465" t="s">
        <v>339</v>
      </c>
      <c r="H2" s="464"/>
      <c r="I2" s="464"/>
      <c r="J2" s="464"/>
      <c r="K2" s="464"/>
      <c r="L2" s="464"/>
    </row>
    <row r="3" spans="1:12">
      <c r="A3" s="287" t="s">
        <v>136</v>
      </c>
      <c r="B3" s="287"/>
      <c r="C3" s="466">
        <f>SUM(C4:C14)</f>
        <v>7384.9000000000005</v>
      </c>
      <c r="D3" s="222"/>
      <c r="E3" s="222"/>
      <c r="F3" s="222"/>
      <c r="G3" s="465"/>
      <c r="H3" s="465"/>
      <c r="I3" s="464"/>
      <c r="J3" s="464"/>
      <c r="K3" s="464"/>
      <c r="L3" s="464"/>
    </row>
    <row r="4" spans="1:12">
      <c r="A4" s="287" t="s">
        <v>139</v>
      </c>
      <c r="B4" s="222" t="s">
        <v>340</v>
      </c>
      <c r="C4" s="287">
        <v>212</v>
      </c>
      <c r="D4" s="467">
        <f t="shared" ref="D4:D14" si="0">C4/$C$3</f>
        <v>2.8707226908962883E-2</v>
      </c>
      <c r="E4" s="222">
        <v>2018</v>
      </c>
      <c r="F4" s="222" t="s">
        <v>123</v>
      </c>
      <c r="G4" s="468" t="s">
        <v>341</v>
      </c>
      <c r="H4" s="468" t="s">
        <v>342</v>
      </c>
      <c r="I4" s="464"/>
      <c r="J4" s="464"/>
      <c r="K4" s="464"/>
      <c r="L4" s="464"/>
    </row>
    <row r="5" spans="1:12">
      <c r="A5" s="287" t="s">
        <v>137</v>
      </c>
      <c r="B5" s="222" t="s">
        <v>343</v>
      </c>
      <c r="C5" s="287">
        <v>834.7</v>
      </c>
      <c r="D5" s="467">
        <f t="shared" si="0"/>
        <v>0.11302793538165716</v>
      </c>
      <c r="E5" s="222"/>
      <c r="F5" s="222" t="s">
        <v>344</v>
      </c>
      <c r="G5" s="465"/>
      <c r="H5" s="465"/>
      <c r="I5" s="464"/>
      <c r="J5" s="464"/>
      <c r="K5" s="464"/>
      <c r="L5" s="464"/>
    </row>
    <row r="6" spans="1:12">
      <c r="A6" s="287" t="s">
        <v>140</v>
      </c>
      <c r="B6" s="287"/>
      <c r="C6" s="287">
        <v>82.9</v>
      </c>
      <c r="D6" s="467">
        <f t="shared" si="0"/>
        <v>1.1225609012985957E-2</v>
      </c>
      <c r="E6" s="222">
        <v>2018</v>
      </c>
      <c r="F6" s="222" t="s">
        <v>140</v>
      </c>
      <c r="G6" s="468" t="s">
        <v>345</v>
      </c>
      <c r="H6" s="464"/>
      <c r="I6" s="464"/>
      <c r="J6" s="464"/>
      <c r="K6" s="464"/>
      <c r="L6" s="464"/>
    </row>
    <row r="7" spans="1:12">
      <c r="A7" s="287" t="s">
        <v>71</v>
      </c>
      <c r="B7" s="287"/>
      <c r="C7" s="287">
        <v>134</v>
      </c>
      <c r="D7" s="467">
        <f t="shared" si="0"/>
        <v>1.8145133989627481E-2</v>
      </c>
      <c r="E7" s="222">
        <v>2018</v>
      </c>
      <c r="F7" s="222" t="s">
        <v>71</v>
      </c>
      <c r="G7" s="468" t="s">
        <v>341</v>
      </c>
      <c r="H7" s="468" t="s">
        <v>342</v>
      </c>
      <c r="I7" s="464"/>
      <c r="J7" s="464"/>
      <c r="K7" s="464"/>
      <c r="L7" s="464"/>
    </row>
    <row r="8" spans="1:12">
      <c r="A8" s="287" t="s">
        <v>125</v>
      </c>
      <c r="B8" s="287"/>
      <c r="C8" s="287">
        <v>841</v>
      </c>
      <c r="D8" s="467">
        <f t="shared" si="0"/>
        <v>0.11388102750206501</v>
      </c>
      <c r="E8" s="222">
        <v>2018</v>
      </c>
      <c r="F8" s="222" t="s">
        <v>346</v>
      </c>
      <c r="G8" s="468" t="s">
        <v>345</v>
      </c>
      <c r="H8" s="464"/>
      <c r="I8" s="464"/>
      <c r="J8" s="464"/>
      <c r="K8" s="464"/>
      <c r="L8" s="464"/>
    </row>
    <row r="9" spans="1:12">
      <c r="A9" s="287" t="s">
        <v>72</v>
      </c>
      <c r="B9" s="287"/>
      <c r="C9" s="287">
        <v>155</v>
      </c>
      <c r="D9" s="467">
        <f t="shared" si="0"/>
        <v>2.0988774390987012E-2</v>
      </c>
      <c r="E9" s="222">
        <v>2013</v>
      </c>
      <c r="F9" s="222" t="s">
        <v>347</v>
      </c>
      <c r="G9" s="469" t="s">
        <v>348</v>
      </c>
      <c r="H9" s="464"/>
      <c r="I9" s="464"/>
      <c r="J9" s="464"/>
      <c r="K9" s="464"/>
      <c r="L9" s="464"/>
    </row>
    <row r="10" spans="1:12">
      <c r="A10" s="287" t="s">
        <v>66</v>
      </c>
      <c r="B10" s="222" t="s">
        <v>349</v>
      </c>
      <c r="C10" s="287">
        <v>1130</v>
      </c>
      <c r="D10" s="467">
        <f t="shared" si="0"/>
        <v>0.1530149358826795</v>
      </c>
      <c r="F10" s="222" t="s">
        <v>66</v>
      </c>
      <c r="G10" s="468" t="s">
        <v>350</v>
      </c>
      <c r="H10" s="464"/>
      <c r="I10" s="464"/>
      <c r="J10" s="464"/>
      <c r="K10" s="464"/>
      <c r="L10" s="464"/>
    </row>
    <row r="11" spans="1:12">
      <c r="A11" s="287" t="s">
        <v>67</v>
      </c>
      <c r="B11" s="287"/>
      <c r="C11" s="287">
        <v>883</v>
      </c>
      <c r="D11" s="467">
        <f t="shared" si="0"/>
        <v>0.11956830830478407</v>
      </c>
      <c r="F11" s="222" t="s">
        <v>351</v>
      </c>
      <c r="G11" s="468" t="s">
        <v>352</v>
      </c>
      <c r="H11" s="464"/>
      <c r="I11" s="464"/>
      <c r="J11" s="464"/>
      <c r="K11" s="464"/>
      <c r="L11" s="464"/>
    </row>
    <row r="12" spans="1:12">
      <c r="A12" s="287" t="s">
        <v>141</v>
      </c>
      <c r="B12" s="287"/>
      <c r="C12" s="287">
        <v>440</v>
      </c>
      <c r="D12" s="467">
        <f t="shared" si="0"/>
        <v>5.9581036980866357E-2</v>
      </c>
      <c r="E12" s="222">
        <v>2018</v>
      </c>
      <c r="F12" s="222" t="s">
        <v>75</v>
      </c>
      <c r="G12" s="468" t="s">
        <v>353</v>
      </c>
      <c r="H12" s="464"/>
      <c r="I12" s="464"/>
      <c r="J12" s="464"/>
      <c r="K12" s="464"/>
      <c r="L12" s="464"/>
    </row>
    <row r="13" spans="1:12">
      <c r="A13" s="287" t="s">
        <v>138</v>
      </c>
      <c r="B13" s="222" t="s">
        <v>354</v>
      </c>
      <c r="C13" s="287">
        <v>2667</v>
      </c>
      <c r="D13" s="467">
        <f t="shared" si="0"/>
        <v>0.36114233097266041</v>
      </c>
      <c r="E13" s="222">
        <v>2020</v>
      </c>
      <c r="F13" s="222" t="s">
        <v>138</v>
      </c>
      <c r="G13" s="468" t="s">
        <v>355</v>
      </c>
      <c r="H13" s="468" t="s">
        <v>356</v>
      </c>
      <c r="I13" s="468" t="s">
        <v>357</v>
      </c>
      <c r="J13" s="464"/>
      <c r="K13" s="464"/>
      <c r="L13" s="464"/>
    </row>
    <row r="14" spans="1:12">
      <c r="A14" s="287" t="s">
        <v>76</v>
      </c>
      <c r="B14" s="287"/>
      <c r="C14" s="287">
        <v>5.3</v>
      </c>
      <c r="D14" s="467">
        <f t="shared" si="0"/>
        <v>7.1768067272407203E-4</v>
      </c>
      <c r="E14" s="222">
        <v>2020</v>
      </c>
      <c r="F14" s="222" t="s">
        <v>76</v>
      </c>
      <c r="G14" s="468" t="s">
        <v>358</v>
      </c>
      <c r="H14" s="464"/>
      <c r="I14" s="464"/>
      <c r="J14" s="464"/>
      <c r="K14" s="464"/>
      <c r="L14" s="464"/>
    </row>
    <row r="15" spans="1:12">
      <c r="G15" s="464"/>
      <c r="H15" s="464"/>
      <c r="I15" s="464"/>
      <c r="J15" s="464"/>
      <c r="K15" s="464"/>
      <c r="L15" s="464"/>
    </row>
    <row r="16" spans="1:12">
      <c r="G16" s="464"/>
      <c r="H16" s="464"/>
      <c r="I16" s="464"/>
      <c r="J16" s="464"/>
      <c r="K16" s="464"/>
      <c r="L16" s="464"/>
    </row>
    <row r="17" spans="1:29">
      <c r="A17" s="287" t="s">
        <v>359</v>
      </c>
      <c r="B17" s="222" t="s">
        <v>360</v>
      </c>
      <c r="G17" s="464"/>
      <c r="H17" s="464"/>
      <c r="I17" s="464"/>
      <c r="J17" s="464"/>
      <c r="K17" s="464"/>
      <c r="L17" s="464"/>
    </row>
    <row r="18" spans="1:29">
      <c r="G18" s="464"/>
      <c r="H18" s="464"/>
      <c r="I18" s="464"/>
      <c r="J18" s="464"/>
      <c r="K18" s="464"/>
      <c r="L18" s="464"/>
    </row>
    <row r="19" spans="1:29">
      <c r="G19" s="464"/>
      <c r="H19" s="464"/>
      <c r="I19" s="464"/>
      <c r="J19" s="464"/>
      <c r="K19" s="464"/>
      <c r="L19" s="464"/>
    </row>
    <row r="20" spans="1:29">
      <c r="G20" s="464"/>
      <c r="H20" s="464"/>
      <c r="I20" s="464"/>
      <c r="J20" s="464"/>
      <c r="K20" s="464"/>
      <c r="L20" s="464"/>
    </row>
    <row r="21" spans="1:29">
      <c r="A21" s="470"/>
      <c r="B21" s="470"/>
      <c r="C21" s="470"/>
      <c r="D21" s="470"/>
      <c r="E21" s="470"/>
      <c r="F21" s="470"/>
      <c r="G21" s="471"/>
      <c r="H21" s="471"/>
      <c r="I21" s="471"/>
      <c r="J21" s="471"/>
      <c r="K21" s="471"/>
      <c r="L21" s="471"/>
      <c r="M21" s="470"/>
      <c r="N21" s="470"/>
      <c r="O21" s="470"/>
      <c r="P21" s="470"/>
      <c r="Q21" s="470"/>
      <c r="R21" s="470"/>
      <c r="S21" s="470"/>
      <c r="T21" s="470"/>
      <c r="U21" s="470"/>
      <c r="V21" s="470"/>
      <c r="W21" s="470"/>
      <c r="X21" s="470"/>
      <c r="Y21" s="470"/>
      <c r="Z21" s="470"/>
      <c r="AA21" s="470"/>
      <c r="AB21" s="470"/>
      <c r="AC21" s="470"/>
    </row>
    <row r="22" spans="1:29">
      <c r="A22" s="287" t="s">
        <v>361</v>
      </c>
      <c r="C22" s="185">
        <f>SUM(C23:C27)</f>
        <v>834.69999999999993</v>
      </c>
      <c r="G22" s="464"/>
      <c r="H22" s="464"/>
      <c r="I22" s="464"/>
      <c r="J22" s="464"/>
      <c r="K22" s="464"/>
      <c r="L22" s="464"/>
    </row>
    <row r="23" spans="1:29">
      <c r="A23" s="222" t="s">
        <v>362</v>
      </c>
      <c r="C23" s="222">
        <v>277.8</v>
      </c>
      <c r="D23" s="222"/>
      <c r="E23" s="222">
        <v>2018</v>
      </c>
      <c r="G23" s="468" t="s">
        <v>363</v>
      </c>
      <c r="H23" s="464"/>
      <c r="I23" s="464"/>
      <c r="J23" s="464"/>
      <c r="K23" s="464"/>
      <c r="L23" s="464"/>
    </row>
    <row r="24" spans="1:29">
      <c r="A24" s="222" t="s">
        <v>364</v>
      </c>
      <c r="C24" s="222">
        <v>370</v>
      </c>
      <c r="D24" s="222"/>
      <c r="E24" s="222">
        <v>2019</v>
      </c>
      <c r="G24" s="468" t="s">
        <v>365</v>
      </c>
      <c r="H24" s="464"/>
      <c r="I24" s="464"/>
      <c r="J24" s="464"/>
      <c r="K24" s="464"/>
      <c r="L24" s="464"/>
    </row>
    <row r="25" spans="1:29">
      <c r="A25" s="222" t="s">
        <v>366</v>
      </c>
      <c r="C25" s="222">
        <v>22.9</v>
      </c>
      <c r="D25" s="222"/>
      <c r="E25" s="222">
        <v>2019</v>
      </c>
      <c r="G25" s="468" t="s">
        <v>367</v>
      </c>
      <c r="H25" s="464"/>
      <c r="I25" s="464"/>
      <c r="J25" s="464"/>
      <c r="K25" s="464"/>
      <c r="L25" s="464"/>
    </row>
    <row r="26" spans="1:29">
      <c r="A26" s="222" t="s">
        <v>368</v>
      </c>
      <c r="B26" s="222"/>
      <c r="C26" s="222">
        <v>72</v>
      </c>
      <c r="D26" s="222"/>
      <c r="E26" s="222">
        <v>2018</v>
      </c>
      <c r="F26" s="222"/>
      <c r="G26" s="468" t="s">
        <v>356</v>
      </c>
      <c r="H26" s="464"/>
      <c r="I26" s="464"/>
      <c r="J26" s="464"/>
      <c r="K26" s="464"/>
      <c r="L26" s="464"/>
    </row>
    <row r="27" spans="1:29">
      <c r="A27" s="222" t="s">
        <v>369</v>
      </c>
      <c r="B27" s="222"/>
      <c r="C27" s="222">
        <v>92</v>
      </c>
      <c r="D27" s="222"/>
      <c r="E27" s="222">
        <v>2018</v>
      </c>
      <c r="F27" s="222"/>
      <c r="G27" s="468" t="s">
        <v>356</v>
      </c>
      <c r="H27" s="464"/>
      <c r="I27" s="464"/>
      <c r="J27" s="464"/>
      <c r="K27" s="464"/>
      <c r="L27" s="464"/>
    </row>
    <row r="28" spans="1:29">
      <c r="B28" s="222"/>
      <c r="C28" s="222"/>
      <c r="D28" s="222"/>
      <c r="E28" s="222"/>
      <c r="F28" s="222"/>
      <c r="G28" s="465"/>
      <c r="H28" s="464"/>
      <c r="I28" s="464"/>
      <c r="J28" s="464"/>
      <c r="K28" s="464"/>
      <c r="L28" s="464"/>
    </row>
    <row r="29" spans="1:29">
      <c r="A29" s="287" t="s">
        <v>75</v>
      </c>
      <c r="B29" s="222"/>
      <c r="C29" s="287">
        <f>SUM(C30:C31)</f>
        <v>440</v>
      </c>
      <c r="D29" s="222"/>
      <c r="E29" s="222"/>
      <c r="F29" s="222"/>
      <c r="G29" s="465"/>
      <c r="H29" s="464"/>
      <c r="I29" s="464"/>
      <c r="J29" s="464"/>
      <c r="K29" s="464"/>
      <c r="L29" s="464"/>
    </row>
    <row r="30" spans="1:29">
      <c r="A30" s="222" t="s">
        <v>370</v>
      </c>
      <c r="B30" s="222" t="s">
        <v>371</v>
      </c>
      <c r="C30" s="222">
        <v>348</v>
      </c>
      <c r="D30" s="222"/>
      <c r="E30" s="222">
        <v>2018</v>
      </c>
      <c r="G30" s="468" t="s">
        <v>353</v>
      </c>
      <c r="H30" s="464"/>
      <c r="I30" s="464"/>
      <c r="J30" s="464"/>
      <c r="K30" s="464"/>
      <c r="L30" s="464"/>
    </row>
    <row r="31" spans="1:29">
      <c r="A31" s="222" t="s">
        <v>372</v>
      </c>
      <c r="B31" s="222" t="s">
        <v>373</v>
      </c>
      <c r="C31" s="222">
        <v>92</v>
      </c>
      <c r="D31" s="222"/>
      <c r="E31" s="222">
        <v>2018</v>
      </c>
      <c r="G31" s="468" t="s">
        <v>374</v>
      </c>
      <c r="H31" s="464"/>
      <c r="I31" s="464"/>
      <c r="J31" s="464"/>
      <c r="K31" s="464"/>
      <c r="L31" s="464"/>
    </row>
    <row r="32" spans="1:29">
      <c r="G32" s="464"/>
      <c r="H32" s="464"/>
      <c r="I32" s="464"/>
      <c r="J32" s="464"/>
      <c r="K32" s="464"/>
      <c r="L32" s="464"/>
    </row>
    <row r="33" spans="1:12">
      <c r="G33" s="464"/>
      <c r="H33" s="464"/>
      <c r="I33" s="464"/>
      <c r="J33" s="464"/>
      <c r="K33" s="464"/>
      <c r="L33" s="464"/>
    </row>
    <row r="34" spans="1:12">
      <c r="A34" s="287" t="s">
        <v>375</v>
      </c>
      <c r="G34" s="464"/>
      <c r="H34" s="464"/>
      <c r="I34" s="464"/>
      <c r="J34" s="464"/>
      <c r="K34" s="464"/>
      <c r="L34" s="464"/>
    </row>
    <row r="35" spans="1:12">
      <c r="A35" s="222" t="s">
        <v>376</v>
      </c>
      <c r="B35" s="222" t="s">
        <v>377</v>
      </c>
      <c r="C35" s="222">
        <v>234.8</v>
      </c>
      <c r="D35" s="222"/>
      <c r="E35" s="222">
        <v>2013</v>
      </c>
      <c r="F35" s="472">
        <f>SUM(C35/C$38)</f>
        <v>0.11121110216454316</v>
      </c>
      <c r="G35" s="468" t="s">
        <v>378</v>
      </c>
      <c r="H35" s="468" t="s">
        <v>379</v>
      </c>
      <c r="I35" s="464"/>
      <c r="J35" s="464"/>
      <c r="K35" s="464"/>
      <c r="L35" s="464"/>
    </row>
    <row r="36" spans="1:12">
      <c r="A36" s="222" t="s">
        <v>359</v>
      </c>
      <c r="C36" s="222">
        <v>873.5</v>
      </c>
      <c r="D36" s="222"/>
      <c r="E36" s="222">
        <v>2013</v>
      </c>
      <c r="F36" s="472">
        <f>SUM(C36/C$38)</f>
        <v>0.4137261402927106</v>
      </c>
      <c r="G36" s="468" t="s">
        <v>378</v>
      </c>
      <c r="H36" s="468" t="s">
        <v>379</v>
      </c>
      <c r="I36" s="464"/>
      <c r="J36" s="464"/>
      <c r="K36" s="464"/>
      <c r="L36" s="464"/>
    </row>
    <row r="37" spans="1:12">
      <c r="A37" s="222" t="s">
        <v>380</v>
      </c>
      <c r="C37" s="222">
        <v>1003</v>
      </c>
      <c r="D37" s="222"/>
      <c r="E37" s="222">
        <v>2013</v>
      </c>
      <c r="F37" s="472">
        <f>SUM(C37/C$38)</f>
        <v>0.47506275754274613</v>
      </c>
      <c r="G37" s="468" t="s">
        <v>378</v>
      </c>
      <c r="H37" s="468" t="s">
        <v>379</v>
      </c>
      <c r="I37" s="464"/>
      <c r="J37" s="464"/>
      <c r="K37" s="464"/>
      <c r="L37" s="464"/>
    </row>
    <row r="38" spans="1:12">
      <c r="A38" s="222" t="s">
        <v>381</v>
      </c>
      <c r="C38" s="185">
        <f>SUM(C35:C37)</f>
        <v>2111.3000000000002</v>
      </c>
      <c r="D38" s="222"/>
      <c r="E38" s="222">
        <v>2013</v>
      </c>
      <c r="F38" s="472">
        <f>SUM(C38/C$38)</f>
        <v>1</v>
      </c>
      <c r="G38" s="468" t="s">
        <v>378</v>
      </c>
      <c r="H38" s="468" t="s">
        <v>379</v>
      </c>
      <c r="I38" s="464"/>
      <c r="J38" s="464"/>
      <c r="K38" s="464"/>
      <c r="L38" s="464"/>
    </row>
    <row r="39" spans="1:12">
      <c r="G39" s="464"/>
      <c r="H39" s="464"/>
      <c r="I39" s="464"/>
      <c r="J39" s="464"/>
      <c r="K39" s="464"/>
      <c r="L39" s="464"/>
    </row>
    <row r="40" spans="1:12">
      <c r="G40" s="464"/>
      <c r="H40" s="464"/>
      <c r="I40" s="464"/>
      <c r="J40" s="464"/>
      <c r="K40" s="464"/>
      <c r="L40" s="464"/>
    </row>
    <row r="41" spans="1:12">
      <c r="G41" s="464"/>
      <c r="H41" s="464"/>
      <c r="I41" s="464"/>
      <c r="J41" s="464"/>
      <c r="K41" s="464"/>
      <c r="L41" s="464"/>
    </row>
    <row r="42" spans="1:12">
      <c r="G42" s="464"/>
      <c r="H42" s="464"/>
      <c r="I42" s="464"/>
      <c r="J42" s="464"/>
      <c r="K42" s="464"/>
      <c r="L42" s="464"/>
    </row>
    <row r="43" spans="1:12">
      <c r="G43" s="464"/>
      <c r="H43" s="464"/>
      <c r="I43" s="464"/>
      <c r="J43" s="464"/>
      <c r="K43" s="464"/>
      <c r="L43" s="464"/>
    </row>
    <row r="44" spans="1:12">
      <c r="G44" s="464"/>
      <c r="H44" s="464"/>
      <c r="I44" s="464"/>
      <c r="J44" s="464"/>
      <c r="K44" s="464"/>
      <c r="L44" s="464"/>
    </row>
    <row r="45" spans="1:12">
      <c r="G45" s="464"/>
      <c r="H45" s="464"/>
      <c r="I45" s="464"/>
      <c r="J45" s="464"/>
      <c r="K45" s="464"/>
      <c r="L45" s="464"/>
    </row>
    <row r="46" spans="1:12">
      <c r="G46" s="464"/>
      <c r="H46" s="464"/>
      <c r="I46" s="464"/>
      <c r="J46" s="464"/>
      <c r="K46" s="464"/>
      <c r="L46" s="464"/>
    </row>
    <row r="47" spans="1:12">
      <c r="G47" s="464"/>
      <c r="H47" s="464"/>
      <c r="I47" s="464"/>
      <c r="J47" s="464"/>
      <c r="K47" s="464"/>
      <c r="L47" s="464"/>
    </row>
    <row r="48" spans="1:12">
      <c r="G48" s="464"/>
      <c r="H48" s="464"/>
      <c r="I48" s="464"/>
      <c r="J48" s="464"/>
      <c r="K48" s="464"/>
      <c r="L48" s="464"/>
    </row>
    <row r="49" spans="1:12">
      <c r="G49" s="464"/>
      <c r="H49" s="464"/>
      <c r="I49" s="464"/>
      <c r="J49" s="464"/>
      <c r="K49" s="464"/>
      <c r="L49" s="464"/>
    </row>
    <row r="50" spans="1:12">
      <c r="G50" s="464"/>
      <c r="H50" s="464"/>
      <c r="I50" s="464"/>
      <c r="J50" s="464"/>
      <c r="K50" s="464"/>
      <c r="L50" s="464"/>
    </row>
    <row r="51" spans="1:12">
      <c r="G51" s="464"/>
      <c r="H51" s="464"/>
      <c r="I51" s="464"/>
      <c r="J51" s="464"/>
      <c r="K51" s="464"/>
      <c r="L51" s="464"/>
    </row>
    <row r="52" spans="1:12">
      <c r="G52" s="464"/>
      <c r="H52" s="464"/>
      <c r="I52" s="464"/>
      <c r="J52" s="464"/>
      <c r="K52" s="464"/>
      <c r="L52" s="464"/>
    </row>
    <row r="53" spans="1:12">
      <c r="G53" s="464"/>
      <c r="H53" s="464"/>
      <c r="I53" s="464"/>
      <c r="J53" s="464"/>
      <c r="K53" s="464"/>
      <c r="L53" s="464"/>
    </row>
    <row r="54" spans="1:12">
      <c r="G54" s="464"/>
      <c r="H54" s="464"/>
      <c r="I54" s="464"/>
      <c r="J54" s="464"/>
      <c r="K54" s="464"/>
      <c r="L54" s="464"/>
    </row>
    <row r="55" spans="1:12">
      <c r="G55" s="464"/>
      <c r="H55" s="464"/>
      <c r="I55" s="464"/>
      <c r="J55" s="464"/>
      <c r="K55" s="464"/>
      <c r="L55" s="464"/>
    </row>
    <row r="56" spans="1:12">
      <c r="A56" s="524" t="s">
        <v>139</v>
      </c>
      <c r="B56" s="524">
        <v>212</v>
      </c>
      <c r="G56" s="464"/>
      <c r="H56" s="464"/>
      <c r="I56" s="464"/>
      <c r="J56" s="464"/>
      <c r="K56" s="464"/>
      <c r="L56" s="464"/>
    </row>
    <row r="57" spans="1:12">
      <c r="A57" s="524" t="s">
        <v>137</v>
      </c>
      <c r="B57" s="524">
        <v>834.7</v>
      </c>
      <c r="G57" s="464"/>
      <c r="H57" s="464"/>
      <c r="I57" s="464"/>
      <c r="J57" s="464"/>
      <c r="K57" s="464"/>
      <c r="L57" s="464"/>
    </row>
    <row r="58" spans="1:12">
      <c r="A58" s="524" t="s">
        <v>140</v>
      </c>
      <c r="B58" s="524">
        <v>82.9</v>
      </c>
      <c r="G58" s="464"/>
      <c r="H58" s="464"/>
      <c r="I58" s="464"/>
      <c r="J58" s="464"/>
      <c r="K58" s="464"/>
      <c r="L58" s="464"/>
    </row>
    <row r="59" spans="1:12">
      <c r="A59" s="524" t="s">
        <v>71</v>
      </c>
      <c r="B59" s="524">
        <v>134</v>
      </c>
      <c r="G59" s="464"/>
      <c r="H59" s="464"/>
      <c r="I59" s="464"/>
      <c r="J59" s="464"/>
      <c r="K59" s="464"/>
      <c r="L59" s="464"/>
    </row>
    <row r="60" spans="1:12">
      <c r="A60" s="524" t="s">
        <v>125</v>
      </c>
      <c r="B60" s="524">
        <v>841</v>
      </c>
      <c r="G60" s="464"/>
      <c r="H60" s="464"/>
      <c r="I60" s="464"/>
      <c r="J60" s="464"/>
      <c r="K60" s="464"/>
      <c r="L60" s="464"/>
    </row>
    <row r="61" spans="1:12">
      <c r="A61" s="524" t="s">
        <v>72</v>
      </c>
      <c r="B61" s="524">
        <v>155</v>
      </c>
      <c r="G61" s="464"/>
      <c r="H61" s="464"/>
      <c r="I61" s="464"/>
      <c r="J61" s="464"/>
      <c r="K61" s="464"/>
      <c r="L61" s="464"/>
    </row>
    <row r="62" spans="1:12">
      <c r="A62" s="524" t="s">
        <v>66</v>
      </c>
      <c r="B62" s="524">
        <v>1130</v>
      </c>
      <c r="G62" s="464"/>
      <c r="H62" s="464"/>
      <c r="I62" s="464"/>
      <c r="J62" s="464"/>
      <c r="K62" s="464"/>
      <c r="L62" s="464"/>
    </row>
    <row r="63" spans="1:12">
      <c r="A63" s="524" t="s">
        <v>67</v>
      </c>
      <c r="B63" s="524">
        <v>883</v>
      </c>
      <c r="G63" s="464"/>
      <c r="H63" s="464"/>
      <c r="I63" s="464"/>
      <c r="J63" s="464"/>
      <c r="K63" s="464"/>
      <c r="L63" s="464"/>
    </row>
    <row r="64" spans="1:12">
      <c r="A64" s="524" t="s">
        <v>141</v>
      </c>
      <c r="B64" s="524">
        <v>440</v>
      </c>
      <c r="G64" s="464"/>
      <c r="H64" s="464"/>
      <c r="I64" s="464"/>
      <c r="J64" s="464"/>
      <c r="K64" s="464"/>
      <c r="L64" s="464"/>
    </row>
    <row r="65" spans="1:12">
      <c r="A65" s="524" t="s">
        <v>138</v>
      </c>
      <c r="B65" s="524">
        <v>2667</v>
      </c>
      <c r="G65" s="464"/>
      <c r="H65" s="464"/>
      <c r="I65" s="464"/>
      <c r="J65" s="464"/>
      <c r="K65" s="464"/>
      <c r="L65" s="464"/>
    </row>
    <row r="66" spans="1:12">
      <c r="A66" s="524" t="s">
        <v>76</v>
      </c>
      <c r="B66" s="524">
        <v>5.3</v>
      </c>
      <c r="G66" s="464"/>
      <c r="H66" s="464"/>
      <c r="I66" s="464"/>
      <c r="J66" s="464"/>
      <c r="K66" s="464"/>
      <c r="L66" s="464"/>
    </row>
    <row r="67" spans="1:12">
      <c r="G67" s="464"/>
      <c r="H67" s="464"/>
      <c r="I67" s="464"/>
      <c r="J67" s="464"/>
      <c r="K67" s="464"/>
      <c r="L67" s="464"/>
    </row>
    <row r="68" spans="1:12">
      <c r="G68" s="464"/>
      <c r="H68" s="464"/>
      <c r="I68" s="464"/>
      <c r="J68" s="464"/>
      <c r="K68" s="464"/>
      <c r="L68" s="464"/>
    </row>
    <row r="69" spans="1:12">
      <c r="G69" s="464"/>
      <c r="H69" s="464"/>
      <c r="I69" s="464"/>
      <c r="J69" s="464"/>
      <c r="K69" s="464"/>
      <c r="L69" s="464"/>
    </row>
    <row r="70" spans="1:12">
      <c r="G70" s="464"/>
      <c r="H70" s="464"/>
      <c r="I70" s="464"/>
      <c r="J70" s="464"/>
      <c r="K70" s="464"/>
      <c r="L70" s="464"/>
    </row>
    <row r="71" spans="1:12">
      <c r="G71" s="464"/>
      <c r="H71" s="464"/>
      <c r="I71" s="464"/>
      <c r="J71" s="464"/>
      <c r="K71" s="464"/>
      <c r="L71" s="464"/>
    </row>
    <row r="72" spans="1:12">
      <c r="G72" s="464"/>
      <c r="H72" s="464"/>
      <c r="I72" s="464"/>
      <c r="J72" s="464"/>
      <c r="K72" s="464"/>
      <c r="L72" s="464"/>
    </row>
    <row r="73" spans="1:12">
      <c r="G73" s="464"/>
      <c r="H73" s="464"/>
      <c r="I73" s="464"/>
      <c r="J73" s="464"/>
      <c r="K73" s="464"/>
      <c r="L73" s="464"/>
    </row>
    <row r="74" spans="1:12">
      <c r="G74" s="464"/>
      <c r="H74" s="464"/>
      <c r="I74" s="464"/>
      <c r="J74" s="464"/>
      <c r="K74" s="464"/>
      <c r="L74" s="464"/>
    </row>
    <row r="75" spans="1:12">
      <c r="G75" s="464"/>
      <c r="H75" s="464"/>
      <c r="I75" s="464"/>
      <c r="J75" s="464"/>
      <c r="K75" s="464"/>
      <c r="L75" s="464"/>
    </row>
    <row r="76" spans="1:12">
      <c r="G76" s="464"/>
      <c r="H76" s="464"/>
      <c r="I76" s="464"/>
      <c r="J76" s="464"/>
      <c r="K76" s="464"/>
      <c r="L76" s="464"/>
    </row>
    <row r="77" spans="1:12">
      <c r="G77" s="464"/>
      <c r="H77" s="464"/>
      <c r="I77" s="464"/>
      <c r="J77" s="464"/>
      <c r="K77" s="464"/>
      <c r="L77" s="464"/>
    </row>
    <row r="78" spans="1:12">
      <c r="G78" s="464"/>
      <c r="H78" s="464"/>
      <c r="I78" s="464"/>
      <c r="J78" s="464"/>
      <c r="K78" s="464"/>
      <c r="L78" s="464"/>
    </row>
    <row r="79" spans="1:12">
      <c r="G79" s="464"/>
      <c r="H79" s="464"/>
      <c r="I79" s="464"/>
      <c r="J79" s="464"/>
      <c r="K79" s="464"/>
      <c r="L79" s="464"/>
    </row>
    <row r="80" spans="1:12">
      <c r="G80" s="464"/>
      <c r="H80" s="464"/>
      <c r="I80" s="464"/>
      <c r="J80" s="464"/>
      <c r="K80" s="464"/>
      <c r="L80" s="464"/>
    </row>
    <row r="81" spans="7:12">
      <c r="G81" s="464"/>
      <c r="H81" s="464"/>
      <c r="I81" s="464"/>
      <c r="J81" s="464"/>
      <c r="K81" s="464"/>
      <c r="L81" s="464"/>
    </row>
    <row r="82" spans="7:12">
      <c r="G82" s="464"/>
      <c r="H82" s="464"/>
      <c r="I82" s="464"/>
      <c r="J82" s="464"/>
      <c r="K82" s="464"/>
      <c r="L82" s="464"/>
    </row>
    <row r="83" spans="7:12">
      <c r="G83" s="464"/>
      <c r="H83" s="464"/>
      <c r="I83" s="464"/>
      <c r="J83" s="464"/>
      <c r="K83" s="464"/>
      <c r="L83" s="464"/>
    </row>
    <row r="84" spans="7:12">
      <c r="G84" s="464"/>
      <c r="H84" s="464"/>
      <c r="I84" s="464"/>
      <c r="J84" s="464"/>
      <c r="K84" s="464"/>
      <c r="L84" s="464"/>
    </row>
    <row r="85" spans="7:12">
      <c r="G85" s="464"/>
      <c r="H85" s="464"/>
      <c r="I85" s="464"/>
      <c r="J85" s="464"/>
      <c r="K85" s="464"/>
      <c r="L85" s="464"/>
    </row>
    <row r="86" spans="7:12">
      <c r="G86" s="464"/>
      <c r="H86" s="464"/>
      <c r="I86" s="464"/>
      <c r="J86" s="464"/>
      <c r="K86" s="464"/>
      <c r="L86" s="464"/>
    </row>
    <row r="87" spans="7:12">
      <c r="G87" s="464"/>
      <c r="H87" s="464"/>
      <c r="I87" s="464"/>
      <c r="J87" s="464"/>
      <c r="K87" s="464"/>
      <c r="L87" s="464"/>
    </row>
    <row r="88" spans="7:12">
      <c r="G88" s="464"/>
      <c r="H88" s="464"/>
      <c r="I88" s="464"/>
      <c r="J88" s="464"/>
      <c r="K88" s="464"/>
      <c r="L88" s="464"/>
    </row>
    <row r="89" spans="7:12">
      <c r="G89" s="464"/>
      <c r="H89" s="464"/>
      <c r="I89" s="464"/>
      <c r="J89" s="464"/>
      <c r="K89" s="464"/>
      <c r="L89" s="464"/>
    </row>
    <row r="90" spans="7:12">
      <c r="G90" s="464"/>
      <c r="H90" s="464"/>
      <c r="I90" s="464"/>
      <c r="J90" s="464"/>
      <c r="K90" s="464"/>
      <c r="L90" s="464"/>
    </row>
    <row r="91" spans="7:12">
      <c r="G91" s="464"/>
      <c r="H91" s="464"/>
      <c r="I91" s="464"/>
      <c r="J91" s="464"/>
      <c r="K91" s="464"/>
      <c r="L91" s="464"/>
    </row>
    <row r="92" spans="7:12">
      <c r="G92" s="464"/>
      <c r="H92" s="464"/>
      <c r="I92" s="464"/>
      <c r="J92" s="464"/>
      <c r="K92" s="464"/>
      <c r="L92" s="464"/>
    </row>
    <row r="93" spans="7:12">
      <c r="G93" s="464"/>
      <c r="H93" s="464"/>
      <c r="I93" s="464"/>
      <c r="J93" s="464"/>
      <c r="K93" s="464"/>
      <c r="L93" s="464"/>
    </row>
    <row r="94" spans="7:12">
      <c r="G94" s="464"/>
      <c r="H94" s="464"/>
      <c r="I94" s="464"/>
      <c r="J94" s="464"/>
      <c r="K94" s="464"/>
      <c r="L94" s="464"/>
    </row>
    <row r="95" spans="7:12">
      <c r="G95" s="464"/>
      <c r="H95" s="464"/>
      <c r="I95" s="464"/>
      <c r="J95" s="464"/>
      <c r="K95" s="464"/>
      <c r="L95" s="464"/>
    </row>
    <row r="96" spans="7:12">
      <c r="G96" s="464"/>
      <c r="H96" s="464"/>
      <c r="I96" s="464"/>
      <c r="J96" s="464"/>
      <c r="K96" s="464"/>
      <c r="L96" s="464"/>
    </row>
    <row r="97" spans="7:12">
      <c r="G97" s="464"/>
      <c r="H97" s="464"/>
      <c r="I97" s="464"/>
      <c r="J97" s="464"/>
      <c r="K97" s="464"/>
      <c r="L97" s="464"/>
    </row>
    <row r="98" spans="7:12">
      <c r="G98" s="464"/>
      <c r="H98" s="464"/>
      <c r="I98" s="464"/>
      <c r="J98" s="464"/>
      <c r="K98" s="464"/>
      <c r="L98" s="464"/>
    </row>
    <row r="99" spans="7:12">
      <c r="G99" s="464"/>
      <c r="H99" s="464"/>
      <c r="I99" s="464"/>
      <c r="J99" s="464"/>
      <c r="K99" s="464"/>
      <c r="L99" s="464"/>
    </row>
    <row r="100" spans="7:12">
      <c r="G100" s="464"/>
      <c r="H100" s="464"/>
      <c r="I100" s="464"/>
      <c r="J100" s="464"/>
      <c r="K100" s="464"/>
      <c r="L100" s="464"/>
    </row>
    <row r="101" spans="7:12">
      <c r="G101" s="464"/>
      <c r="H101" s="464"/>
      <c r="I101" s="464"/>
      <c r="J101" s="464"/>
      <c r="K101" s="464"/>
      <c r="L101" s="464"/>
    </row>
    <row r="102" spans="7:12">
      <c r="G102" s="464"/>
      <c r="H102" s="464"/>
      <c r="I102" s="464"/>
      <c r="J102" s="464"/>
      <c r="K102" s="464"/>
      <c r="L102" s="464"/>
    </row>
    <row r="103" spans="7:12">
      <c r="G103" s="464"/>
      <c r="H103" s="464"/>
      <c r="I103" s="464"/>
      <c r="J103" s="464"/>
      <c r="K103" s="464"/>
      <c r="L103" s="464"/>
    </row>
    <row r="104" spans="7:12">
      <c r="G104" s="464"/>
      <c r="H104" s="464"/>
      <c r="I104" s="464"/>
      <c r="J104" s="464"/>
      <c r="K104" s="464"/>
      <c r="L104" s="464"/>
    </row>
    <row r="105" spans="7:12">
      <c r="G105" s="464"/>
      <c r="H105" s="464"/>
      <c r="I105" s="464"/>
      <c r="J105" s="464"/>
      <c r="K105" s="464"/>
      <c r="L105" s="464"/>
    </row>
    <row r="106" spans="7:12">
      <c r="G106" s="464"/>
      <c r="H106" s="464"/>
      <c r="I106" s="464"/>
      <c r="J106" s="464"/>
      <c r="K106" s="464"/>
      <c r="L106" s="464"/>
    </row>
    <row r="107" spans="7:12">
      <c r="G107" s="464"/>
      <c r="H107" s="464"/>
      <c r="I107" s="464"/>
      <c r="J107" s="464"/>
      <c r="K107" s="464"/>
      <c r="L107" s="464"/>
    </row>
    <row r="108" spans="7:12">
      <c r="G108" s="464"/>
      <c r="H108" s="464"/>
      <c r="I108" s="464"/>
      <c r="J108" s="464"/>
      <c r="K108" s="464"/>
      <c r="L108" s="464"/>
    </row>
    <row r="109" spans="7:12">
      <c r="G109" s="464"/>
      <c r="H109" s="464"/>
      <c r="I109" s="464"/>
      <c r="J109" s="464"/>
      <c r="K109" s="464"/>
      <c r="L109" s="464"/>
    </row>
    <row r="110" spans="7:12">
      <c r="G110" s="464"/>
      <c r="H110" s="464"/>
      <c r="I110" s="464"/>
      <c r="J110" s="464"/>
      <c r="K110" s="464"/>
      <c r="L110" s="464"/>
    </row>
    <row r="111" spans="7:12">
      <c r="G111" s="464"/>
      <c r="H111" s="464"/>
      <c r="I111" s="464"/>
      <c r="J111" s="464"/>
      <c r="K111" s="464"/>
      <c r="L111" s="464"/>
    </row>
    <row r="112" spans="7:12">
      <c r="G112" s="464"/>
      <c r="H112" s="464"/>
      <c r="I112" s="464"/>
      <c r="J112" s="464"/>
      <c r="K112" s="464"/>
      <c r="L112" s="464"/>
    </row>
    <row r="113" spans="7:12">
      <c r="G113" s="464"/>
      <c r="H113" s="464"/>
      <c r="I113" s="464"/>
      <c r="J113" s="464"/>
      <c r="K113" s="464"/>
      <c r="L113" s="464"/>
    </row>
    <row r="114" spans="7:12">
      <c r="G114" s="464"/>
      <c r="H114" s="464"/>
      <c r="I114" s="464"/>
      <c r="J114" s="464"/>
      <c r="K114" s="464"/>
      <c r="L114" s="464"/>
    </row>
    <row r="115" spans="7:12">
      <c r="G115" s="464"/>
      <c r="H115" s="464"/>
      <c r="I115" s="464"/>
      <c r="J115" s="464"/>
      <c r="K115" s="464"/>
      <c r="L115" s="464"/>
    </row>
    <row r="116" spans="7:12">
      <c r="G116" s="464"/>
      <c r="H116" s="464"/>
      <c r="I116" s="464"/>
      <c r="J116" s="464"/>
      <c r="K116" s="464"/>
      <c r="L116" s="464"/>
    </row>
    <row r="117" spans="7:12">
      <c r="G117" s="464"/>
      <c r="H117" s="464"/>
      <c r="I117" s="464"/>
      <c r="J117" s="464"/>
      <c r="K117" s="464"/>
      <c r="L117" s="464"/>
    </row>
    <row r="118" spans="7:12">
      <c r="G118" s="464"/>
      <c r="H118" s="464"/>
      <c r="I118" s="464"/>
      <c r="J118" s="464"/>
      <c r="K118" s="464"/>
      <c r="L118" s="464"/>
    </row>
    <row r="119" spans="7:12">
      <c r="G119" s="464"/>
      <c r="H119" s="464"/>
      <c r="I119" s="464"/>
      <c r="J119" s="464"/>
      <c r="K119" s="464"/>
      <c r="L119" s="464"/>
    </row>
    <row r="120" spans="7:12">
      <c r="G120" s="464"/>
      <c r="H120" s="464"/>
      <c r="I120" s="464"/>
      <c r="J120" s="464"/>
      <c r="K120" s="464"/>
      <c r="L120" s="464"/>
    </row>
    <row r="121" spans="7:12">
      <c r="G121" s="464"/>
      <c r="H121" s="464"/>
      <c r="I121" s="464"/>
      <c r="J121" s="464"/>
      <c r="K121" s="464"/>
      <c r="L121" s="464"/>
    </row>
    <row r="122" spans="7:12">
      <c r="G122" s="464"/>
      <c r="H122" s="464"/>
      <c r="I122" s="464"/>
      <c r="J122" s="464"/>
      <c r="K122" s="464"/>
      <c r="L122" s="464"/>
    </row>
    <row r="123" spans="7:12">
      <c r="G123" s="464"/>
      <c r="H123" s="464"/>
      <c r="I123" s="464"/>
      <c r="J123" s="464"/>
      <c r="K123" s="464"/>
      <c r="L123" s="464"/>
    </row>
    <row r="124" spans="7:12">
      <c r="G124" s="464"/>
      <c r="H124" s="464"/>
      <c r="I124" s="464"/>
      <c r="J124" s="464"/>
      <c r="K124" s="464"/>
      <c r="L124" s="464"/>
    </row>
    <row r="125" spans="7:12">
      <c r="G125" s="464"/>
      <c r="H125" s="464"/>
      <c r="I125" s="464"/>
      <c r="J125" s="464"/>
      <c r="K125" s="464"/>
      <c r="L125" s="464"/>
    </row>
    <row r="126" spans="7:12">
      <c r="G126" s="464"/>
      <c r="H126" s="464"/>
      <c r="I126" s="464"/>
      <c r="J126" s="464"/>
      <c r="K126" s="464"/>
      <c r="L126" s="464"/>
    </row>
    <row r="127" spans="7:12">
      <c r="G127" s="464"/>
      <c r="H127" s="464"/>
      <c r="I127" s="464"/>
      <c r="J127" s="464"/>
      <c r="K127" s="464"/>
      <c r="L127" s="464"/>
    </row>
    <row r="128" spans="7:12">
      <c r="G128" s="464"/>
      <c r="H128" s="464"/>
      <c r="I128" s="464"/>
      <c r="J128" s="464"/>
      <c r="K128" s="464"/>
      <c r="L128" s="464"/>
    </row>
    <row r="129" spans="7:12">
      <c r="G129" s="464"/>
      <c r="H129" s="464"/>
      <c r="I129" s="464"/>
      <c r="J129" s="464"/>
      <c r="K129" s="464"/>
      <c r="L129" s="464"/>
    </row>
    <row r="130" spans="7:12">
      <c r="G130" s="464"/>
      <c r="H130" s="464"/>
      <c r="I130" s="464"/>
      <c r="J130" s="464"/>
      <c r="K130" s="464"/>
      <c r="L130" s="464"/>
    </row>
    <row r="131" spans="7:12">
      <c r="G131" s="464"/>
      <c r="H131" s="464"/>
      <c r="I131" s="464"/>
      <c r="J131" s="464"/>
      <c r="K131" s="464"/>
      <c r="L131" s="464"/>
    </row>
    <row r="132" spans="7:12">
      <c r="G132" s="464"/>
      <c r="H132" s="464"/>
      <c r="I132" s="464"/>
      <c r="J132" s="464"/>
      <c r="K132" s="464"/>
      <c r="L132" s="464"/>
    </row>
    <row r="133" spans="7:12">
      <c r="G133" s="464"/>
      <c r="H133" s="464"/>
      <c r="I133" s="464"/>
      <c r="J133" s="464"/>
      <c r="K133" s="464"/>
      <c r="L133" s="464"/>
    </row>
    <row r="134" spans="7:12">
      <c r="G134" s="464"/>
      <c r="H134" s="464"/>
      <c r="I134" s="464"/>
      <c r="J134" s="464"/>
      <c r="K134" s="464"/>
      <c r="L134" s="464"/>
    </row>
    <row r="135" spans="7:12">
      <c r="G135" s="464"/>
      <c r="H135" s="464"/>
      <c r="I135" s="464"/>
      <c r="J135" s="464"/>
      <c r="K135" s="464"/>
      <c r="L135" s="464"/>
    </row>
    <row r="136" spans="7:12">
      <c r="G136" s="464"/>
      <c r="H136" s="464"/>
      <c r="I136" s="464"/>
      <c r="J136" s="464"/>
      <c r="K136" s="464"/>
      <c r="L136" s="464"/>
    </row>
    <row r="137" spans="7:12">
      <c r="G137" s="464"/>
      <c r="H137" s="464"/>
      <c r="I137" s="464"/>
      <c r="J137" s="464"/>
      <c r="K137" s="464"/>
      <c r="L137" s="464"/>
    </row>
    <row r="138" spans="7:12">
      <c r="G138" s="464"/>
      <c r="H138" s="464"/>
      <c r="I138" s="464"/>
      <c r="J138" s="464"/>
      <c r="K138" s="464"/>
      <c r="L138" s="464"/>
    </row>
    <row r="139" spans="7:12">
      <c r="G139" s="464"/>
      <c r="H139" s="464"/>
      <c r="I139" s="464"/>
      <c r="J139" s="464"/>
      <c r="K139" s="464"/>
      <c r="L139" s="464"/>
    </row>
    <row r="140" spans="7:12">
      <c r="G140" s="464"/>
      <c r="H140" s="464"/>
      <c r="I140" s="464"/>
      <c r="J140" s="464"/>
      <c r="K140" s="464"/>
      <c r="L140" s="464"/>
    </row>
    <row r="141" spans="7:12">
      <c r="G141" s="464"/>
      <c r="H141" s="464"/>
      <c r="I141" s="464"/>
      <c r="J141" s="464"/>
      <c r="K141" s="464"/>
      <c r="L141" s="464"/>
    </row>
    <row r="142" spans="7:12">
      <c r="G142" s="464"/>
      <c r="H142" s="464"/>
      <c r="I142" s="464"/>
      <c r="J142" s="464"/>
      <c r="K142" s="464"/>
      <c r="L142" s="464"/>
    </row>
    <row r="143" spans="7:12">
      <c r="G143" s="464"/>
      <c r="H143" s="464"/>
      <c r="I143" s="464"/>
      <c r="J143" s="464"/>
      <c r="K143" s="464"/>
      <c r="L143" s="464"/>
    </row>
    <row r="144" spans="7:12">
      <c r="G144" s="464"/>
      <c r="H144" s="464"/>
      <c r="I144" s="464"/>
      <c r="J144" s="464"/>
      <c r="K144" s="464"/>
      <c r="L144" s="464"/>
    </row>
    <row r="145" spans="7:12">
      <c r="G145" s="464"/>
      <c r="H145" s="464"/>
      <c r="I145" s="464"/>
      <c r="J145" s="464"/>
      <c r="K145" s="464"/>
      <c r="L145" s="464"/>
    </row>
    <row r="146" spans="7:12">
      <c r="G146" s="464"/>
      <c r="H146" s="464"/>
      <c r="I146" s="464"/>
      <c r="J146" s="464"/>
      <c r="K146" s="464"/>
      <c r="L146" s="464"/>
    </row>
    <row r="147" spans="7:12">
      <c r="G147" s="464"/>
      <c r="H147" s="464"/>
      <c r="I147" s="464"/>
      <c r="J147" s="464"/>
      <c r="K147" s="464"/>
      <c r="L147" s="464"/>
    </row>
    <row r="148" spans="7:12">
      <c r="G148" s="464"/>
      <c r="H148" s="464"/>
      <c r="I148" s="464"/>
      <c r="J148" s="464"/>
      <c r="K148" s="464"/>
      <c r="L148" s="464"/>
    </row>
    <row r="149" spans="7:12">
      <c r="G149" s="464"/>
      <c r="H149" s="464"/>
      <c r="I149" s="464"/>
      <c r="J149" s="464"/>
      <c r="K149" s="464"/>
      <c r="L149" s="464"/>
    </row>
    <row r="150" spans="7:12">
      <c r="G150" s="464"/>
      <c r="H150" s="464"/>
      <c r="I150" s="464"/>
      <c r="J150" s="464"/>
      <c r="K150" s="464"/>
      <c r="L150" s="464"/>
    </row>
    <row r="151" spans="7:12">
      <c r="G151" s="464"/>
      <c r="H151" s="464"/>
      <c r="I151" s="464"/>
      <c r="J151" s="464"/>
      <c r="K151" s="464"/>
      <c r="L151" s="464"/>
    </row>
    <row r="152" spans="7:12">
      <c r="G152" s="464"/>
      <c r="H152" s="464"/>
      <c r="I152" s="464"/>
      <c r="J152" s="464"/>
      <c r="K152" s="464"/>
      <c r="L152" s="464"/>
    </row>
    <row r="153" spans="7:12">
      <c r="G153" s="464"/>
      <c r="H153" s="464"/>
      <c r="I153" s="464"/>
      <c r="J153" s="464"/>
      <c r="K153" s="464"/>
      <c r="L153" s="464"/>
    </row>
    <row r="154" spans="7:12">
      <c r="G154" s="464"/>
      <c r="H154" s="464"/>
      <c r="I154" s="464"/>
      <c r="J154" s="464"/>
      <c r="K154" s="464"/>
      <c r="L154" s="464"/>
    </row>
    <row r="155" spans="7:12">
      <c r="G155" s="464"/>
      <c r="H155" s="464"/>
      <c r="I155" s="464"/>
      <c r="J155" s="464"/>
      <c r="K155" s="464"/>
      <c r="L155" s="464"/>
    </row>
    <row r="156" spans="7:12">
      <c r="G156" s="464"/>
      <c r="H156" s="464"/>
      <c r="I156" s="464"/>
      <c r="J156" s="464"/>
      <c r="K156" s="464"/>
      <c r="L156" s="464"/>
    </row>
    <row r="157" spans="7:12">
      <c r="G157" s="464"/>
      <c r="H157" s="464"/>
      <c r="I157" s="464"/>
      <c r="J157" s="464"/>
      <c r="K157" s="464"/>
      <c r="L157" s="464"/>
    </row>
    <row r="158" spans="7:12">
      <c r="G158" s="464"/>
      <c r="H158" s="464"/>
      <c r="I158" s="464"/>
      <c r="J158" s="464"/>
      <c r="K158" s="464"/>
      <c r="L158" s="464"/>
    </row>
    <row r="159" spans="7:12">
      <c r="G159" s="464"/>
      <c r="H159" s="464"/>
      <c r="I159" s="464"/>
      <c r="J159" s="464"/>
      <c r="K159" s="464"/>
      <c r="L159" s="464"/>
    </row>
    <row r="160" spans="7:12">
      <c r="G160" s="464"/>
      <c r="H160" s="464"/>
      <c r="I160" s="464"/>
      <c r="J160" s="464"/>
      <c r="K160" s="464"/>
      <c r="L160" s="464"/>
    </row>
    <row r="161" spans="7:12">
      <c r="G161" s="464"/>
      <c r="H161" s="464"/>
      <c r="I161" s="464"/>
      <c r="J161" s="464"/>
      <c r="K161" s="464"/>
      <c r="L161" s="464"/>
    </row>
    <row r="162" spans="7:12">
      <c r="G162" s="464"/>
      <c r="H162" s="464"/>
      <c r="I162" s="464"/>
      <c r="J162" s="464"/>
      <c r="K162" s="464"/>
      <c r="L162" s="464"/>
    </row>
    <row r="163" spans="7:12">
      <c r="G163" s="464"/>
      <c r="H163" s="464"/>
      <c r="I163" s="464"/>
      <c r="J163" s="464"/>
      <c r="K163" s="464"/>
      <c r="L163" s="464"/>
    </row>
    <row r="164" spans="7:12">
      <c r="G164" s="464"/>
      <c r="H164" s="464"/>
      <c r="I164" s="464"/>
      <c r="J164" s="464"/>
      <c r="K164" s="464"/>
      <c r="L164" s="464"/>
    </row>
    <row r="165" spans="7:12">
      <c r="G165" s="464"/>
      <c r="H165" s="464"/>
      <c r="I165" s="464"/>
      <c r="J165" s="464"/>
      <c r="K165" s="464"/>
      <c r="L165" s="464"/>
    </row>
    <row r="166" spans="7:12">
      <c r="G166" s="464"/>
      <c r="H166" s="464"/>
      <c r="I166" s="464"/>
      <c r="J166" s="464"/>
      <c r="K166" s="464"/>
      <c r="L166" s="464"/>
    </row>
    <row r="167" spans="7:12">
      <c r="G167" s="464"/>
      <c r="H167" s="464"/>
      <c r="I167" s="464"/>
      <c r="J167" s="464"/>
      <c r="K167" s="464"/>
      <c r="L167" s="464"/>
    </row>
    <row r="168" spans="7:12">
      <c r="G168" s="464"/>
      <c r="H168" s="464"/>
      <c r="I168" s="464"/>
      <c r="J168" s="464"/>
      <c r="K168" s="464"/>
      <c r="L168" s="464"/>
    </row>
    <row r="169" spans="7:12">
      <c r="G169" s="464"/>
      <c r="H169" s="464"/>
      <c r="I169" s="464"/>
      <c r="J169" s="464"/>
      <c r="K169" s="464"/>
      <c r="L169" s="464"/>
    </row>
    <row r="170" spans="7:12">
      <c r="G170" s="464"/>
      <c r="H170" s="464"/>
      <c r="I170" s="464"/>
      <c r="J170" s="464"/>
      <c r="K170" s="464"/>
      <c r="L170" s="464"/>
    </row>
    <row r="171" spans="7:12">
      <c r="G171" s="464"/>
      <c r="H171" s="464"/>
      <c r="I171" s="464"/>
      <c r="J171" s="464"/>
      <c r="K171" s="464"/>
      <c r="L171" s="464"/>
    </row>
    <row r="172" spans="7:12">
      <c r="G172" s="464"/>
      <c r="H172" s="464"/>
      <c r="I172" s="464"/>
      <c r="J172" s="464"/>
      <c r="K172" s="464"/>
      <c r="L172" s="464"/>
    </row>
    <row r="173" spans="7:12">
      <c r="G173" s="464"/>
      <c r="H173" s="464"/>
      <c r="I173" s="464"/>
      <c r="J173" s="464"/>
      <c r="K173" s="464"/>
      <c r="L173" s="464"/>
    </row>
    <row r="174" spans="7:12">
      <c r="G174" s="464"/>
      <c r="H174" s="464"/>
      <c r="I174" s="464"/>
      <c r="J174" s="464"/>
      <c r="K174" s="464"/>
      <c r="L174" s="464"/>
    </row>
    <row r="175" spans="7:12">
      <c r="G175" s="464"/>
      <c r="H175" s="464"/>
      <c r="I175" s="464"/>
      <c r="J175" s="464"/>
      <c r="K175" s="464"/>
      <c r="L175" s="464"/>
    </row>
    <row r="176" spans="7:12">
      <c r="G176" s="464"/>
      <c r="H176" s="464"/>
      <c r="I176" s="464"/>
      <c r="J176" s="464"/>
      <c r="K176" s="464"/>
      <c r="L176" s="464"/>
    </row>
    <row r="177" spans="7:12">
      <c r="G177" s="464"/>
      <c r="H177" s="464"/>
      <c r="I177" s="464"/>
      <c r="J177" s="464"/>
      <c r="K177" s="464"/>
      <c r="L177" s="464"/>
    </row>
    <row r="178" spans="7:12">
      <c r="G178" s="464"/>
      <c r="H178" s="464"/>
      <c r="I178" s="464"/>
      <c r="J178" s="464"/>
      <c r="K178" s="464"/>
      <c r="L178" s="464"/>
    </row>
    <row r="179" spans="7:12">
      <c r="G179" s="464"/>
      <c r="H179" s="464"/>
      <c r="I179" s="464"/>
      <c r="J179" s="464"/>
      <c r="K179" s="464"/>
      <c r="L179" s="464"/>
    </row>
    <row r="180" spans="7:12">
      <c r="G180" s="464"/>
      <c r="H180" s="464"/>
      <c r="I180" s="464"/>
      <c r="J180" s="464"/>
      <c r="K180" s="464"/>
      <c r="L180" s="464"/>
    </row>
    <row r="181" spans="7:12">
      <c r="G181" s="464"/>
      <c r="H181" s="464"/>
      <c r="I181" s="464"/>
      <c r="J181" s="464"/>
      <c r="K181" s="464"/>
      <c r="L181" s="464"/>
    </row>
    <row r="182" spans="7:12">
      <c r="G182" s="464"/>
      <c r="H182" s="464"/>
      <c r="I182" s="464"/>
      <c r="J182" s="464"/>
      <c r="K182" s="464"/>
      <c r="L182" s="464"/>
    </row>
    <row r="183" spans="7:12">
      <c r="G183" s="464"/>
      <c r="H183" s="464"/>
      <c r="I183" s="464"/>
      <c r="J183" s="464"/>
      <c r="K183" s="464"/>
      <c r="L183" s="464"/>
    </row>
    <row r="184" spans="7:12">
      <c r="G184" s="464"/>
      <c r="H184" s="464"/>
      <c r="I184" s="464"/>
      <c r="J184" s="464"/>
      <c r="K184" s="464"/>
      <c r="L184" s="464"/>
    </row>
    <row r="185" spans="7:12">
      <c r="G185" s="464"/>
      <c r="H185" s="464"/>
      <c r="I185" s="464"/>
      <c r="J185" s="464"/>
      <c r="K185" s="464"/>
      <c r="L185" s="464"/>
    </row>
    <row r="186" spans="7:12">
      <c r="G186" s="464"/>
      <c r="H186" s="464"/>
      <c r="I186" s="464"/>
      <c r="J186" s="464"/>
      <c r="K186" s="464"/>
      <c r="L186" s="464"/>
    </row>
    <row r="187" spans="7:12">
      <c r="G187" s="464"/>
      <c r="H187" s="464"/>
      <c r="I187" s="464"/>
      <c r="J187" s="464"/>
      <c r="K187" s="464"/>
      <c r="L187" s="464"/>
    </row>
    <row r="188" spans="7:12">
      <c r="G188" s="464"/>
      <c r="H188" s="464"/>
      <c r="I188" s="464"/>
      <c r="J188" s="464"/>
      <c r="K188" s="464"/>
      <c r="L188" s="464"/>
    </row>
    <row r="189" spans="7:12">
      <c r="G189" s="464"/>
      <c r="H189" s="464"/>
      <c r="I189" s="464"/>
      <c r="J189" s="464"/>
      <c r="K189" s="464"/>
      <c r="L189" s="464"/>
    </row>
    <row r="190" spans="7:12">
      <c r="G190" s="464"/>
      <c r="H190" s="464"/>
      <c r="I190" s="464"/>
      <c r="J190" s="464"/>
      <c r="K190" s="464"/>
      <c r="L190" s="464"/>
    </row>
    <row r="191" spans="7:12">
      <c r="G191" s="464"/>
      <c r="H191" s="464"/>
      <c r="I191" s="464"/>
      <c r="J191" s="464"/>
      <c r="K191" s="464"/>
      <c r="L191" s="464"/>
    </row>
    <row r="192" spans="7:12">
      <c r="G192" s="464"/>
      <c r="H192" s="464"/>
      <c r="I192" s="464"/>
      <c r="J192" s="464"/>
      <c r="K192" s="464"/>
      <c r="L192" s="464"/>
    </row>
    <row r="193" spans="7:12">
      <c r="G193" s="464"/>
      <c r="H193" s="464"/>
      <c r="I193" s="464"/>
      <c r="J193" s="464"/>
      <c r="K193" s="464"/>
      <c r="L193" s="464"/>
    </row>
    <row r="194" spans="7:12">
      <c r="G194" s="464"/>
      <c r="H194" s="464"/>
      <c r="I194" s="464"/>
      <c r="J194" s="464"/>
      <c r="K194" s="464"/>
      <c r="L194" s="464"/>
    </row>
    <row r="195" spans="7:12">
      <c r="G195" s="464"/>
      <c r="H195" s="464"/>
      <c r="I195" s="464"/>
      <c r="J195" s="464"/>
      <c r="K195" s="464"/>
      <c r="L195" s="464"/>
    </row>
    <row r="196" spans="7:12">
      <c r="G196" s="464"/>
      <c r="H196" s="464"/>
      <c r="I196" s="464"/>
      <c r="J196" s="464"/>
      <c r="K196" s="464"/>
      <c r="L196" s="464"/>
    </row>
    <row r="197" spans="7:12">
      <c r="G197" s="464"/>
      <c r="H197" s="464"/>
      <c r="I197" s="464"/>
      <c r="J197" s="464"/>
      <c r="K197" s="464"/>
      <c r="L197" s="464"/>
    </row>
    <row r="198" spans="7:12">
      <c r="G198" s="464"/>
      <c r="H198" s="464"/>
      <c r="I198" s="464"/>
      <c r="J198" s="464"/>
      <c r="K198" s="464"/>
      <c r="L198" s="464"/>
    </row>
    <row r="199" spans="7:12">
      <c r="G199" s="464"/>
      <c r="H199" s="464"/>
      <c r="I199" s="464"/>
      <c r="J199" s="464"/>
      <c r="K199" s="464"/>
      <c r="L199" s="464"/>
    </row>
    <row r="200" spans="7:12">
      <c r="G200" s="464"/>
      <c r="H200" s="464"/>
      <c r="I200" s="464"/>
      <c r="J200" s="464"/>
      <c r="K200" s="464"/>
      <c r="L200" s="464"/>
    </row>
    <row r="201" spans="7:12">
      <c r="G201" s="464"/>
      <c r="H201" s="464"/>
      <c r="I201" s="464"/>
      <c r="J201" s="464"/>
      <c r="K201" s="464"/>
      <c r="L201" s="464"/>
    </row>
    <row r="202" spans="7:12">
      <c r="G202" s="464"/>
      <c r="H202" s="464"/>
      <c r="I202" s="464"/>
      <c r="J202" s="464"/>
      <c r="K202" s="464"/>
      <c r="L202" s="464"/>
    </row>
    <row r="203" spans="7:12">
      <c r="G203" s="464"/>
      <c r="H203" s="464"/>
      <c r="I203" s="464"/>
      <c r="J203" s="464"/>
      <c r="K203" s="464"/>
      <c r="L203" s="464"/>
    </row>
    <row r="204" spans="7:12">
      <c r="G204" s="464"/>
      <c r="H204" s="464"/>
      <c r="I204" s="464"/>
      <c r="J204" s="464"/>
      <c r="K204" s="464"/>
      <c r="L204" s="464"/>
    </row>
    <row r="205" spans="7:12">
      <c r="G205" s="464"/>
      <c r="H205" s="464"/>
      <c r="I205" s="464"/>
      <c r="J205" s="464"/>
      <c r="K205" s="464"/>
      <c r="L205" s="464"/>
    </row>
    <row r="206" spans="7:12">
      <c r="G206" s="464"/>
      <c r="H206" s="464"/>
      <c r="I206" s="464"/>
      <c r="J206" s="464"/>
      <c r="K206" s="464"/>
      <c r="L206" s="464"/>
    </row>
    <row r="207" spans="7:12">
      <c r="G207" s="464"/>
      <c r="H207" s="464"/>
      <c r="I207" s="464"/>
      <c r="J207" s="464"/>
      <c r="K207" s="464"/>
      <c r="L207" s="464"/>
    </row>
    <row r="208" spans="7:12">
      <c r="G208" s="464"/>
      <c r="H208" s="464"/>
      <c r="I208" s="464"/>
      <c r="J208" s="464"/>
      <c r="K208" s="464"/>
      <c r="L208" s="464"/>
    </row>
    <row r="209" spans="7:12">
      <c r="G209" s="464"/>
      <c r="H209" s="464"/>
      <c r="I209" s="464"/>
      <c r="J209" s="464"/>
      <c r="K209" s="464"/>
      <c r="L209" s="464"/>
    </row>
    <row r="210" spans="7:12">
      <c r="G210" s="464"/>
      <c r="H210" s="464"/>
      <c r="I210" s="464"/>
      <c r="J210" s="464"/>
      <c r="K210" s="464"/>
      <c r="L210" s="464"/>
    </row>
    <row r="211" spans="7:12">
      <c r="G211" s="464"/>
      <c r="H211" s="464"/>
      <c r="I211" s="464"/>
      <c r="J211" s="464"/>
      <c r="K211" s="464"/>
      <c r="L211" s="464"/>
    </row>
    <row r="212" spans="7:12">
      <c r="G212" s="464"/>
      <c r="H212" s="464"/>
      <c r="I212" s="464"/>
      <c r="J212" s="464"/>
      <c r="K212" s="464"/>
      <c r="L212" s="464"/>
    </row>
    <row r="213" spans="7:12">
      <c r="G213" s="464"/>
      <c r="H213" s="464"/>
      <c r="I213" s="464"/>
      <c r="J213" s="464"/>
      <c r="K213" s="464"/>
      <c r="L213" s="464"/>
    </row>
    <row r="214" spans="7:12">
      <c r="G214" s="464"/>
      <c r="H214" s="464"/>
      <c r="I214" s="464"/>
      <c r="J214" s="464"/>
      <c r="K214" s="464"/>
      <c r="L214" s="464"/>
    </row>
    <row r="215" spans="7:12">
      <c r="G215" s="464"/>
      <c r="H215" s="464"/>
      <c r="I215" s="464"/>
      <c r="J215" s="464"/>
      <c r="K215" s="464"/>
      <c r="L215" s="464"/>
    </row>
    <row r="216" spans="7:12">
      <c r="G216" s="464"/>
      <c r="H216" s="464"/>
      <c r="I216" s="464"/>
      <c r="J216" s="464"/>
      <c r="K216" s="464"/>
      <c r="L216" s="464"/>
    </row>
    <row r="217" spans="7:12">
      <c r="G217" s="464"/>
      <c r="H217" s="464"/>
      <c r="I217" s="464"/>
      <c r="J217" s="464"/>
      <c r="K217" s="464"/>
      <c r="L217" s="464"/>
    </row>
    <row r="218" spans="7:12">
      <c r="G218" s="464"/>
      <c r="H218" s="464"/>
      <c r="I218" s="464"/>
      <c r="J218" s="464"/>
      <c r="K218" s="464"/>
      <c r="L218" s="464"/>
    </row>
    <row r="219" spans="7:12">
      <c r="G219" s="464"/>
      <c r="H219" s="464"/>
      <c r="I219" s="464"/>
      <c r="J219" s="464"/>
      <c r="K219" s="464"/>
      <c r="L219" s="464"/>
    </row>
    <row r="220" spans="7:12">
      <c r="G220" s="464"/>
      <c r="H220" s="464"/>
      <c r="I220" s="464"/>
      <c r="J220" s="464"/>
      <c r="K220" s="464"/>
      <c r="L220" s="464"/>
    </row>
    <row r="221" spans="7:12">
      <c r="G221" s="464"/>
      <c r="H221" s="464"/>
      <c r="I221" s="464"/>
      <c r="J221" s="464"/>
      <c r="K221" s="464"/>
      <c r="L221" s="464"/>
    </row>
    <row r="222" spans="7:12">
      <c r="G222" s="464"/>
      <c r="H222" s="464"/>
      <c r="I222" s="464"/>
      <c r="J222" s="464"/>
      <c r="K222" s="464"/>
      <c r="L222" s="464"/>
    </row>
    <row r="223" spans="7:12">
      <c r="G223" s="464"/>
      <c r="H223" s="464"/>
      <c r="I223" s="464"/>
      <c r="J223" s="464"/>
      <c r="K223" s="464"/>
      <c r="L223" s="464"/>
    </row>
    <row r="224" spans="7:12">
      <c r="G224" s="464"/>
      <c r="H224" s="464"/>
      <c r="I224" s="464"/>
      <c r="J224" s="464"/>
      <c r="K224" s="464"/>
      <c r="L224" s="464"/>
    </row>
    <row r="225" spans="7:12">
      <c r="G225" s="464"/>
      <c r="H225" s="464"/>
      <c r="I225" s="464"/>
      <c r="J225" s="464"/>
      <c r="K225" s="464"/>
      <c r="L225" s="464"/>
    </row>
    <row r="226" spans="7:12">
      <c r="G226" s="464"/>
      <c r="H226" s="464"/>
      <c r="I226" s="464"/>
      <c r="J226" s="464"/>
      <c r="K226" s="464"/>
      <c r="L226" s="464"/>
    </row>
    <row r="227" spans="7:12">
      <c r="G227" s="464"/>
      <c r="H227" s="464"/>
      <c r="I227" s="464"/>
      <c r="J227" s="464"/>
      <c r="K227" s="464"/>
      <c r="L227" s="464"/>
    </row>
    <row r="228" spans="7:12">
      <c r="G228" s="464"/>
      <c r="H228" s="464"/>
      <c r="I228" s="464"/>
      <c r="J228" s="464"/>
      <c r="K228" s="464"/>
      <c r="L228" s="464"/>
    </row>
    <row r="229" spans="7:12">
      <c r="G229" s="464"/>
      <c r="H229" s="464"/>
      <c r="I229" s="464"/>
      <c r="J229" s="464"/>
      <c r="K229" s="464"/>
      <c r="L229" s="464"/>
    </row>
    <row r="230" spans="7:12">
      <c r="G230" s="464"/>
      <c r="H230" s="464"/>
      <c r="I230" s="464"/>
      <c r="J230" s="464"/>
      <c r="K230" s="464"/>
      <c r="L230" s="464"/>
    </row>
    <row r="231" spans="7:12">
      <c r="G231" s="464"/>
      <c r="H231" s="464"/>
      <c r="I231" s="464"/>
      <c r="J231" s="464"/>
      <c r="K231" s="464"/>
      <c r="L231" s="464"/>
    </row>
    <row r="232" spans="7:12">
      <c r="G232" s="464"/>
      <c r="H232" s="464"/>
      <c r="I232" s="464"/>
      <c r="J232" s="464"/>
      <c r="K232" s="464"/>
      <c r="L232" s="464"/>
    </row>
    <row r="233" spans="7:12">
      <c r="G233" s="464"/>
      <c r="H233" s="464"/>
      <c r="I233" s="464"/>
      <c r="J233" s="464"/>
      <c r="K233" s="464"/>
      <c r="L233" s="464"/>
    </row>
    <row r="234" spans="7:12">
      <c r="G234" s="464"/>
      <c r="H234" s="464"/>
      <c r="I234" s="464"/>
      <c r="J234" s="464"/>
      <c r="K234" s="464"/>
      <c r="L234" s="464"/>
    </row>
    <row r="235" spans="7:12">
      <c r="G235" s="464"/>
      <c r="H235" s="464"/>
      <c r="I235" s="464"/>
      <c r="J235" s="464"/>
      <c r="K235" s="464"/>
      <c r="L235" s="464"/>
    </row>
    <row r="236" spans="7:12">
      <c r="G236" s="464"/>
      <c r="H236" s="464"/>
      <c r="I236" s="464"/>
      <c r="J236" s="464"/>
      <c r="K236" s="464"/>
      <c r="L236" s="464"/>
    </row>
    <row r="237" spans="7:12">
      <c r="G237" s="464"/>
      <c r="H237" s="464"/>
      <c r="I237" s="464"/>
      <c r="J237" s="464"/>
      <c r="K237" s="464"/>
      <c r="L237" s="464"/>
    </row>
    <row r="238" spans="7:12">
      <c r="G238" s="464"/>
      <c r="H238" s="464"/>
      <c r="I238" s="464"/>
      <c r="J238" s="464"/>
      <c r="K238" s="464"/>
      <c r="L238" s="464"/>
    </row>
    <row r="239" spans="7:12">
      <c r="G239" s="464"/>
      <c r="H239" s="464"/>
      <c r="I239" s="464"/>
      <c r="J239" s="464"/>
      <c r="K239" s="464"/>
      <c r="L239" s="464"/>
    </row>
    <row r="240" spans="7:12">
      <c r="G240" s="464"/>
      <c r="H240" s="464"/>
      <c r="I240" s="464"/>
      <c r="J240" s="464"/>
      <c r="K240" s="464"/>
      <c r="L240" s="464"/>
    </row>
    <row r="241" spans="7:12">
      <c r="G241" s="464"/>
      <c r="H241" s="464"/>
      <c r="I241" s="464"/>
      <c r="J241" s="464"/>
      <c r="K241" s="464"/>
      <c r="L241" s="464"/>
    </row>
    <row r="242" spans="7:12">
      <c r="G242" s="464"/>
      <c r="H242" s="464"/>
      <c r="I242" s="464"/>
      <c r="J242" s="464"/>
      <c r="K242" s="464"/>
      <c r="L242" s="464"/>
    </row>
    <row r="243" spans="7:12">
      <c r="G243" s="464"/>
      <c r="H243" s="464"/>
      <c r="I243" s="464"/>
      <c r="J243" s="464"/>
      <c r="K243" s="464"/>
      <c r="L243" s="464"/>
    </row>
    <row r="244" spans="7:12">
      <c r="G244" s="464"/>
      <c r="H244" s="464"/>
      <c r="I244" s="464"/>
      <c r="J244" s="464"/>
      <c r="K244" s="464"/>
      <c r="L244" s="464"/>
    </row>
    <row r="245" spans="7:12">
      <c r="G245" s="464"/>
      <c r="H245" s="464"/>
      <c r="I245" s="464"/>
      <c r="J245" s="464"/>
      <c r="K245" s="464"/>
      <c r="L245" s="464"/>
    </row>
    <row r="246" spans="7:12">
      <c r="G246" s="464"/>
      <c r="H246" s="464"/>
      <c r="I246" s="464"/>
      <c r="J246" s="464"/>
      <c r="K246" s="464"/>
      <c r="L246" s="464"/>
    </row>
    <row r="247" spans="7:12">
      <c r="G247" s="464"/>
      <c r="H247" s="464"/>
      <c r="I247" s="464"/>
      <c r="J247" s="464"/>
      <c r="K247" s="464"/>
      <c r="L247" s="464"/>
    </row>
    <row r="248" spans="7:12">
      <c r="G248" s="464"/>
      <c r="H248" s="464"/>
      <c r="I248" s="464"/>
      <c r="J248" s="464"/>
      <c r="K248" s="464"/>
      <c r="L248" s="464"/>
    </row>
    <row r="249" spans="7:12">
      <c r="G249" s="464"/>
      <c r="H249" s="464"/>
      <c r="I249" s="464"/>
      <c r="J249" s="464"/>
      <c r="K249" s="464"/>
      <c r="L249" s="464"/>
    </row>
    <row r="250" spans="7:12">
      <c r="G250" s="464"/>
      <c r="H250" s="464"/>
      <c r="I250" s="464"/>
      <c r="J250" s="464"/>
      <c r="K250" s="464"/>
      <c r="L250" s="464"/>
    </row>
    <row r="251" spans="7:12">
      <c r="G251" s="464"/>
      <c r="H251" s="464"/>
      <c r="I251" s="464"/>
      <c r="J251" s="464"/>
      <c r="K251" s="464"/>
      <c r="L251" s="464"/>
    </row>
    <row r="252" spans="7:12">
      <c r="G252" s="464"/>
      <c r="H252" s="464"/>
      <c r="I252" s="464"/>
      <c r="J252" s="464"/>
      <c r="K252" s="464"/>
      <c r="L252" s="464"/>
    </row>
    <row r="253" spans="7:12">
      <c r="G253" s="464"/>
      <c r="H253" s="464"/>
      <c r="I253" s="464"/>
      <c r="J253" s="464"/>
      <c r="K253" s="464"/>
      <c r="L253" s="464"/>
    </row>
    <row r="254" spans="7:12">
      <c r="G254" s="464"/>
      <c r="H254" s="464"/>
      <c r="I254" s="464"/>
      <c r="J254" s="464"/>
      <c r="K254" s="464"/>
      <c r="L254" s="464"/>
    </row>
    <row r="255" spans="7:12">
      <c r="G255" s="464"/>
      <c r="H255" s="464"/>
      <c r="I255" s="464"/>
      <c r="J255" s="464"/>
      <c r="K255" s="464"/>
      <c r="L255" s="464"/>
    </row>
    <row r="256" spans="7:12">
      <c r="G256" s="464"/>
      <c r="H256" s="464"/>
      <c r="I256" s="464"/>
      <c r="J256" s="464"/>
      <c r="K256" s="464"/>
      <c r="L256" s="464"/>
    </row>
    <row r="257" spans="7:12">
      <c r="G257" s="464"/>
      <c r="H257" s="464"/>
      <c r="I257" s="464"/>
      <c r="J257" s="464"/>
      <c r="K257" s="464"/>
      <c r="L257" s="464"/>
    </row>
    <row r="258" spans="7:12">
      <c r="G258" s="464"/>
      <c r="H258" s="464"/>
      <c r="I258" s="464"/>
      <c r="J258" s="464"/>
      <c r="K258" s="464"/>
      <c r="L258" s="464"/>
    </row>
    <row r="259" spans="7:12">
      <c r="G259" s="464"/>
      <c r="H259" s="464"/>
      <c r="I259" s="464"/>
      <c r="J259" s="464"/>
      <c r="K259" s="464"/>
      <c r="L259" s="464"/>
    </row>
    <row r="260" spans="7:12">
      <c r="G260" s="464"/>
      <c r="H260" s="464"/>
      <c r="I260" s="464"/>
      <c r="J260" s="464"/>
      <c r="K260" s="464"/>
      <c r="L260" s="464"/>
    </row>
    <row r="261" spans="7:12">
      <c r="G261" s="464"/>
      <c r="H261" s="464"/>
      <c r="I261" s="464"/>
      <c r="J261" s="464"/>
      <c r="K261" s="464"/>
      <c r="L261" s="464"/>
    </row>
    <row r="262" spans="7:12">
      <c r="G262" s="464"/>
      <c r="H262" s="464"/>
      <c r="I262" s="464"/>
      <c r="J262" s="464"/>
      <c r="K262" s="464"/>
      <c r="L262" s="464"/>
    </row>
    <row r="263" spans="7:12">
      <c r="G263" s="464"/>
      <c r="H263" s="464"/>
      <c r="I263" s="464"/>
      <c r="J263" s="464"/>
      <c r="K263" s="464"/>
      <c r="L263" s="464"/>
    </row>
    <row r="264" spans="7:12">
      <c r="G264" s="464"/>
      <c r="H264" s="464"/>
      <c r="I264" s="464"/>
      <c r="J264" s="464"/>
      <c r="K264" s="464"/>
      <c r="L264" s="464"/>
    </row>
    <row r="265" spans="7:12">
      <c r="G265" s="464"/>
      <c r="H265" s="464"/>
      <c r="I265" s="464"/>
      <c r="J265" s="464"/>
      <c r="K265" s="464"/>
      <c r="L265" s="464"/>
    </row>
    <row r="266" spans="7:12">
      <c r="G266" s="464"/>
      <c r="H266" s="464"/>
      <c r="I266" s="464"/>
      <c r="J266" s="464"/>
      <c r="K266" s="464"/>
      <c r="L266" s="464"/>
    </row>
    <row r="267" spans="7:12">
      <c r="G267" s="464"/>
      <c r="H267" s="464"/>
      <c r="I267" s="464"/>
      <c r="J267" s="464"/>
      <c r="K267" s="464"/>
      <c r="L267" s="464"/>
    </row>
    <row r="268" spans="7:12">
      <c r="G268" s="464"/>
      <c r="H268" s="464"/>
      <c r="I268" s="464"/>
      <c r="J268" s="464"/>
      <c r="K268" s="464"/>
      <c r="L268" s="464"/>
    </row>
    <row r="269" spans="7:12">
      <c r="G269" s="464"/>
      <c r="H269" s="464"/>
      <c r="I269" s="464"/>
      <c r="J269" s="464"/>
      <c r="K269" s="464"/>
      <c r="L269" s="464"/>
    </row>
    <row r="270" spans="7:12">
      <c r="G270" s="464"/>
      <c r="H270" s="464"/>
      <c r="I270" s="464"/>
      <c r="J270" s="464"/>
      <c r="K270" s="464"/>
      <c r="L270" s="464"/>
    </row>
    <row r="271" spans="7:12">
      <c r="G271" s="464"/>
      <c r="H271" s="464"/>
      <c r="I271" s="464"/>
      <c r="J271" s="464"/>
      <c r="K271" s="464"/>
      <c r="L271" s="464"/>
    </row>
    <row r="272" spans="7:12">
      <c r="G272" s="464"/>
      <c r="H272" s="464"/>
      <c r="I272" s="464"/>
      <c r="J272" s="464"/>
      <c r="K272" s="464"/>
      <c r="L272" s="464"/>
    </row>
    <row r="273" spans="7:12">
      <c r="G273" s="464"/>
      <c r="H273" s="464"/>
      <c r="I273" s="464"/>
      <c r="J273" s="464"/>
      <c r="K273" s="464"/>
      <c r="L273" s="464"/>
    </row>
    <row r="274" spans="7:12">
      <c r="G274" s="464"/>
      <c r="H274" s="464"/>
      <c r="I274" s="464"/>
      <c r="J274" s="464"/>
      <c r="K274" s="464"/>
      <c r="L274" s="464"/>
    </row>
    <row r="275" spans="7:12">
      <c r="G275" s="464"/>
      <c r="H275" s="464"/>
      <c r="I275" s="464"/>
      <c r="J275" s="464"/>
      <c r="K275" s="464"/>
      <c r="L275" s="464"/>
    </row>
    <row r="276" spans="7:12">
      <c r="G276" s="464"/>
      <c r="H276" s="464"/>
      <c r="I276" s="464"/>
      <c r="J276" s="464"/>
      <c r="K276" s="464"/>
      <c r="L276" s="464"/>
    </row>
    <row r="277" spans="7:12">
      <c r="G277" s="464"/>
      <c r="H277" s="464"/>
      <c r="I277" s="464"/>
      <c r="J277" s="464"/>
      <c r="K277" s="464"/>
      <c r="L277" s="464"/>
    </row>
    <row r="278" spans="7:12">
      <c r="G278" s="464"/>
      <c r="H278" s="464"/>
      <c r="I278" s="464"/>
      <c r="J278" s="464"/>
      <c r="K278" s="464"/>
      <c r="L278" s="464"/>
    </row>
    <row r="279" spans="7:12">
      <c r="G279" s="464"/>
      <c r="H279" s="464"/>
      <c r="I279" s="464"/>
      <c r="J279" s="464"/>
      <c r="K279" s="464"/>
      <c r="L279" s="464"/>
    </row>
    <row r="280" spans="7:12">
      <c r="G280" s="464"/>
      <c r="H280" s="464"/>
      <c r="I280" s="464"/>
      <c r="J280" s="464"/>
      <c r="K280" s="464"/>
      <c r="L280" s="464"/>
    </row>
    <row r="281" spans="7:12">
      <c r="G281" s="464"/>
      <c r="H281" s="464"/>
      <c r="I281" s="464"/>
      <c r="J281" s="464"/>
      <c r="K281" s="464"/>
      <c r="L281" s="464"/>
    </row>
    <row r="282" spans="7:12">
      <c r="G282" s="464"/>
      <c r="H282" s="464"/>
      <c r="I282" s="464"/>
      <c r="J282" s="464"/>
      <c r="K282" s="464"/>
      <c r="L282" s="464"/>
    </row>
    <row r="283" spans="7:12">
      <c r="G283" s="464"/>
      <c r="H283" s="464"/>
      <c r="I283" s="464"/>
      <c r="J283" s="464"/>
      <c r="K283" s="464"/>
      <c r="L283" s="464"/>
    </row>
    <row r="284" spans="7:12">
      <c r="G284" s="464"/>
      <c r="H284" s="464"/>
      <c r="I284" s="464"/>
      <c r="J284" s="464"/>
      <c r="K284" s="464"/>
      <c r="L284" s="464"/>
    </row>
    <row r="285" spans="7:12">
      <c r="G285" s="464"/>
      <c r="H285" s="464"/>
      <c r="I285" s="464"/>
      <c r="J285" s="464"/>
      <c r="K285" s="464"/>
      <c r="L285" s="464"/>
    </row>
    <row r="286" spans="7:12">
      <c r="G286" s="464"/>
      <c r="H286" s="464"/>
      <c r="I286" s="464"/>
      <c r="J286" s="464"/>
      <c r="K286" s="464"/>
      <c r="L286" s="464"/>
    </row>
    <row r="287" spans="7:12">
      <c r="G287" s="464"/>
      <c r="H287" s="464"/>
      <c r="I287" s="464"/>
      <c r="J287" s="464"/>
      <c r="K287" s="464"/>
      <c r="L287" s="464"/>
    </row>
    <row r="288" spans="7:12">
      <c r="G288" s="464"/>
      <c r="H288" s="464"/>
      <c r="I288" s="464"/>
      <c r="J288" s="464"/>
      <c r="K288" s="464"/>
      <c r="L288" s="464"/>
    </row>
    <row r="289" spans="7:12">
      <c r="G289" s="464"/>
      <c r="H289" s="464"/>
      <c r="I289" s="464"/>
      <c r="J289" s="464"/>
      <c r="K289" s="464"/>
      <c r="L289" s="464"/>
    </row>
    <row r="290" spans="7:12">
      <c r="G290" s="464"/>
      <c r="H290" s="464"/>
      <c r="I290" s="464"/>
      <c r="J290" s="464"/>
      <c r="K290" s="464"/>
      <c r="L290" s="464"/>
    </row>
    <row r="291" spans="7:12">
      <c r="G291" s="464"/>
      <c r="H291" s="464"/>
      <c r="I291" s="464"/>
      <c r="J291" s="464"/>
      <c r="K291" s="464"/>
      <c r="L291" s="464"/>
    </row>
    <row r="292" spans="7:12">
      <c r="G292" s="464"/>
      <c r="H292" s="464"/>
      <c r="I292" s="464"/>
      <c r="J292" s="464"/>
      <c r="K292" s="464"/>
      <c r="L292" s="464"/>
    </row>
    <row r="293" spans="7:12">
      <c r="G293" s="464"/>
      <c r="H293" s="464"/>
      <c r="I293" s="464"/>
      <c r="J293" s="464"/>
      <c r="K293" s="464"/>
      <c r="L293" s="464"/>
    </row>
    <row r="294" spans="7:12">
      <c r="G294" s="464"/>
      <c r="H294" s="464"/>
      <c r="I294" s="464"/>
      <c r="J294" s="464"/>
      <c r="K294" s="464"/>
      <c r="L294" s="464"/>
    </row>
    <row r="295" spans="7:12">
      <c r="G295" s="464"/>
      <c r="H295" s="464"/>
      <c r="I295" s="464"/>
      <c r="J295" s="464"/>
      <c r="K295" s="464"/>
      <c r="L295" s="464"/>
    </row>
    <row r="296" spans="7:12">
      <c r="G296" s="464"/>
      <c r="H296" s="464"/>
      <c r="I296" s="464"/>
      <c r="J296" s="464"/>
      <c r="K296" s="464"/>
      <c r="L296" s="464"/>
    </row>
    <row r="297" spans="7:12">
      <c r="G297" s="464"/>
      <c r="H297" s="464"/>
      <c r="I297" s="464"/>
      <c r="J297" s="464"/>
      <c r="K297" s="464"/>
      <c r="L297" s="464"/>
    </row>
    <row r="298" spans="7:12">
      <c r="G298" s="464"/>
      <c r="H298" s="464"/>
      <c r="I298" s="464"/>
      <c r="J298" s="464"/>
      <c r="K298" s="464"/>
      <c r="L298" s="464"/>
    </row>
    <row r="299" spans="7:12">
      <c r="G299" s="464"/>
      <c r="H299" s="464"/>
      <c r="I299" s="464"/>
      <c r="J299" s="464"/>
      <c r="K299" s="464"/>
      <c r="L299" s="464"/>
    </row>
    <row r="300" spans="7:12">
      <c r="G300" s="464"/>
      <c r="H300" s="464"/>
      <c r="I300" s="464"/>
      <c r="J300" s="464"/>
      <c r="K300" s="464"/>
      <c r="L300" s="464"/>
    </row>
    <row r="301" spans="7:12">
      <c r="G301" s="464"/>
      <c r="H301" s="464"/>
      <c r="I301" s="464"/>
      <c r="J301" s="464"/>
      <c r="K301" s="464"/>
      <c r="L301" s="464"/>
    </row>
    <row r="302" spans="7:12">
      <c r="G302" s="464"/>
      <c r="H302" s="464"/>
      <c r="I302" s="464"/>
      <c r="J302" s="464"/>
      <c r="K302" s="464"/>
      <c r="L302" s="464"/>
    </row>
    <row r="303" spans="7:12">
      <c r="G303" s="464"/>
      <c r="H303" s="464"/>
      <c r="I303" s="464"/>
      <c r="J303" s="464"/>
      <c r="K303" s="464"/>
      <c r="L303" s="464"/>
    </row>
    <row r="304" spans="7:12">
      <c r="G304" s="464"/>
      <c r="H304" s="464"/>
      <c r="I304" s="464"/>
      <c r="J304" s="464"/>
      <c r="K304" s="464"/>
      <c r="L304" s="464"/>
    </row>
    <row r="305" spans="7:12">
      <c r="G305" s="464"/>
      <c r="H305" s="464"/>
      <c r="I305" s="464"/>
      <c r="J305" s="464"/>
      <c r="K305" s="464"/>
      <c r="L305" s="464"/>
    </row>
    <row r="306" spans="7:12">
      <c r="G306" s="464"/>
      <c r="H306" s="464"/>
      <c r="I306" s="464"/>
      <c r="J306" s="464"/>
      <c r="K306" s="464"/>
      <c r="L306" s="464"/>
    </row>
    <row r="307" spans="7:12">
      <c r="G307" s="464"/>
      <c r="H307" s="464"/>
      <c r="I307" s="464"/>
      <c r="J307" s="464"/>
      <c r="K307" s="464"/>
      <c r="L307" s="464"/>
    </row>
    <row r="308" spans="7:12">
      <c r="G308" s="464"/>
      <c r="H308" s="464"/>
      <c r="I308" s="464"/>
      <c r="J308" s="464"/>
      <c r="K308" s="464"/>
      <c r="L308" s="464"/>
    </row>
    <row r="309" spans="7:12">
      <c r="G309" s="464"/>
      <c r="H309" s="464"/>
      <c r="I309" s="464"/>
      <c r="J309" s="464"/>
      <c r="K309" s="464"/>
      <c r="L309" s="464"/>
    </row>
    <row r="310" spans="7:12">
      <c r="G310" s="464"/>
      <c r="H310" s="464"/>
      <c r="I310" s="464"/>
      <c r="J310" s="464"/>
      <c r="K310" s="464"/>
      <c r="L310" s="464"/>
    </row>
    <row r="311" spans="7:12">
      <c r="G311" s="464"/>
      <c r="H311" s="464"/>
      <c r="I311" s="464"/>
      <c r="J311" s="464"/>
      <c r="K311" s="464"/>
      <c r="L311" s="464"/>
    </row>
    <row r="312" spans="7:12">
      <c r="G312" s="464"/>
      <c r="H312" s="464"/>
      <c r="I312" s="464"/>
      <c r="J312" s="464"/>
      <c r="K312" s="464"/>
      <c r="L312" s="464"/>
    </row>
    <row r="313" spans="7:12">
      <c r="G313" s="464"/>
      <c r="H313" s="464"/>
      <c r="I313" s="464"/>
      <c r="J313" s="464"/>
      <c r="K313" s="464"/>
      <c r="L313" s="464"/>
    </row>
    <row r="314" spans="7:12">
      <c r="G314" s="464"/>
      <c r="H314" s="464"/>
      <c r="I314" s="464"/>
      <c r="J314" s="464"/>
      <c r="K314" s="464"/>
      <c r="L314" s="464"/>
    </row>
    <row r="315" spans="7:12">
      <c r="G315" s="464"/>
      <c r="H315" s="464"/>
      <c r="I315" s="464"/>
      <c r="J315" s="464"/>
      <c r="K315" s="464"/>
      <c r="L315" s="464"/>
    </row>
    <row r="316" spans="7:12">
      <c r="G316" s="464"/>
      <c r="H316" s="464"/>
      <c r="I316" s="464"/>
      <c r="J316" s="464"/>
      <c r="K316" s="464"/>
      <c r="L316" s="464"/>
    </row>
    <row r="317" spans="7:12">
      <c r="G317" s="464"/>
      <c r="H317" s="464"/>
      <c r="I317" s="464"/>
      <c r="J317" s="464"/>
      <c r="K317" s="464"/>
      <c r="L317" s="464"/>
    </row>
    <row r="318" spans="7:12">
      <c r="G318" s="464"/>
      <c r="H318" s="464"/>
      <c r="I318" s="464"/>
      <c r="J318" s="464"/>
      <c r="K318" s="464"/>
      <c r="L318" s="464"/>
    </row>
    <row r="319" spans="7:12">
      <c r="G319" s="464"/>
      <c r="H319" s="464"/>
      <c r="I319" s="464"/>
      <c r="J319" s="464"/>
      <c r="K319" s="464"/>
      <c r="L319" s="464"/>
    </row>
    <row r="320" spans="7:12">
      <c r="G320" s="464"/>
      <c r="H320" s="464"/>
      <c r="I320" s="464"/>
      <c r="J320" s="464"/>
      <c r="K320" s="464"/>
      <c r="L320" s="464"/>
    </row>
    <row r="321" spans="7:12">
      <c r="G321" s="464"/>
      <c r="H321" s="464"/>
      <c r="I321" s="464"/>
      <c r="J321" s="464"/>
      <c r="K321" s="464"/>
      <c r="L321" s="464"/>
    </row>
    <row r="322" spans="7:12">
      <c r="G322" s="464"/>
      <c r="H322" s="464"/>
      <c r="I322" s="464"/>
      <c r="J322" s="464"/>
      <c r="K322" s="464"/>
      <c r="L322" s="464"/>
    </row>
    <row r="323" spans="7:12">
      <c r="G323" s="464"/>
      <c r="H323" s="464"/>
      <c r="I323" s="464"/>
      <c r="J323" s="464"/>
      <c r="K323" s="464"/>
      <c r="L323" s="464"/>
    </row>
    <row r="324" spans="7:12">
      <c r="G324" s="464"/>
      <c r="H324" s="464"/>
      <c r="I324" s="464"/>
      <c r="J324" s="464"/>
      <c r="K324" s="464"/>
      <c r="L324" s="464"/>
    </row>
    <row r="325" spans="7:12">
      <c r="G325" s="464"/>
      <c r="H325" s="464"/>
      <c r="I325" s="464"/>
      <c r="J325" s="464"/>
      <c r="K325" s="464"/>
      <c r="L325" s="464"/>
    </row>
    <row r="326" spans="7:12">
      <c r="G326" s="464"/>
      <c r="H326" s="464"/>
      <c r="I326" s="464"/>
      <c r="J326" s="464"/>
      <c r="K326" s="464"/>
      <c r="L326" s="464"/>
    </row>
    <row r="327" spans="7:12">
      <c r="G327" s="464"/>
      <c r="H327" s="464"/>
      <c r="I327" s="464"/>
      <c r="J327" s="464"/>
      <c r="K327" s="464"/>
      <c r="L327" s="464"/>
    </row>
    <row r="328" spans="7:12">
      <c r="G328" s="464"/>
      <c r="H328" s="464"/>
      <c r="I328" s="464"/>
      <c r="J328" s="464"/>
      <c r="K328" s="464"/>
      <c r="L328" s="464"/>
    </row>
    <row r="329" spans="7:12">
      <c r="G329" s="464"/>
      <c r="H329" s="464"/>
      <c r="I329" s="464"/>
      <c r="J329" s="464"/>
      <c r="K329" s="464"/>
      <c r="L329" s="464"/>
    </row>
    <row r="330" spans="7:12">
      <c r="G330" s="464"/>
      <c r="H330" s="464"/>
      <c r="I330" s="464"/>
      <c r="J330" s="464"/>
      <c r="K330" s="464"/>
      <c r="L330" s="464"/>
    </row>
    <row r="331" spans="7:12">
      <c r="G331" s="464"/>
      <c r="H331" s="464"/>
      <c r="I331" s="464"/>
      <c r="J331" s="464"/>
      <c r="K331" s="464"/>
      <c r="L331" s="464"/>
    </row>
    <row r="332" spans="7:12">
      <c r="G332" s="464"/>
      <c r="H332" s="464"/>
      <c r="I332" s="464"/>
      <c r="J332" s="464"/>
      <c r="K332" s="464"/>
      <c r="L332" s="464"/>
    </row>
    <row r="333" spans="7:12">
      <c r="G333" s="464"/>
      <c r="H333" s="464"/>
      <c r="I333" s="464"/>
      <c r="J333" s="464"/>
      <c r="K333" s="464"/>
      <c r="L333" s="464"/>
    </row>
    <row r="334" spans="7:12">
      <c r="G334" s="464"/>
      <c r="H334" s="464"/>
      <c r="I334" s="464"/>
      <c r="J334" s="464"/>
      <c r="K334" s="464"/>
      <c r="L334" s="464"/>
    </row>
    <row r="335" spans="7:12">
      <c r="G335" s="464"/>
      <c r="H335" s="464"/>
      <c r="I335" s="464"/>
      <c r="J335" s="464"/>
      <c r="K335" s="464"/>
      <c r="L335" s="464"/>
    </row>
    <row r="336" spans="7:12">
      <c r="G336" s="464"/>
      <c r="H336" s="464"/>
      <c r="I336" s="464"/>
      <c r="J336" s="464"/>
      <c r="K336" s="464"/>
      <c r="L336" s="464"/>
    </row>
    <row r="337" spans="7:12">
      <c r="G337" s="464"/>
      <c r="H337" s="464"/>
      <c r="I337" s="464"/>
      <c r="J337" s="464"/>
      <c r="K337" s="464"/>
      <c r="L337" s="464"/>
    </row>
    <row r="338" spans="7:12">
      <c r="G338" s="464"/>
      <c r="H338" s="464"/>
      <c r="I338" s="464"/>
      <c r="J338" s="464"/>
      <c r="K338" s="464"/>
      <c r="L338" s="464"/>
    </row>
    <row r="339" spans="7:12">
      <c r="G339" s="464"/>
      <c r="H339" s="464"/>
      <c r="I339" s="464"/>
      <c r="J339" s="464"/>
      <c r="K339" s="464"/>
      <c r="L339" s="464"/>
    </row>
    <row r="340" spans="7:12">
      <c r="G340" s="464"/>
      <c r="H340" s="464"/>
      <c r="I340" s="464"/>
      <c r="J340" s="464"/>
      <c r="K340" s="464"/>
      <c r="L340" s="464"/>
    </row>
    <row r="341" spans="7:12">
      <c r="G341" s="464"/>
      <c r="H341" s="464"/>
      <c r="I341" s="464"/>
      <c r="J341" s="464"/>
      <c r="K341" s="464"/>
      <c r="L341" s="464"/>
    </row>
    <row r="342" spans="7:12">
      <c r="G342" s="464"/>
      <c r="H342" s="464"/>
      <c r="I342" s="464"/>
      <c r="J342" s="464"/>
      <c r="K342" s="464"/>
      <c r="L342" s="464"/>
    </row>
    <row r="343" spans="7:12">
      <c r="G343" s="464"/>
      <c r="H343" s="464"/>
      <c r="I343" s="464"/>
      <c r="J343" s="464"/>
      <c r="K343" s="464"/>
      <c r="L343" s="464"/>
    </row>
    <row r="344" spans="7:12">
      <c r="G344" s="464"/>
      <c r="H344" s="464"/>
      <c r="I344" s="464"/>
      <c r="J344" s="464"/>
      <c r="K344" s="464"/>
      <c r="L344" s="464"/>
    </row>
    <row r="345" spans="7:12">
      <c r="G345" s="464"/>
      <c r="H345" s="464"/>
      <c r="I345" s="464"/>
      <c r="J345" s="464"/>
      <c r="K345" s="464"/>
      <c r="L345" s="464"/>
    </row>
    <row r="346" spans="7:12">
      <c r="G346" s="464"/>
      <c r="H346" s="464"/>
      <c r="I346" s="464"/>
      <c r="J346" s="464"/>
      <c r="K346" s="464"/>
      <c r="L346" s="464"/>
    </row>
    <row r="347" spans="7:12">
      <c r="G347" s="464"/>
      <c r="H347" s="464"/>
      <c r="I347" s="464"/>
      <c r="J347" s="464"/>
      <c r="K347" s="464"/>
      <c r="L347" s="464"/>
    </row>
    <row r="348" spans="7:12">
      <c r="G348" s="464"/>
      <c r="H348" s="464"/>
      <c r="I348" s="464"/>
      <c r="J348" s="464"/>
      <c r="K348" s="464"/>
      <c r="L348" s="464"/>
    </row>
    <row r="349" spans="7:12">
      <c r="G349" s="464"/>
      <c r="H349" s="464"/>
      <c r="I349" s="464"/>
      <c r="J349" s="464"/>
      <c r="K349" s="464"/>
      <c r="L349" s="464"/>
    </row>
    <row r="350" spans="7:12">
      <c r="G350" s="464"/>
      <c r="H350" s="464"/>
      <c r="I350" s="464"/>
      <c r="J350" s="464"/>
      <c r="K350" s="464"/>
      <c r="L350" s="464"/>
    </row>
    <row r="351" spans="7:12">
      <c r="G351" s="464"/>
      <c r="H351" s="464"/>
      <c r="I351" s="464"/>
      <c r="J351" s="464"/>
      <c r="K351" s="464"/>
      <c r="L351" s="464"/>
    </row>
    <row r="352" spans="7:12">
      <c r="G352" s="464"/>
      <c r="H352" s="464"/>
      <c r="I352" s="464"/>
      <c r="J352" s="464"/>
      <c r="K352" s="464"/>
      <c r="L352" s="464"/>
    </row>
    <row r="353" spans="7:12">
      <c r="G353" s="464"/>
      <c r="H353" s="464"/>
      <c r="I353" s="464"/>
      <c r="J353" s="464"/>
      <c r="K353" s="464"/>
      <c r="L353" s="464"/>
    </row>
    <row r="354" spans="7:12">
      <c r="G354" s="464"/>
      <c r="H354" s="464"/>
      <c r="I354" s="464"/>
      <c r="J354" s="464"/>
      <c r="K354" s="464"/>
      <c r="L354" s="464"/>
    </row>
    <row r="355" spans="7:12">
      <c r="G355" s="464"/>
      <c r="H355" s="464"/>
      <c r="I355" s="464"/>
      <c r="J355" s="464"/>
      <c r="K355" s="464"/>
      <c r="L355" s="464"/>
    </row>
    <row r="356" spans="7:12">
      <c r="G356" s="464"/>
      <c r="H356" s="464"/>
      <c r="I356" s="464"/>
      <c r="J356" s="464"/>
      <c r="K356" s="464"/>
      <c r="L356" s="464"/>
    </row>
    <row r="357" spans="7:12">
      <c r="G357" s="464"/>
      <c r="H357" s="464"/>
      <c r="I357" s="464"/>
      <c r="J357" s="464"/>
      <c r="K357" s="464"/>
      <c r="L357" s="464"/>
    </row>
    <row r="358" spans="7:12">
      <c r="G358" s="464"/>
      <c r="H358" s="464"/>
      <c r="I358" s="464"/>
      <c r="J358" s="464"/>
      <c r="K358" s="464"/>
      <c r="L358" s="464"/>
    </row>
    <row r="359" spans="7:12">
      <c r="G359" s="464"/>
      <c r="H359" s="464"/>
      <c r="I359" s="464"/>
      <c r="J359" s="464"/>
      <c r="K359" s="464"/>
      <c r="L359" s="464"/>
    </row>
    <row r="360" spans="7:12">
      <c r="G360" s="464"/>
      <c r="H360" s="464"/>
      <c r="I360" s="464"/>
      <c r="J360" s="464"/>
      <c r="K360" s="464"/>
      <c r="L360" s="464"/>
    </row>
    <row r="361" spans="7:12">
      <c r="G361" s="464"/>
      <c r="H361" s="464"/>
      <c r="I361" s="464"/>
      <c r="J361" s="464"/>
      <c r="K361" s="464"/>
      <c r="L361" s="464"/>
    </row>
    <row r="362" spans="7:12">
      <c r="G362" s="464"/>
      <c r="H362" s="464"/>
      <c r="I362" s="464"/>
      <c r="J362" s="464"/>
      <c r="K362" s="464"/>
      <c r="L362" s="464"/>
    </row>
    <row r="363" spans="7:12">
      <c r="G363" s="464"/>
      <c r="H363" s="464"/>
      <c r="I363" s="464"/>
      <c r="J363" s="464"/>
      <c r="K363" s="464"/>
      <c r="L363" s="464"/>
    </row>
    <row r="364" spans="7:12">
      <c r="G364" s="464"/>
      <c r="H364" s="464"/>
      <c r="I364" s="464"/>
      <c r="J364" s="464"/>
      <c r="K364" s="464"/>
      <c r="L364" s="464"/>
    </row>
    <row r="365" spans="7:12">
      <c r="G365" s="464"/>
      <c r="H365" s="464"/>
      <c r="I365" s="464"/>
      <c r="J365" s="464"/>
      <c r="K365" s="464"/>
      <c r="L365" s="464"/>
    </row>
    <row r="366" spans="7:12">
      <c r="G366" s="464"/>
      <c r="H366" s="464"/>
      <c r="I366" s="464"/>
      <c r="J366" s="464"/>
      <c r="K366" s="464"/>
      <c r="L366" s="464"/>
    </row>
    <row r="367" spans="7:12">
      <c r="G367" s="464"/>
      <c r="H367" s="464"/>
      <c r="I367" s="464"/>
      <c r="J367" s="464"/>
      <c r="K367" s="464"/>
      <c r="L367" s="464"/>
    </row>
    <row r="368" spans="7:12">
      <c r="G368" s="464"/>
      <c r="H368" s="464"/>
      <c r="I368" s="464"/>
      <c r="J368" s="464"/>
      <c r="K368" s="464"/>
      <c r="L368" s="464"/>
    </row>
    <row r="369" spans="7:12">
      <c r="G369" s="464"/>
      <c r="H369" s="464"/>
      <c r="I369" s="464"/>
      <c r="J369" s="464"/>
      <c r="K369" s="464"/>
      <c r="L369" s="464"/>
    </row>
    <row r="370" spans="7:12">
      <c r="G370" s="464"/>
      <c r="H370" s="464"/>
      <c r="I370" s="464"/>
      <c r="J370" s="464"/>
      <c r="K370" s="464"/>
      <c r="L370" s="464"/>
    </row>
    <row r="371" spans="7:12">
      <c r="G371" s="464"/>
      <c r="H371" s="464"/>
      <c r="I371" s="464"/>
      <c r="J371" s="464"/>
      <c r="K371" s="464"/>
      <c r="L371" s="464"/>
    </row>
    <row r="372" spans="7:12">
      <c r="G372" s="464"/>
      <c r="H372" s="464"/>
      <c r="I372" s="464"/>
      <c r="J372" s="464"/>
      <c r="K372" s="464"/>
      <c r="L372" s="464"/>
    </row>
    <row r="373" spans="7:12">
      <c r="G373" s="464"/>
      <c r="H373" s="464"/>
      <c r="I373" s="464"/>
      <c r="J373" s="464"/>
      <c r="K373" s="464"/>
      <c r="L373" s="464"/>
    </row>
    <row r="374" spans="7:12">
      <c r="G374" s="464"/>
      <c r="H374" s="464"/>
      <c r="I374" s="464"/>
      <c r="J374" s="464"/>
      <c r="K374" s="464"/>
      <c r="L374" s="464"/>
    </row>
    <row r="375" spans="7:12">
      <c r="G375" s="464"/>
      <c r="H375" s="464"/>
      <c r="I375" s="464"/>
      <c r="J375" s="464"/>
      <c r="K375" s="464"/>
      <c r="L375" s="464"/>
    </row>
    <row r="376" spans="7:12">
      <c r="G376" s="464"/>
      <c r="H376" s="464"/>
      <c r="I376" s="464"/>
      <c r="J376" s="464"/>
      <c r="K376" s="464"/>
      <c r="L376" s="464"/>
    </row>
    <row r="377" spans="7:12">
      <c r="G377" s="464"/>
      <c r="H377" s="464"/>
      <c r="I377" s="464"/>
      <c r="J377" s="464"/>
      <c r="K377" s="464"/>
      <c r="L377" s="464"/>
    </row>
    <row r="378" spans="7:12">
      <c r="G378" s="464"/>
      <c r="H378" s="464"/>
      <c r="I378" s="464"/>
      <c r="J378" s="464"/>
      <c r="K378" s="464"/>
      <c r="L378" s="464"/>
    </row>
    <row r="379" spans="7:12">
      <c r="G379" s="464"/>
      <c r="H379" s="464"/>
      <c r="I379" s="464"/>
      <c r="J379" s="464"/>
      <c r="K379" s="464"/>
      <c r="L379" s="464"/>
    </row>
    <row r="380" spans="7:12">
      <c r="G380" s="464"/>
      <c r="H380" s="464"/>
      <c r="I380" s="464"/>
      <c r="J380" s="464"/>
      <c r="K380" s="464"/>
      <c r="L380" s="464"/>
    </row>
    <row r="381" spans="7:12">
      <c r="G381" s="464"/>
      <c r="H381" s="464"/>
      <c r="I381" s="464"/>
      <c r="J381" s="464"/>
      <c r="K381" s="464"/>
      <c r="L381" s="464"/>
    </row>
    <row r="382" spans="7:12">
      <c r="G382" s="464"/>
      <c r="H382" s="464"/>
      <c r="I382" s="464"/>
      <c r="J382" s="464"/>
      <c r="K382" s="464"/>
      <c r="L382" s="464"/>
    </row>
    <row r="383" spans="7:12">
      <c r="G383" s="464"/>
      <c r="H383" s="464"/>
      <c r="I383" s="464"/>
      <c r="J383" s="464"/>
      <c r="K383" s="464"/>
      <c r="L383" s="464"/>
    </row>
    <row r="384" spans="7:12">
      <c r="G384" s="464"/>
      <c r="H384" s="464"/>
      <c r="I384" s="464"/>
      <c r="J384" s="464"/>
      <c r="K384" s="464"/>
      <c r="L384" s="464"/>
    </row>
    <row r="385" spans="7:12">
      <c r="G385" s="464"/>
      <c r="H385" s="464"/>
      <c r="I385" s="464"/>
      <c r="J385" s="464"/>
      <c r="K385" s="464"/>
      <c r="L385" s="464"/>
    </row>
    <row r="386" spans="7:12">
      <c r="G386" s="464"/>
      <c r="H386" s="464"/>
      <c r="I386" s="464"/>
      <c r="J386" s="464"/>
      <c r="K386" s="464"/>
      <c r="L386" s="464"/>
    </row>
    <row r="387" spans="7:12">
      <c r="G387" s="464"/>
      <c r="H387" s="464"/>
      <c r="I387" s="464"/>
      <c r="J387" s="464"/>
      <c r="K387" s="464"/>
      <c r="L387" s="464"/>
    </row>
    <row r="388" spans="7:12">
      <c r="G388" s="464"/>
      <c r="H388" s="464"/>
      <c r="I388" s="464"/>
      <c r="J388" s="464"/>
      <c r="K388" s="464"/>
      <c r="L388" s="464"/>
    </row>
    <row r="389" spans="7:12">
      <c r="G389" s="464"/>
      <c r="H389" s="464"/>
      <c r="I389" s="464"/>
      <c r="J389" s="464"/>
      <c r="K389" s="464"/>
      <c r="L389" s="464"/>
    </row>
    <row r="390" spans="7:12">
      <c r="G390" s="464"/>
      <c r="H390" s="464"/>
      <c r="I390" s="464"/>
      <c r="J390" s="464"/>
      <c r="K390" s="464"/>
      <c r="L390" s="464"/>
    </row>
    <row r="391" spans="7:12">
      <c r="G391" s="464"/>
      <c r="H391" s="464"/>
      <c r="I391" s="464"/>
      <c r="J391" s="464"/>
      <c r="K391" s="464"/>
      <c r="L391" s="464"/>
    </row>
    <row r="392" spans="7:12">
      <c r="G392" s="464"/>
      <c r="H392" s="464"/>
      <c r="I392" s="464"/>
      <c r="J392" s="464"/>
      <c r="K392" s="464"/>
      <c r="L392" s="464"/>
    </row>
    <row r="393" spans="7:12">
      <c r="G393" s="464"/>
      <c r="H393" s="464"/>
      <c r="I393" s="464"/>
      <c r="J393" s="464"/>
      <c r="K393" s="464"/>
      <c r="L393" s="464"/>
    </row>
    <row r="394" spans="7:12">
      <c r="G394" s="464"/>
      <c r="H394" s="464"/>
      <c r="I394" s="464"/>
      <c r="J394" s="464"/>
      <c r="K394" s="464"/>
      <c r="L394" s="464"/>
    </row>
    <row r="395" spans="7:12">
      <c r="G395" s="464"/>
      <c r="H395" s="464"/>
      <c r="I395" s="464"/>
      <c r="J395" s="464"/>
      <c r="K395" s="464"/>
      <c r="L395" s="464"/>
    </row>
    <row r="396" spans="7:12">
      <c r="G396" s="464"/>
      <c r="H396" s="464"/>
      <c r="I396" s="464"/>
      <c r="J396" s="464"/>
      <c r="K396" s="464"/>
      <c r="L396" s="464"/>
    </row>
    <row r="397" spans="7:12">
      <c r="G397" s="464"/>
      <c r="H397" s="464"/>
      <c r="I397" s="464"/>
      <c r="J397" s="464"/>
      <c r="K397" s="464"/>
      <c r="L397" s="464"/>
    </row>
    <row r="398" spans="7:12">
      <c r="G398" s="464"/>
      <c r="H398" s="464"/>
      <c r="I398" s="464"/>
      <c r="J398" s="464"/>
      <c r="K398" s="464"/>
      <c r="L398" s="464"/>
    </row>
    <row r="399" spans="7:12">
      <c r="G399" s="464"/>
      <c r="H399" s="464"/>
      <c r="I399" s="464"/>
      <c r="J399" s="464"/>
      <c r="K399" s="464"/>
      <c r="L399" s="464"/>
    </row>
    <row r="400" spans="7:12">
      <c r="G400" s="464"/>
      <c r="H400" s="464"/>
      <c r="I400" s="464"/>
      <c r="J400" s="464"/>
      <c r="K400" s="464"/>
      <c r="L400" s="464"/>
    </row>
    <row r="401" spans="7:12">
      <c r="G401" s="464"/>
      <c r="H401" s="464"/>
      <c r="I401" s="464"/>
      <c r="J401" s="464"/>
      <c r="K401" s="464"/>
      <c r="L401" s="464"/>
    </row>
    <row r="402" spans="7:12">
      <c r="G402" s="464"/>
      <c r="H402" s="464"/>
      <c r="I402" s="464"/>
      <c r="J402" s="464"/>
      <c r="K402" s="464"/>
      <c r="L402" s="464"/>
    </row>
    <row r="403" spans="7:12">
      <c r="G403" s="464"/>
      <c r="H403" s="464"/>
      <c r="I403" s="464"/>
      <c r="J403" s="464"/>
      <c r="K403" s="464"/>
      <c r="L403" s="464"/>
    </row>
    <row r="404" spans="7:12">
      <c r="G404" s="464"/>
      <c r="H404" s="464"/>
      <c r="I404" s="464"/>
      <c r="J404" s="464"/>
      <c r="K404" s="464"/>
      <c r="L404" s="464"/>
    </row>
    <row r="405" spans="7:12">
      <c r="G405" s="464"/>
      <c r="H405" s="464"/>
      <c r="I405" s="464"/>
      <c r="J405" s="464"/>
      <c r="K405" s="464"/>
      <c r="L405" s="464"/>
    </row>
    <row r="406" spans="7:12">
      <c r="G406" s="464"/>
      <c r="H406" s="464"/>
      <c r="I406" s="464"/>
      <c r="J406" s="464"/>
      <c r="K406" s="464"/>
      <c r="L406" s="464"/>
    </row>
    <row r="407" spans="7:12">
      <c r="G407" s="464"/>
      <c r="H407" s="464"/>
      <c r="I407" s="464"/>
      <c r="J407" s="464"/>
      <c r="K407" s="464"/>
      <c r="L407" s="464"/>
    </row>
    <row r="408" spans="7:12">
      <c r="G408" s="464"/>
      <c r="H408" s="464"/>
      <c r="I408" s="464"/>
      <c r="J408" s="464"/>
      <c r="K408" s="464"/>
      <c r="L408" s="464"/>
    </row>
    <row r="409" spans="7:12">
      <c r="G409" s="464"/>
      <c r="H409" s="464"/>
      <c r="I409" s="464"/>
      <c r="J409" s="464"/>
      <c r="K409" s="464"/>
      <c r="L409" s="464"/>
    </row>
    <row r="410" spans="7:12">
      <c r="G410" s="464"/>
      <c r="H410" s="464"/>
      <c r="I410" s="464"/>
      <c r="J410" s="464"/>
      <c r="K410" s="464"/>
      <c r="L410" s="464"/>
    </row>
    <row r="411" spans="7:12">
      <c r="G411" s="464"/>
      <c r="H411" s="464"/>
      <c r="I411" s="464"/>
      <c r="J411" s="464"/>
      <c r="K411" s="464"/>
      <c r="L411" s="464"/>
    </row>
    <row r="412" spans="7:12">
      <c r="G412" s="464"/>
      <c r="H412" s="464"/>
      <c r="I412" s="464"/>
      <c r="J412" s="464"/>
      <c r="K412" s="464"/>
      <c r="L412" s="464"/>
    </row>
    <row r="413" spans="7:12">
      <c r="G413" s="464"/>
      <c r="H413" s="464"/>
      <c r="I413" s="464"/>
      <c r="J413" s="464"/>
      <c r="K413" s="464"/>
      <c r="L413" s="464"/>
    </row>
    <row r="414" spans="7:12">
      <c r="G414" s="464"/>
      <c r="H414" s="464"/>
      <c r="I414" s="464"/>
      <c r="J414" s="464"/>
      <c r="K414" s="464"/>
      <c r="L414" s="464"/>
    </row>
    <row r="415" spans="7:12">
      <c r="G415" s="464"/>
      <c r="H415" s="464"/>
      <c r="I415" s="464"/>
      <c r="J415" s="464"/>
      <c r="K415" s="464"/>
      <c r="L415" s="464"/>
    </row>
    <row r="416" spans="7:12">
      <c r="G416" s="464"/>
      <c r="H416" s="464"/>
      <c r="I416" s="464"/>
      <c r="J416" s="464"/>
      <c r="K416" s="464"/>
      <c r="L416" s="464"/>
    </row>
    <row r="417" spans="7:12">
      <c r="G417" s="464"/>
      <c r="H417" s="464"/>
      <c r="I417" s="464"/>
      <c r="J417" s="464"/>
      <c r="K417" s="464"/>
      <c r="L417" s="464"/>
    </row>
    <row r="418" spans="7:12">
      <c r="G418" s="464"/>
      <c r="H418" s="464"/>
      <c r="I418" s="464"/>
      <c r="J418" s="464"/>
      <c r="K418" s="464"/>
      <c r="L418" s="464"/>
    </row>
    <row r="419" spans="7:12">
      <c r="G419" s="464"/>
      <c r="H419" s="464"/>
      <c r="I419" s="464"/>
      <c r="J419" s="464"/>
      <c r="K419" s="464"/>
      <c r="L419" s="464"/>
    </row>
    <row r="420" spans="7:12">
      <c r="G420" s="464"/>
      <c r="H420" s="464"/>
      <c r="I420" s="464"/>
      <c r="J420" s="464"/>
      <c r="K420" s="464"/>
      <c r="L420" s="464"/>
    </row>
    <row r="421" spans="7:12">
      <c r="G421" s="464"/>
      <c r="H421" s="464"/>
      <c r="I421" s="464"/>
      <c r="J421" s="464"/>
      <c r="K421" s="464"/>
      <c r="L421" s="464"/>
    </row>
    <row r="422" spans="7:12">
      <c r="G422" s="464"/>
      <c r="H422" s="464"/>
      <c r="I422" s="464"/>
      <c r="J422" s="464"/>
      <c r="K422" s="464"/>
      <c r="L422" s="464"/>
    </row>
    <row r="423" spans="7:12">
      <c r="G423" s="464"/>
      <c r="H423" s="464"/>
      <c r="I423" s="464"/>
      <c r="J423" s="464"/>
      <c r="K423" s="464"/>
      <c r="L423" s="464"/>
    </row>
    <row r="424" spans="7:12">
      <c r="G424" s="464"/>
      <c r="H424" s="464"/>
      <c r="I424" s="464"/>
      <c r="J424" s="464"/>
      <c r="K424" s="464"/>
      <c r="L424" s="464"/>
    </row>
    <row r="425" spans="7:12">
      <c r="G425" s="464"/>
      <c r="H425" s="464"/>
      <c r="I425" s="464"/>
      <c r="J425" s="464"/>
      <c r="K425" s="464"/>
      <c r="L425" s="464"/>
    </row>
    <row r="426" spans="7:12">
      <c r="G426" s="464"/>
      <c r="H426" s="464"/>
      <c r="I426" s="464"/>
      <c r="J426" s="464"/>
      <c r="K426" s="464"/>
      <c r="L426" s="464"/>
    </row>
    <row r="427" spans="7:12">
      <c r="G427" s="464"/>
      <c r="H427" s="464"/>
      <c r="I427" s="464"/>
      <c r="J427" s="464"/>
      <c r="K427" s="464"/>
      <c r="L427" s="464"/>
    </row>
    <row r="428" spans="7:12">
      <c r="G428" s="464"/>
      <c r="H428" s="464"/>
      <c r="I428" s="464"/>
      <c r="J428" s="464"/>
      <c r="K428" s="464"/>
      <c r="L428" s="464"/>
    </row>
    <row r="429" spans="7:12">
      <c r="G429" s="464"/>
      <c r="H429" s="464"/>
      <c r="I429" s="464"/>
      <c r="J429" s="464"/>
      <c r="K429" s="464"/>
      <c r="L429" s="464"/>
    </row>
    <row r="430" spans="7:12">
      <c r="G430" s="464"/>
      <c r="H430" s="464"/>
      <c r="I430" s="464"/>
      <c r="J430" s="464"/>
      <c r="K430" s="464"/>
      <c r="L430" s="464"/>
    </row>
    <row r="431" spans="7:12">
      <c r="G431" s="464"/>
      <c r="H431" s="464"/>
      <c r="I431" s="464"/>
      <c r="J431" s="464"/>
      <c r="K431" s="464"/>
      <c r="L431" s="464"/>
    </row>
    <row r="432" spans="7:12">
      <c r="G432" s="464"/>
      <c r="H432" s="464"/>
      <c r="I432" s="464"/>
      <c r="J432" s="464"/>
      <c r="K432" s="464"/>
      <c r="L432" s="464"/>
    </row>
    <row r="433" spans="7:12">
      <c r="G433" s="464"/>
      <c r="H433" s="464"/>
      <c r="I433" s="464"/>
      <c r="J433" s="464"/>
      <c r="K433" s="464"/>
      <c r="L433" s="464"/>
    </row>
    <row r="434" spans="7:12">
      <c r="G434" s="464"/>
      <c r="H434" s="464"/>
      <c r="I434" s="464"/>
      <c r="J434" s="464"/>
      <c r="K434" s="464"/>
      <c r="L434" s="464"/>
    </row>
    <row r="435" spans="7:12">
      <c r="G435" s="464"/>
      <c r="H435" s="464"/>
      <c r="I435" s="464"/>
      <c r="J435" s="464"/>
      <c r="K435" s="464"/>
      <c r="L435" s="464"/>
    </row>
    <row r="436" spans="7:12">
      <c r="G436" s="464"/>
      <c r="H436" s="464"/>
      <c r="I436" s="464"/>
      <c r="J436" s="464"/>
      <c r="K436" s="464"/>
      <c r="L436" s="464"/>
    </row>
    <row r="437" spans="7:12">
      <c r="G437" s="464"/>
      <c r="H437" s="464"/>
      <c r="I437" s="464"/>
      <c r="J437" s="464"/>
      <c r="K437" s="464"/>
      <c r="L437" s="464"/>
    </row>
    <row r="438" spans="7:12">
      <c r="G438" s="464"/>
      <c r="H438" s="464"/>
      <c r="I438" s="464"/>
      <c r="J438" s="464"/>
      <c r="K438" s="464"/>
      <c r="L438" s="464"/>
    </row>
    <row r="439" spans="7:12">
      <c r="G439" s="464"/>
      <c r="H439" s="464"/>
      <c r="I439" s="464"/>
      <c r="J439" s="464"/>
      <c r="K439" s="464"/>
      <c r="L439" s="464"/>
    </row>
    <row r="440" spans="7:12">
      <c r="G440" s="464"/>
      <c r="H440" s="464"/>
      <c r="I440" s="464"/>
      <c r="J440" s="464"/>
      <c r="K440" s="464"/>
      <c r="L440" s="464"/>
    </row>
    <row r="441" spans="7:12">
      <c r="G441" s="464"/>
      <c r="H441" s="464"/>
      <c r="I441" s="464"/>
      <c r="J441" s="464"/>
      <c r="K441" s="464"/>
      <c r="L441" s="464"/>
    </row>
    <row r="442" spans="7:12">
      <c r="G442" s="464"/>
      <c r="H442" s="464"/>
      <c r="I442" s="464"/>
      <c r="J442" s="464"/>
      <c r="K442" s="464"/>
      <c r="L442" s="464"/>
    </row>
    <row r="443" spans="7:12">
      <c r="G443" s="464"/>
      <c r="H443" s="464"/>
      <c r="I443" s="464"/>
      <c r="J443" s="464"/>
      <c r="K443" s="464"/>
      <c r="L443" s="464"/>
    </row>
    <row r="444" spans="7:12">
      <c r="G444" s="464"/>
      <c r="H444" s="464"/>
      <c r="I444" s="464"/>
      <c r="J444" s="464"/>
      <c r="K444" s="464"/>
      <c r="L444" s="464"/>
    </row>
    <row r="445" spans="7:12">
      <c r="G445" s="464"/>
      <c r="H445" s="464"/>
      <c r="I445" s="464"/>
      <c r="J445" s="464"/>
      <c r="K445" s="464"/>
      <c r="L445" s="464"/>
    </row>
    <row r="446" spans="7:12">
      <c r="G446" s="464"/>
      <c r="H446" s="464"/>
      <c r="I446" s="464"/>
      <c r="J446" s="464"/>
      <c r="K446" s="464"/>
      <c r="L446" s="464"/>
    </row>
    <row r="447" spans="7:12">
      <c r="G447" s="464"/>
      <c r="H447" s="464"/>
      <c r="I447" s="464"/>
      <c r="J447" s="464"/>
      <c r="K447" s="464"/>
      <c r="L447" s="464"/>
    </row>
    <row r="448" spans="7:12">
      <c r="G448" s="464"/>
      <c r="H448" s="464"/>
      <c r="I448" s="464"/>
      <c r="J448" s="464"/>
      <c r="K448" s="464"/>
      <c r="L448" s="464"/>
    </row>
    <row r="449" spans="7:12">
      <c r="G449" s="464"/>
      <c r="H449" s="464"/>
      <c r="I449" s="464"/>
      <c r="J449" s="464"/>
      <c r="K449" s="464"/>
      <c r="L449" s="464"/>
    </row>
    <row r="450" spans="7:12">
      <c r="G450" s="464"/>
      <c r="H450" s="464"/>
      <c r="I450" s="464"/>
      <c r="J450" s="464"/>
      <c r="K450" s="464"/>
      <c r="L450" s="464"/>
    </row>
    <row r="451" spans="7:12">
      <c r="G451" s="464"/>
      <c r="H451" s="464"/>
      <c r="I451" s="464"/>
      <c r="J451" s="464"/>
      <c r="K451" s="464"/>
      <c r="L451" s="464"/>
    </row>
    <row r="452" spans="7:12">
      <c r="G452" s="464"/>
      <c r="H452" s="464"/>
      <c r="I452" s="464"/>
      <c r="J452" s="464"/>
      <c r="K452" s="464"/>
      <c r="L452" s="464"/>
    </row>
    <row r="453" spans="7:12">
      <c r="G453" s="464"/>
      <c r="H453" s="464"/>
      <c r="I453" s="464"/>
      <c r="J453" s="464"/>
      <c r="K453" s="464"/>
      <c r="L453" s="464"/>
    </row>
    <row r="454" spans="7:12">
      <c r="G454" s="464"/>
      <c r="H454" s="464"/>
      <c r="I454" s="464"/>
      <c r="J454" s="464"/>
      <c r="K454" s="464"/>
      <c r="L454" s="464"/>
    </row>
    <row r="455" spans="7:12">
      <c r="G455" s="464"/>
      <c r="H455" s="464"/>
      <c r="I455" s="464"/>
      <c r="J455" s="464"/>
      <c r="K455" s="464"/>
      <c r="L455" s="464"/>
    </row>
    <row r="456" spans="7:12">
      <c r="G456" s="464"/>
      <c r="H456" s="464"/>
      <c r="I456" s="464"/>
      <c r="J456" s="464"/>
      <c r="K456" s="464"/>
      <c r="L456" s="464"/>
    </row>
    <row r="457" spans="7:12">
      <c r="G457" s="464"/>
      <c r="H457" s="464"/>
      <c r="I457" s="464"/>
      <c r="J457" s="464"/>
      <c r="K457" s="464"/>
      <c r="L457" s="464"/>
    </row>
    <row r="458" spans="7:12">
      <c r="G458" s="464"/>
      <c r="H458" s="464"/>
      <c r="I458" s="464"/>
      <c r="J458" s="464"/>
      <c r="K458" s="464"/>
      <c r="L458" s="464"/>
    </row>
    <row r="459" spans="7:12">
      <c r="G459" s="464"/>
      <c r="H459" s="464"/>
      <c r="I459" s="464"/>
      <c r="J459" s="464"/>
      <c r="K459" s="464"/>
      <c r="L459" s="464"/>
    </row>
    <row r="460" spans="7:12">
      <c r="G460" s="464"/>
      <c r="H460" s="464"/>
      <c r="I460" s="464"/>
      <c r="J460" s="464"/>
      <c r="K460" s="464"/>
      <c r="L460" s="464"/>
    </row>
    <row r="461" spans="7:12">
      <c r="G461" s="464"/>
      <c r="H461" s="464"/>
      <c r="I461" s="464"/>
      <c r="J461" s="464"/>
      <c r="K461" s="464"/>
      <c r="L461" s="464"/>
    </row>
    <row r="462" spans="7:12">
      <c r="G462" s="464"/>
      <c r="H462" s="464"/>
      <c r="I462" s="464"/>
      <c r="J462" s="464"/>
      <c r="K462" s="464"/>
      <c r="L462" s="464"/>
    </row>
    <row r="463" spans="7:12">
      <c r="G463" s="464"/>
      <c r="H463" s="464"/>
      <c r="I463" s="464"/>
      <c r="J463" s="464"/>
      <c r="K463" s="464"/>
      <c r="L463" s="464"/>
    </row>
    <row r="464" spans="7:12">
      <c r="G464" s="464"/>
      <c r="H464" s="464"/>
      <c r="I464" s="464"/>
      <c r="J464" s="464"/>
      <c r="K464" s="464"/>
      <c r="L464" s="464"/>
    </row>
    <row r="465" spans="7:12">
      <c r="G465" s="464"/>
      <c r="H465" s="464"/>
      <c r="I465" s="464"/>
      <c r="J465" s="464"/>
      <c r="K465" s="464"/>
      <c r="L465" s="464"/>
    </row>
    <row r="466" spans="7:12">
      <c r="G466" s="464"/>
      <c r="H466" s="464"/>
      <c r="I466" s="464"/>
      <c r="J466" s="464"/>
      <c r="K466" s="464"/>
      <c r="L466" s="464"/>
    </row>
    <row r="467" spans="7:12">
      <c r="G467" s="464"/>
      <c r="H467" s="464"/>
      <c r="I467" s="464"/>
      <c r="J467" s="464"/>
      <c r="K467" s="464"/>
      <c r="L467" s="464"/>
    </row>
    <row r="468" spans="7:12">
      <c r="G468" s="464"/>
      <c r="H468" s="464"/>
      <c r="I468" s="464"/>
      <c r="J468" s="464"/>
      <c r="K468" s="464"/>
      <c r="L468" s="464"/>
    </row>
    <row r="469" spans="7:12">
      <c r="G469" s="464"/>
      <c r="H469" s="464"/>
      <c r="I469" s="464"/>
      <c r="J469" s="464"/>
      <c r="K469" s="464"/>
      <c r="L469" s="464"/>
    </row>
    <row r="470" spans="7:12">
      <c r="G470" s="464"/>
      <c r="H470" s="464"/>
      <c r="I470" s="464"/>
      <c r="J470" s="464"/>
      <c r="K470" s="464"/>
      <c r="L470" s="464"/>
    </row>
    <row r="471" spans="7:12">
      <c r="G471" s="464"/>
      <c r="H471" s="464"/>
      <c r="I471" s="464"/>
      <c r="J471" s="464"/>
      <c r="K471" s="464"/>
      <c r="L471" s="464"/>
    </row>
    <row r="472" spans="7:12">
      <c r="G472" s="464"/>
      <c r="H472" s="464"/>
      <c r="I472" s="464"/>
      <c r="J472" s="464"/>
      <c r="K472" s="464"/>
      <c r="L472" s="464"/>
    </row>
    <row r="473" spans="7:12">
      <c r="G473" s="464"/>
      <c r="H473" s="464"/>
      <c r="I473" s="464"/>
      <c r="J473" s="464"/>
      <c r="K473" s="464"/>
      <c r="L473" s="464"/>
    </row>
    <row r="474" spans="7:12">
      <c r="G474" s="464"/>
      <c r="H474" s="464"/>
      <c r="I474" s="464"/>
      <c r="J474" s="464"/>
      <c r="K474" s="464"/>
      <c r="L474" s="464"/>
    </row>
    <row r="475" spans="7:12">
      <c r="G475" s="464"/>
      <c r="H475" s="464"/>
      <c r="I475" s="464"/>
      <c r="J475" s="464"/>
      <c r="K475" s="464"/>
      <c r="L475" s="464"/>
    </row>
    <row r="476" spans="7:12">
      <c r="G476" s="464"/>
      <c r="H476" s="464"/>
      <c r="I476" s="464"/>
      <c r="J476" s="464"/>
      <c r="K476" s="464"/>
      <c r="L476" s="464"/>
    </row>
    <row r="477" spans="7:12">
      <c r="G477" s="464"/>
      <c r="H477" s="464"/>
      <c r="I477" s="464"/>
      <c r="J477" s="464"/>
      <c r="K477" s="464"/>
      <c r="L477" s="464"/>
    </row>
    <row r="478" spans="7:12">
      <c r="G478" s="464"/>
      <c r="H478" s="464"/>
      <c r="I478" s="464"/>
      <c r="J478" s="464"/>
      <c r="K478" s="464"/>
      <c r="L478" s="464"/>
    </row>
    <row r="479" spans="7:12">
      <c r="G479" s="464"/>
      <c r="H479" s="464"/>
      <c r="I479" s="464"/>
      <c r="J479" s="464"/>
      <c r="K479" s="464"/>
      <c r="L479" s="464"/>
    </row>
    <row r="480" spans="7:12">
      <c r="G480" s="464"/>
      <c r="H480" s="464"/>
      <c r="I480" s="464"/>
      <c r="J480" s="464"/>
      <c r="K480" s="464"/>
      <c r="L480" s="464"/>
    </row>
    <row r="481" spans="7:12">
      <c r="G481" s="464"/>
      <c r="H481" s="464"/>
      <c r="I481" s="464"/>
      <c r="J481" s="464"/>
      <c r="K481" s="464"/>
      <c r="L481" s="464"/>
    </row>
    <row r="482" spans="7:12">
      <c r="G482" s="464"/>
      <c r="H482" s="464"/>
      <c r="I482" s="464"/>
      <c r="J482" s="464"/>
      <c r="K482" s="464"/>
      <c r="L482" s="464"/>
    </row>
    <row r="483" spans="7:12">
      <c r="G483" s="464"/>
      <c r="H483" s="464"/>
      <c r="I483" s="464"/>
      <c r="J483" s="464"/>
      <c r="K483" s="464"/>
      <c r="L483" s="464"/>
    </row>
    <row r="484" spans="7:12">
      <c r="G484" s="464"/>
      <c r="H484" s="464"/>
      <c r="I484" s="464"/>
      <c r="J484" s="464"/>
      <c r="K484" s="464"/>
      <c r="L484" s="464"/>
    </row>
    <row r="485" spans="7:12">
      <c r="G485" s="464"/>
      <c r="H485" s="464"/>
      <c r="I485" s="464"/>
      <c r="J485" s="464"/>
      <c r="K485" s="464"/>
      <c r="L485" s="464"/>
    </row>
    <row r="486" spans="7:12">
      <c r="G486" s="464"/>
      <c r="H486" s="464"/>
      <c r="I486" s="464"/>
      <c r="J486" s="464"/>
      <c r="K486" s="464"/>
      <c r="L486" s="464"/>
    </row>
    <row r="487" spans="7:12">
      <c r="G487" s="464"/>
      <c r="H487" s="464"/>
      <c r="I487" s="464"/>
      <c r="J487" s="464"/>
      <c r="K487" s="464"/>
      <c r="L487" s="464"/>
    </row>
    <row r="488" spans="7:12">
      <c r="G488" s="464"/>
      <c r="H488" s="464"/>
      <c r="I488" s="464"/>
      <c r="J488" s="464"/>
      <c r="K488" s="464"/>
      <c r="L488" s="464"/>
    </row>
    <row r="489" spans="7:12">
      <c r="G489" s="464"/>
      <c r="H489" s="464"/>
      <c r="I489" s="464"/>
      <c r="J489" s="464"/>
      <c r="K489" s="464"/>
      <c r="L489" s="464"/>
    </row>
    <row r="490" spans="7:12">
      <c r="G490" s="464"/>
      <c r="H490" s="464"/>
      <c r="I490" s="464"/>
      <c r="J490" s="464"/>
      <c r="K490" s="464"/>
      <c r="L490" s="464"/>
    </row>
    <row r="491" spans="7:12">
      <c r="G491" s="464"/>
      <c r="H491" s="464"/>
      <c r="I491" s="464"/>
      <c r="J491" s="464"/>
      <c r="K491" s="464"/>
      <c r="L491" s="464"/>
    </row>
    <row r="492" spans="7:12">
      <c r="G492" s="464"/>
      <c r="H492" s="464"/>
      <c r="I492" s="464"/>
      <c r="J492" s="464"/>
      <c r="K492" s="464"/>
      <c r="L492" s="464"/>
    </row>
    <row r="493" spans="7:12">
      <c r="G493" s="464"/>
      <c r="H493" s="464"/>
      <c r="I493" s="464"/>
      <c r="J493" s="464"/>
      <c r="K493" s="464"/>
      <c r="L493" s="464"/>
    </row>
    <row r="494" spans="7:12">
      <c r="G494" s="464"/>
      <c r="H494" s="464"/>
      <c r="I494" s="464"/>
      <c r="J494" s="464"/>
      <c r="K494" s="464"/>
      <c r="L494" s="464"/>
    </row>
    <row r="495" spans="7:12">
      <c r="G495" s="464"/>
      <c r="H495" s="464"/>
      <c r="I495" s="464"/>
      <c r="J495" s="464"/>
      <c r="K495" s="464"/>
      <c r="L495" s="464"/>
    </row>
    <row r="496" spans="7:12">
      <c r="G496" s="464"/>
      <c r="H496" s="464"/>
      <c r="I496" s="464"/>
      <c r="J496" s="464"/>
      <c r="K496" s="464"/>
      <c r="L496" s="464"/>
    </row>
    <row r="497" spans="7:12">
      <c r="G497" s="464"/>
      <c r="H497" s="464"/>
      <c r="I497" s="464"/>
      <c r="J497" s="464"/>
      <c r="K497" s="464"/>
      <c r="L497" s="464"/>
    </row>
    <row r="498" spans="7:12">
      <c r="G498" s="464"/>
      <c r="H498" s="464"/>
      <c r="I498" s="464"/>
      <c r="J498" s="464"/>
      <c r="K498" s="464"/>
      <c r="L498" s="464"/>
    </row>
    <row r="499" spans="7:12">
      <c r="G499" s="464"/>
      <c r="H499" s="464"/>
      <c r="I499" s="464"/>
      <c r="J499" s="464"/>
      <c r="K499" s="464"/>
      <c r="L499" s="464"/>
    </row>
    <row r="500" spans="7:12">
      <c r="G500" s="464"/>
      <c r="H500" s="464"/>
      <c r="I500" s="464"/>
      <c r="J500" s="464"/>
      <c r="K500" s="464"/>
      <c r="L500" s="464"/>
    </row>
    <row r="501" spans="7:12">
      <c r="G501" s="464"/>
      <c r="H501" s="464"/>
      <c r="I501" s="464"/>
      <c r="J501" s="464"/>
      <c r="K501" s="464"/>
      <c r="L501" s="464"/>
    </row>
    <row r="502" spans="7:12">
      <c r="G502" s="464"/>
      <c r="H502" s="464"/>
      <c r="I502" s="464"/>
      <c r="J502" s="464"/>
      <c r="K502" s="464"/>
      <c r="L502" s="464"/>
    </row>
    <row r="503" spans="7:12">
      <c r="G503" s="464"/>
      <c r="H503" s="464"/>
      <c r="I503" s="464"/>
      <c r="J503" s="464"/>
      <c r="K503" s="464"/>
      <c r="L503" s="464"/>
    </row>
    <row r="504" spans="7:12">
      <c r="G504" s="464"/>
      <c r="H504" s="464"/>
      <c r="I504" s="464"/>
      <c r="J504" s="464"/>
      <c r="K504" s="464"/>
      <c r="L504" s="464"/>
    </row>
    <row r="505" spans="7:12">
      <c r="G505" s="464"/>
      <c r="H505" s="464"/>
      <c r="I505" s="464"/>
      <c r="J505" s="464"/>
      <c r="K505" s="464"/>
      <c r="L505" s="464"/>
    </row>
    <row r="506" spans="7:12">
      <c r="G506" s="464"/>
      <c r="H506" s="464"/>
      <c r="I506" s="464"/>
      <c r="J506" s="464"/>
      <c r="K506" s="464"/>
      <c r="L506" s="464"/>
    </row>
    <row r="507" spans="7:12">
      <c r="G507" s="464"/>
      <c r="H507" s="464"/>
      <c r="I507" s="464"/>
      <c r="J507" s="464"/>
      <c r="K507" s="464"/>
      <c r="L507" s="464"/>
    </row>
    <row r="508" spans="7:12">
      <c r="G508" s="464"/>
      <c r="H508" s="464"/>
      <c r="I508" s="464"/>
      <c r="J508" s="464"/>
      <c r="K508" s="464"/>
      <c r="L508" s="464"/>
    </row>
    <row r="509" spans="7:12">
      <c r="G509" s="464"/>
      <c r="H509" s="464"/>
      <c r="I509" s="464"/>
      <c r="J509" s="464"/>
      <c r="K509" s="464"/>
      <c r="L509" s="464"/>
    </row>
    <row r="510" spans="7:12">
      <c r="G510" s="464"/>
      <c r="H510" s="464"/>
      <c r="I510" s="464"/>
      <c r="J510" s="464"/>
      <c r="K510" s="464"/>
      <c r="L510" s="464"/>
    </row>
    <row r="511" spans="7:12">
      <c r="G511" s="464"/>
      <c r="H511" s="464"/>
      <c r="I511" s="464"/>
      <c r="J511" s="464"/>
      <c r="K511" s="464"/>
      <c r="L511" s="464"/>
    </row>
    <row r="512" spans="7:12">
      <c r="G512" s="464"/>
      <c r="H512" s="464"/>
      <c r="I512" s="464"/>
      <c r="J512" s="464"/>
      <c r="K512" s="464"/>
      <c r="L512" s="464"/>
    </row>
    <row r="513" spans="7:12">
      <c r="G513" s="464"/>
      <c r="H513" s="464"/>
      <c r="I513" s="464"/>
      <c r="J513" s="464"/>
      <c r="K513" s="464"/>
      <c r="L513" s="464"/>
    </row>
    <row r="514" spans="7:12">
      <c r="G514" s="464"/>
      <c r="H514" s="464"/>
      <c r="I514" s="464"/>
      <c r="J514" s="464"/>
      <c r="K514" s="464"/>
      <c r="L514" s="464"/>
    </row>
    <row r="515" spans="7:12">
      <c r="G515" s="464"/>
      <c r="H515" s="464"/>
      <c r="I515" s="464"/>
      <c r="J515" s="464"/>
      <c r="K515" s="464"/>
      <c r="L515" s="464"/>
    </row>
    <row r="516" spans="7:12">
      <c r="G516" s="464"/>
      <c r="H516" s="464"/>
      <c r="I516" s="464"/>
      <c r="J516" s="464"/>
      <c r="K516" s="464"/>
      <c r="L516" s="464"/>
    </row>
    <row r="517" spans="7:12">
      <c r="G517" s="464"/>
      <c r="H517" s="464"/>
      <c r="I517" s="464"/>
      <c r="J517" s="464"/>
      <c r="K517" s="464"/>
      <c r="L517" s="464"/>
    </row>
    <row r="518" spans="7:12">
      <c r="G518" s="464"/>
      <c r="H518" s="464"/>
      <c r="I518" s="464"/>
      <c r="J518" s="464"/>
      <c r="K518" s="464"/>
      <c r="L518" s="464"/>
    </row>
    <row r="519" spans="7:12">
      <c r="G519" s="464"/>
      <c r="H519" s="464"/>
      <c r="I519" s="464"/>
      <c r="J519" s="464"/>
      <c r="K519" s="464"/>
      <c r="L519" s="464"/>
    </row>
    <row r="520" spans="7:12">
      <c r="G520" s="464"/>
      <c r="H520" s="464"/>
      <c r="I520" s="464"/>
      <c r="J520" s="464"/>
      <c r="K520" s="464"/>
      <c r="L520" s="464"/>
    </row>
    <row r="521" spans="7:12">
      <c r="G521" s="464"/>
      <c r="H521" s="464"/>
      <c r="I521" s="464"/>
      <c r="J521" s="464"/>
      <c r="K521" s="464"/>
      <c r="L521" s="464"/>
    </row>
    <row r="522" spans="7:12">
      <c r="G522" s="464"/>
      <c r="H522" s="464"/>
      <c r="I522" s="464"/>
      <c r="J522" s="464"/>
      <c r="K522" s="464"/>
      <c r="L522" s="464"/>
    </row>
    <row r="523" spans="7:12">
      <c r="G523" s="464"/>
      <c r="H523" s="464"/>
      <c r="I523" s="464"/>
      <c r="J523" s="464"/>
      <c r="K523" s="464"/>
      <c r="L523" s="464"/>
    </row>
    <row r="524" spans="7:12">
      <c r="G524" s="464"/>
      <c r="H524" s="464"/>
      <c r="I524" s="464"/>
      <c r="J524" s="464"/>
      <c r="K524" s="464"/>
      <c r="L524" s="464"/>
    </row>
    <row r="525" spans="7:12">
      <c r="G525" s="464"/>
      <c r="H525" s="464"/>
      <c r="I525" s="464"/>
      <c r="J525" s="464"/>
      <c r="K525" s="464"/>
      <c r="L525" s="464"/>
    </row>
    <row r="526" spans="7:12">
      <c r="G526" s="464"/>
      <c r="H526" s="464"/>
      <c r="I526" s="464"/>
      <c r="J526" s="464"/>
      <c r="K526" s="464"/>
      <c r="L526" s="464"/>
    </row>
    <row r="527" spans="7:12">
      <c r="G527" s="464"/>
      <c r="H527" s="464"/>
      <c r="I527" s="464"/>
      <c r="J527" s="464"/>
      <c r="K527" s="464"/>
      <c r="L527" s="464"/>
    </row>
    <row r="528" spans="7:12">
      <c r="G528" s="464"/>
      <c r="H528" s="464"/>
      <c r="I528" s="464"/>
      <c r="J528" s="464"/>
      <c r="K528" s="464"/>
      <c r="L528" s="464"/>
    </row>
    <row r="529" spans="7:12">
      <c r="G529" s="464"/>
      <c r="H529" s="464"/>
      <c r="I529" s="464"/>
      <c r="J529" s="464"/>
      <c r="K529" s="464"/>
      <c r="L529" s="464"/>
    </row>
    <row r="530" spans="7:12">
      <c r="G530" s="464"/>
      <c r="H530" s="464"/>
      <c r="I530" s="464"/>
      <c r="J530" s="464"/>
      <c r="K530" s="464"/>
      <c r="L530" s="464"/>
    </row>
    <row r="531" spans="7:12">
      <c r="G531" s="464"/>
      <c r="H531" s="464"/>
      <c r="I531" s="464"/>
      <c r="J531" s="464"/>
      <c r="K531" s="464"/>
      <c r="L531" s="464"/>
    </row>
    <row r="532" spans="7:12">
      <c r="G532" s="464"/>
      <c r="H532" s="464"/>
      <c r="I532" s="464"/>
      <c r="J532" s="464"/>
      <c r="K532" s="464"/>
      <c r="L532" s="464"/>
    </row>
    <row r="533" spans="7:12">
      <c r="G533" s="464"/>
      <c r="H533" s="464"/>
      <c r="I533" s="464"/>
      <c r="J533" s="464"/>
      <c r="K533" s="464"/>
      <c r="L533" s="464"/>
    </row>
    <row r="534" spans="7:12">
      <c r="G534" s="464"/>
      <c r="H534" s="464"/>
      <c r="I534" s="464"/>
      <c r="J534" s="464"/>
      <c r="K534" s="464"/>
      <c r="L534" s="464"/>
    </row>
    <row r="535" spans="7:12">
      <c r="G535" s="464"/>
      <c r="H535" s="464"/>
      <c r="I535" s="464"/>
      <c r="J535" s="464"/>
      <c r="K535" s="464"/>
      <c r="L535" s="464"/>
    </row>
    <row r="536" spans="7:12">
      <c r="G536" s="464"/>
      <c r="H536" s="464"/>
      <c r="I536" s="464"/>
      <c r="J536" s="464"/>
      <c r="K536" s="464"/>
      <c r="L536" s="464"/>
    </row>
    <row r="537" spans="7:12">
      <c r="G537" s="464"/>
      <c r="H537" s="464"/>
      <c r="I537" s="464"/>
      <c r="J537" s="464"/>
      <c r="K537" s="464"/>
      <c r="L537" s="464"/>
    </row>
    <row r="538" spans="7:12">
      <c r="G538" s="464"/>
      <c r="H538" s="464"/>
      <c r="I538" s="464"/>
      <c r="J538" s="464"/>
      <c r="K538" s="464"/>
      <c r="L538" s="464"/>
    </row>
    <row r="539" spans="7:12">
      <c r="G539" s="464"/>
      <c r="H539" s="464"/>
      <c r="I539" s="464"/>
      <c r="J539" s="464"/>
      <c r="K539" s="464"/>
      <c r="L539" s="464"/>
    </row>
    <row r="540" spans="7:12">
      <c r="G540" s="464"/>
      <c r="H540" s="464"/>
      <c r="I540" s="464"/>
      <c r="J540" s="464"/>
      <c r="K540" s="464"/>
      <c r="L540" s="464"/>
    </row>
    <row r="541" spans="7:12">
      <c r="G541" s="464"/>
      <c r="H541" s="464"/>
      <c r="I541" s="464"/>
      <c r="J541" s="464"/>
      <c r="K541" s="464"/>
      <c r="L541" s="464"/>
    </row>
    <row r="542" spans="7:12">
      <c r="G542" s="464"/>
      <c r="H542" s="464"/>
      <c r="I542" s="464"/>
      <c r="J542" s="464"/>
      <c r="K542" s="464"/>
      <c r="L542" s="464"/>
    </row>
    <row r="543" spans="7:12">
      <c r="G543" s="464"/>
      <c r="H543" s="464"/>
      <c r="I543" s="464"/>
      <c r="J543" s="464"/>
      <c r="K543" s="464"/>
      <c r="L543" s="464"/>
    </row>
    <row r="544" spans="7:12">
      <c r="G544" s="464"/>
      <c r="H544" s="464"/>
      <c r="I544" s="464"/>
      <c r="J544" s="464"/>
      <c r="K544" s="464"/>
      <c r="L544" s="464"/>
    </row>
    <row r="545" spans="7:12">
      <c r="G545" s="464"/>
      <c r="H545" s="464"/>
      <c r="I545" s="464"/>
      <c r="J545" s="464"/>
      <c r="K545" s="464"/>
      <c r="L545" s="464"/>
    </row>
    <row r="546" spans="7:12">
      <c r="G546" s="464"/>
      <c r="H546" s="464"/>
      <c r="I546" s="464"/>
      <c r="J546" s="464"/>
      <c r="K546" s="464"/>
      <c r="L546" s="464"/>
    </row>
    <row r="547" spans="7:12">
      <c r="G547" s="464"/>
      <c r="H547" s="464"/>
      <c r="I547" s="464"/>
      <c r="J547" s="464"/>
      <c r="K547" s="464"/>
      <c r="L547" s="464"/>
    </row>
    <row r="548" spans="7:12">
      <c r="G548" s="464"/>
      <c r="H548" s="464"/>
      <c r="I548" s="464"/>
      <c r="J548" s="464"/>
      <c r="K548" s="464"/>
      <c r="L548" s="464"/>
    </row>
    <row r="549" spans="7:12">
      <c r="G549" s="464"/>
      <c r="H549" s="464"/>
      <c r="I549" s="464"/>
      <c r="J549" s="464"/>
      <c r="K549" s="464"/>
      <c r="L549" s="464"/>
    </row>
    <row r="550" spans="7:12">
      <c r="G550" s="464"/>
      <c r="H550" s="464"/>
      <c r="I550" s="464"/>
      <c r="J550" s="464"/>
      <c r="K550" s="464"/>
      <c r="L550" s="464"/>
    </row>
    <row r="551" spans="7:12">
      <c r="G551" s="464"/>
      <c r="H551" s="464"/>
      <c r="I551" s="464"/>
      <c r="J551" s="464"/>
      <c r="K551" s="464"/>
      <c r="L551" s="464"/>
    </row>
    <row r="552" spans="7:12">
      <c r="G552" s="464"/>
      <c r="H552" s="464"/>
      <c r="I552" s="464"/>
      <c r="J552" s="464"/>
      <c r="K552" s="464"/>
      <c r="L552" s="464"/>
    </row>
    <row r="553" spans="7:12">
      <c r="G553" s="464"/>
      <c r="H553" s="464"/>
      <c r="I553" s="464"/>
      <c r="J553" s="464"/>
      <c r="K553" s="464"/>
      <c r="L553" s="464"/>
    </row>
    <row r="554" spans="7:12">
      <c r="G554" s="464"/>
      <c r="H554" s="464"/>
      <c r="I554" s="464"/>
      <c r="J554" s="464"/>
      <c r="K554" s="464"/>
      <c r="L554" s="464"/>
    </row>
    <row r="555" spans="7:12">
      <c r="G555" s="464"/>
      <c r="H555" s="464"/>
      <c r="I555" s="464"/>
      <c r="J555" s="464"/>
      <c r="K555" s="464"/>
      <c r="L555" s="464"/>
    </row>
    <row r="556" spans="7:12">
      <c r="G556" s="464"/>
      <c r="H556" s="464"/>
      <c r="I556" s="464"/>
      <c r="J556" s="464"/>
      <c r="K556" s="464"/>
      <c r="L556" s="464"/>
    </row>
    <row r="557" spans="7:12">
      <c r="G557" s="464"/>
      <c r="H557" s="464"/>
      <c r="I557" s="464"/>
      <c r="J557" s="464"/>
      <c r="K557" s="464"/>
      <c r="L557" s="464"/>
    </row>
    <row r="558" spans="7:12">
      <c r="G558" s="464"/>
      <c r="H558" s="464"/>
      <c r="I558" s="464"/>
      <c r="J558" s="464"/>
      <c r="K558" s="464"/>
      <c r="L558" s="464"/>
    </row>
    <row r="559" spans="7:12">
      <c r="G559" s="464"/>
      <c r="H559" s="464"/>
      <c r="I559" s="464"/>
      <c r="J559" s="464"/>
      <c r="K559" s="464"/>
      <c r="L559" s="464"/>
    </row>
    <row r="560" spans="7:12">
      <c r="G560" s="464"/>
      <c r="H560" s="464"/>
      <c r="I560" s="464"/>
      <c r="J560" s="464"/>
      <c r="K560" s="464"/>
      <c r="L560" s="464"/>
    </row>
    <row r="561" spans="7:12">
      <c r="G561" s="464"/>
      <c r="H561" s="464"/>
      <c r="I561" s="464"/>
      <c r="J561" s="464"/>
      <c r="K561" s="464"/>
      <c r="L561" s="464"/>
    </row>
    <row r="562" spans="7:12">
      <c r="G562" s="464"/>
      <c r="H562" s="464"/>
      <c r="I562" s="464"/>
      <c r="J562" s="464"/>
      <c r="K562" s="464"/>
      <c r="L562" s="464"/>
    </row>
    <row r="563" spans="7:12">
      <c r="G563" s="464"/>
      <c r="H563" s="464"/>
      <c r="I563" s="464"/>
      <c r="J563" s="464"/>
      <c r="K563" s="464"/>
      <c r="L563" s="464"/>
    </row>
    <row r="564" spans="7:12">
      <c r="G564" s="464"/>
      <c r="H564" s="464"/>
      <c r="I564" s="464"/>
      <c r="J564" s="464"/>
      <c r="K564" s="464"/>
      <c r="L564" s="464"/>
    </row>
    <row r="565" spans="7:12">
      <c r="G565" s="464"/>
      <c r="H565" s="464"/>
      <c r="I565" s="464"/>
      <c r="J565" s="464"/>
      <c r="K565" s="464"/>
      <c r="L565" s="464"/>
    </row>
    <row r="566" spans="7:12">
      <c r="G566" s="464"/>
      <c r="H566" s="464"/>
      <c r="I566" s="464"/>
      <c r="J566" s="464"/>
      <c r="K566" s="464"/>
      <c r="L566" s="464"/>
    </row>
    <row r="567" spans="7:12">
      <c r="G567" s="464"/>
      <c r="H567" s="464"/>
      <c r="I567" s="464"/>
      <c r="J567" s="464"/>
      <c r="K567" s="464"/>
      <c r="L567" s="464"/>
    </row>
    <row r="568" spans="7:12">
      <c r="G568" s="464"/>
      <c r="H568" s="464"/>
      <c r="I568" s="464"/>
      <c r="J568" s="464"/>
      <c r="K568" s="464"/>
      <c r="L568" s="464"/>
    </row>
    <row r="569" spans="7:12">
      <c r="G569" s="464"/>
      <c r="H569" s="464"/>
      <c r="I569" s="464"/>
      <c r="J569" s="464"/>
      <c r="K569" s="464"/>
      <c r="L569" s="464"/>
    </row>
    <row r="570" spans="7:12">
      <c r="G570" s="464"/>
      <c r="H570" s="464"/>
      <c r="I570" s="464"/>
      <c r="J570" s="464"/>
      <c r="K570" s="464"/>
      <c r="L570" s="464"/>
    </row>
    <row r="571" spans="7:12">
      <c r="G571" s="464"/>
      <c r="H571" s="464"/>
      <c r="I571" s="464"/>
      <c r="J571" s="464"/>
      <c r="K571" s="464"/>
      <c r="L571" s="464"/>
    </row>
    <row r="572" spans="7:12">
      <c r="G572" s="464"/>
      <c r="H572" s="464"/>
      <c r="I572" s="464"/>
      <c r="J572" s="464"/>
      <c r="K572" s="464"/>
      <c r="L572" s="464"/>
    </row>
    <row r="573" spans="7:12">
      <c r="G573" s="464"/>
      <c r="H573" s="464"/>
      <c r="I573" s="464"/>
      <c r="J573" s="464"/>
      <c r="K573" s="464"/>
      <c r="L573" s="464"/>
    </row>
    <row r="574" spans="7:12">
      <c r="G574" s="464"/>
      <c r="H574" s="464"/>
      <c r="I574" s="464"/>
      <c r="J574" s="464"/>
      <c r="K574" s="464"/>
      <c r="L574" s="464"/>
    </row>
    <row r="575" spans="7:12">
      <c r="G575" s="464"/>
      <c r="H575" s="464"/>
      <c r="I575" s="464"/>
      <c r="J575" s="464"/>
      <c r="K575" s="464"/>
      <c r="L575" s="464"/>
    </row>
    <row r="576" spans="7:12">
      <c r="G576" s="464"/>
      <c r="H576" s="464"/>
      <c r="I576" s="464"/>
      <c r="J576" s="464"/>
      <c r="K576" s="464"/>
      <c r="L576" s="464"/>
    </row>
    <row r="577" spans="7:12">
      <c r="G577" s="464"/>
      <c r="H577" s="464"/>
      <c r="I577" s="464"/>
      <c r="J577" s="464"/>
      <c r="K577" s="464"/>
      <c r="L577" s="464"/>
    </row>
    <row r="578" spans="7:12">
      <c r="G578" s="464"/>
      <c r="H578" s="464"/>
      <c r="I578" s="464"/>
      <c r="J578" s="464"/>
      <c r="K578" s="464"/>
      <c r="L578" s="464"/>
    </row>
    <row r="579" spans="7:12">
      <c r="G579" s="464"/>
      <c r="H579" s="464"/>
      <c r="I579" s="464"/>
      <c r="J579" s="464"/>
      <c r="K579" s="464"/>
      <c r="L579" s="464"/>
    </row>
    <row r="580" spans="7:12">
      <c r="G580" s="464"/>
      <c r="H580" s="464"/>
      <c r="I580" s="464"/>
      <c r="J580" s="464"/>
      <c r="K580" s="464"/>
      <c r="L580" s="464"/>
    </row>
    <row r="581" spans="7:12">
      <c r="G581" s="464"/>
      <c r="H581" s="464"/>
      <c r="I581" s="464"/>
      <c r="J581" s="464"/>
      <c r="K581" s="464"/>
      <c r="L581" s="464"/>
    </row>
    <row r="582" spans="7:12">
      <c r="G582" s="464"/>
      <c r="H582" s="464"/>
      <c r="I582" s="464"/>
      <c r="J582" s="464"/>
      <c r="K582" s="464"/>
      <c r="L582" s="464"/>
    </row>
    <row r="583" spans="7:12">
      <c r="G583" s="464"/>
      <c r="H583" s="464"/>
      <c r="I583" s="464"/>
      <c r="J583" s="464"/>
      <c r="K583" s="464"/>
      <c r="L583" s="464"/>
    </row>
    <row r="584" spans="7:12">
      <c r="G584" s="464"/>
      <c r="H584" s="464"/>
      <c r="I584" s="464"/>
      <c r="J584" s="464"/>
      <c r="K584" s="464"/>
      <c r="L584" s="464"/>
    </row>
    <row r="585" spans="7:12">
      <c r="G585" s="464"/>
      <c r="H585" s="464"/>
      <c r="I585" s="464"/>
      <c r="J585" s="464"/>
      <c r="K585" s="464"/>
      <c r="L585" s="464"/>
    </row>
    <row r="586" spans="7:12">
      <c r="G586" s="464"/>
      <c r="H586" s="464"/>
      <c r="I586" s="464"/>
      <c r="J586" s="464"/>
      <c r="K586" s="464"/>
      <c r="L586" s="464"/>
    </row>
    <row r="587" spans="7:12">
      <c r="G587" s="464"/>
      <c r="H587" s="464"/>
      <c r="I587" s="464"/>
      <c r="J587" s="464"/>
      <c r="K587" s="464"/>
      <c r="L587" s="464"/>
    </row>
    <row r="588" spans="7:12">
      <c r="G588" s="464"/>
      <c r="H588" s="464"/>
      <c r="I588" s="464"/>
      <c r="J588" s="464"/>
      <c r="K588" s="464"/>
      <c r="L588" s="464"/>
    </row>
    <row r="589" spans="7:12">
      <c r="G589" s="464"/>
      <c r="H589" s="464"/>
      <c r="I589" s="464"/>
      <c r="J589" s="464"/>
      <c r="K589" s="464"/>
      <c r="L589" s="464"/>
    </row>
    <row r="590" spans="7:12">
      <c r="G590" s="464"/>
      <c r="H590" s="464"/>
      <c r="I590" s="464"/>
      <c r="J590" s="464"/>
      <c r="K590" s="464"/>
      <c r="L590" s="464"/>
    </row>
    <row r="591" spans="7:12">
      <c r="G591" s="464"/>
      <c r="H591" s="464"/>
      <c r="I591" s="464"/>
      <c r="J591" s="464"/>
      <c r="K591" s="464"/>
      <c r="L591" s="464"/>
    </row>
    <row r="592" spans="7:12">
      <c r="G592" s="464"/>
      <c r="H592" s="464"/>
      <c r="I592" s="464"/>
      <c r="J592" s="464"/>
      <c r="K592" s="464"/>
      <c r="L592" s="464"/>
    </row>
    <row r="593" spans="7:12">
      <c r="G593" s="464"/>
      <c r="H593" s="464"/>
      <c r="I593" s="464"/>
      <c r="J593" s="464"/>
      <c r="K593" s="464"/>
      <c r="L593" s="464"/>
    </row>
    <row r="594" spans="7:12">
      <c r="G594" s="464"/>
      <c r="H594" s="464"/>
      <c r="I594" s="464"/>
      <c r="J594" s="464"/>
      <c r="K594" s="464"/>
      <c r="L594" s="464"/>
    </row>
    <row r="595" spans="7:12">
      <c r="G595" s="464"/>
      <c r="H595" s="464"/>
      <c r="I595" s="464"/>
      <c r="J595" s="464"/>
      <c r="K595" s="464"/>
      <c r="L595" s="464"/>
    </row>
    <row r="596" spans="7:12">
      <c r="G596" s="464"/>
      <c r="H596" s="464"/>
      <c r="I596" s="464"/>
      <c r="J596" s="464"/>
      <c r="K596" s="464"/>
      <c r="L596" s="464"/>
    </row>
    <row r="597" spans="7:12">
      <c r="G597" s="464"/>
      <c r="H597" s="464"/>
      <c r="I597" s="464"/>
      <c r="J597" s="464"/>
      <c r="K597" s="464"/>
      <c r="L597" s="464"/>
    </row>
    <row r="598" spans="7:12">
      <c r="G598" s="464"/>
      <c r="H598" s="464"/>
      <c r="I598" s="464"/>
      <c r="J598" s="464"/>
      <c r="K598" s="464"/>
      <c r="L598" s="464"/>
    </row>
    <row r="599" spans="7:12">
      <c r="G599" s="464"/>
      <c r="H599" s="464"/>
      <c r="I599" s="464"/>
      <c r="J599" s="464"/>
      <c r="K599" s="464"/>
      <c r="L599" s="464"/>
    </row>
    <row r="600" spans="7:12">
      <c r="G600" s="464"/>
      <c r="H600" s="464"/>
      <c r="I600" s="464"/>
      <c r="J600" s="464"/>
      <c r="K600" s="464"/>
      <c r="L600" s="464"/>
    </row>
    <row r="601" spans="7:12">
      <c r="G601" s="464"/>
      <c r="H601" s="464"/>
      <c r="I601" s="464"/>
      <c r="J601" s="464"/>
      <c r="K601" s="464"/>
      <c r="L601" s="464"/>
    </row>
    <row r="602" spans="7:12">
      <c r="G602" s="464"/>
      <c r="H602" s="464"/>
      <c r="I602" s="464"/>
      <c r="J602" s="464"/>
      <c r="K602" s="464"/>
      <c r="L602" s="464"/>
    </row>
    <row r="603" spans="7:12">
      <c r="G603" s="464"/>
      <c r="H603" s="464"/>
      <c r="I603" s="464"/>
      <c r="J603" s="464"/>
      <c r="K603" s="464"/>
      <c r="L603" s="464"/>
    </row>
    <row r="604" spans="7:12">
      <c r="G604" s="464"/>
      <c r="H604" s="464"/>
      <c r="I604" s="464"/>
      <c r="J604" s="464"/>
      <c r="K604" s="464"/>
      <c r="L604" s="464"/>
    </row>
    <row r="605" spans="7:12">
      <c r="G605" s="464"/>
      <c r="H605" s="464"/>
      <c r="I605" s="464"/>
      <c r="J605" s="464"/>
      <c r="K605" s="464"/>
      <c r="L605" s="464"/>
    </row>
    <row r="606" spans="7:12">
      <c r="G606" s="464"/>
      <c r="H606" s="464"/>
      <c r="I606" s="464"/>
      <c r="J606" s="464"/>
      <c r="K606" s="464"/>
      <c r="L606" s="464"/>
    </row>
    <row r="607" spans="7:12">
      <c r="G607" s="464"/>
      <c r="H607" s="464"/>
      <c r="I607" s="464"/>
      <c r="J607" s="464"/>
      <c r="K607" s="464"/>
      <c r="L607" s="464"/>
    </row>
    <row r="608" spans="7:12">
      <c r="G608" s="464"/>
      <c r="H608" s="464"/>
      <c r="I608" s="464"/>
      <c r="J608" s="464"/>
      <c r="K608" s="464"/>
      <c r="L608" s="464"/>
    </row>
    <row r="609" spans="7:12">
      <c r="G609" s="464"/>
      <c r="H609" s="464"/>
      <c r="I609" s="464"/>
      <c r="J609" s="464"/>
      <c r="K609" s="464"/>
      <c r="L609" s="464"/>
    </row>
    <row r="610" spans="7:12">
      <c r="G610" s="464"/>
      <c r="H610" s="464"/>
      <c r="I610" s="464"/>
      <c r="J610" s="464"/>
      <c r="K610" s="464"/>
      <c r="L610" s="464"/>
    </row>
    <row r="611" spans="7:12">
      <c r="G611" s="464"/>
      <c r="H611" s="464"/>
      <c r="I611" s="464"/>
      <c r="J611" s="464"/>
      <c r="K611" s="464"/>
      <c r="L611" s="464"/>
    </row>
    <row r="612" spans="7:12">
      <c r="G612" s="464"/>
      <c r="H612" s="464"/>
      <c r="I612" s="464"/>
      <c r="J612" s="464"/>
      <c r="K612" s="464"/>
      <c r="L612" s="464"/>
    </row>
    <row r="613" spans="7:12">
      <c r="G613" s="464"/>
      <c r="H613" s="464"/>
      <c r="I613" s="464"/>
      <c r="J613" s="464"/>
      <c r="K613" s="464"/>
      <c r="L613" s="464"/>
    </row>
    <row r="614" spans="7:12">
      <c r="G614" s="464"/>
      <c r="H614" s="464"/>
      <c r="I614" s="464"/>
      <c r="J614" s="464"/>
      <c r="K614" s="464"/>
      <c r="L614" s="464"/>
    </row>
    <row r="615" spans="7:12">
      <c r="G615" s="464"/>
      <c r="H615" s="464"/>
      <c r="I615" s="464"/>
      <c r="J615" s="464"/>
      <c r="K615" s="464"/>
      <c r="L615" s="464"/>
    </row>
    <row r="616" spans="7:12">
      <c r="G616" s="464"/>
      <c r="H616" s="464"/>
      <c r="I616" s="464"/>
      <c r="J616" s="464"/>
      <c r="K616" s="464"/>
      <c r="L616" s="464"/>
    </row>
    <row r="617" spans="7:12">
      <c r="G617" s="464"/>
      <c r="H617" s="464"/>
      <c r="I617" s="464"/>
      <c r="J617" s="464"/>
      <c r="K617" s="464"/>
      <c r="L617" s="464"/>
    </row>
    <row r="618" spans="7:12">
      <c r="G618" s="464"/>
      <c r="H618" s="464"/>
      <c r="I618" s="464"/>
      <c r="J618" s="464"/>
      <c r="K618" s="464"/>
      <c r="L618" s="464"/>
    </row>
    <row r="619" spans="7:12">
      <c r="G619" s="464"/>
      <c r="H619" s="464"/>
      <c r="I619" s="464"/>
      <c r="J619" s="464"/>
      <c r="K619" s="464"/>
      <c r="L619" s="464"/>
    </row>
    <row r="620" spans="7:12">
      <c r="G620" s="464"/>
      <c r="H620" s="464"/>
      <c r="I620" s="464"/>
      <c r="J620" s="464"/>
      <c r="K620" s="464"/>
      <c r="L620" s="464"/>
    </row>
    <row r="621" spans="7:12">
      <c r="G621" s="464"/>
      <c r="H621" s="464"/>
      <c r="I621" s="464"/>
      <c r="J621" s="464"/>
      <c r="K621" s="464"/>
      <c r="L621" s="464"/>
    </row>
    <row r="622" spans="7:12">
      <c r="G622" s="464"/>
      <c r="H622" s="464"/>
      <c r="I622" s="464"/>
      <c r="J622" s="464"/>
      <c r="K622" s="464"/>
      <c r="L622" s="464"/>
    </row>
    <row r="623" spans="7:12">
      <c r="G623" s="464"/>
      <c r="H623" s="464"/>
      <c r="I623" s="464"/>
      <c r="J623" s="464"/>
      <c r="K623" s="464"/>
      <c r="L623" s="464"/>
    </row>
    <row r="624" spans="7:12">
      <c r="G624" s="464"/>
      <c r="H624" s="464"/>
      <c r="I624" s="464"/>
      <c r="J624" s="464"/>
      <c r="K624" s="464"/>
      <c r="L624" s="464"/>
    </row>
    <row r="625" spans="7:12">
      <c r="G625" s="464"/>
      <c r="H625" s="464"/>
      <c r="I625" s="464"/>
      <c r="J625" s="464"/>
      <c r="K625" s="464"/>
      <c r="L625" s="464"/>
    </row>
    <row r="626" spans="7:12">
      <c r="G626" s="464"/>
      <c r="H626" s="464"/>
      <c r="I626" s="464"/>
      <c r="J626" s="464"/>
      <c r="K626" s="464"/>
      <c r="L626" s="464"/>
    </row>
    <row r="627" spans="7:12">
      <c r="G627" s="464"/>
      <c r="H627" s="464"/>
      <c r="I627" s="464"/>
      <c r="J627" s="464"/>
      <c r="K627" s="464"/>
      <c r="L627" s="464"/>
    </row>
    <row r="628" spans="7:12">
      <c r="G628" s="464"/>
      <c r="H628" s="464"/>
      <c r="I628" s="464"/>
      <c r="J628" s="464"/>
      <c r="K628" s="464"/>
      <c r="L628" s="464"/>
    </row>
    <row r="629" spans="7:12">
      <c r="G629" s="464"/>
      <c r="H629" s="464"/>
      <c r="I629" s="464"/>
      <c r="J629" s="464"/>
      <c r="K629" s="464"/>
      <c r="L629" s="464"/>
    </row>
    <row r="630" spans="7:12">
      <c r="G630" s="464"/>
      <c r="H630" s="464"/>
      <c r="I630" s="464"/>
      <c r="J630" s="464"/>
      <c r="K630" s="464"/>
      <c r="L630" s="464"/>
    </row>
    <row r="631" spans="7:12">
      <c r="G631" s="464"/>
      <c r="H631" s="464"/>
      <c r="I631" s="464"/>
      <c r="J631" s="464"/>
      <c r="K631" s="464"/>
      <c r="L631" s="464"/>
    </row>
    <row r="632" spans="7:12">
      <c r="G632" s="464"/>
      <c r="H632" s="464"/>
      <c r="I632" s="464"/>
      <c r="J632" s="464"/>
      <c r="K632" s="464"/>
      <c r="L632" s="464"/>
    </row>
    <row r="633" spans="7:12">
      <c r="G633" s="464"/>
      <c r="H633" s="464"/>
      <c r="I633" s="464"/>
      <c r="J633" s="464"/>
      <c r="K633" s="464"/>
      <c r="L633" s="464"/>
    </row>
    <row r="634" spans="7:12">
      <c r="G634" s="464"/>
      <c r="H634" s="464"/>
      <c r="I634" s="464"/>
      <c r="J634" s="464"/>
      <c r="K634" s="464"/>
      <c r="L634" s="464"/>
    </row>
    <row r="635" spans="7:12">
      <c r="G635" s="464"/>
      <c r="H635" s="464"/>
      <c r="I635" s="464"/>
      <c r="J635" s="464"/>
      <c r="K635" s="464"/>
      <c r="L635" s="464"/>
    </row>
    <row r="636" spans="7:12">
      <c r="G636" s="464"/>
      <c r="H636" s="464"/>
      <c r="I636" s="464"/>
      <c r="J636" s="464"/>
      <c r="K636" s="464"/>
      <c r="L636" s="464"/>
    </row>
    <row r="637" spans="7:12">
      <c r="G637" s="464"/>
      <c r="H637" s="464"/>
      <c r="I637" s="464"/>
      <c r="J637" s="464"/>
      <c r="K637" s="464"/>
      <c r="L637" s="464"/>
    </row>
    <row r="638" spans="7:12">
      <c r="G638" s="464"/>
      <c r="H638" s="464"/>
      <c r="I638" s="464"/>
      <c r="J638" s="464"/>
      <c r="K638" s="464"/>
      <c r="L638" s="464"/>
    </row>
    <row r="639" spans="7:12">
      <c r="G639" s="464"/>
      <c r="H639" s="464"/>
      <c r="I639" s="464"/>
      <c r="J639" s="464"/>
      <c r="K639" s="464"/>
      <c r="L639" s="464"/>
    </row>
    <row r="640" spans="7:12">
      <c r="G640" s="464"/>
      <c r="H640" s="464"/>
      <c r="I640" s="464"/>
      <c r="J640" s="464"/>
      <c r="K640" s="464"/>
      <c r="L640" s="464"/>
    </row>
    <row r="641" spans="7:12">
      <c r="G641" s="464"/>
      <c r="H641" s="464"/>
      <c r="I641" s="464"/>
      <c r="J641" s="464"/>
      <c r="K641" s="464"/>
      <c r="L641" s="464"/>
    </row>
    <row r="642" spans="7:12">
      <c r="G642" s="464"/>
      <c r="H642" s="464"/>
      <c r="I642" s="464"/>
      <c r="J642" s="464"/>
      <c r="K642" s="464"/>
      <c r="L642" s="464"/>
    </row>
    <row r="643" spans="7:12">
      <c r="G643" s="464"/>
      <c r="H643" s="464"/>
      <c r="I643" s="464"/>
      <c r="J643" s="464"/>
      <c r="K643" s="464"/>
      <c r="L643" s="464"/>
    </row>
    <row r="644" spans="7:12">
      <c r="G644" s="464"/>
      <c r="H644" s="464"/>
      <c r="I644" s="464"/>
      <c r="J644" s="464"/>
      <c r="K644" s="464"/>
      <c r="L644" s="464"/>
    </row>
    <row r="645" spans="7:12">
      <c r="G645" s="464"/>
      <c r="H645" s="464"/>
      <c r="I645" s="464"/>
      <c r="J645" s="464"/>
      <c r="K645" s="464"/>
      <c r="L645" s="464"/>
    </row>
    <row r="646" spans="7:12">
      <c r="G646" s="464"/>
      <c r="H646" s="464"/>
      <c r="I646" s="464"/>
      <c r="J646" s="464"/>
      <c r="K646" s="464"/>
      <c r="L646" s="464"/>
    </row>
    <row r="647" spans="7:12">
      <c r="G647" s="464"/>
      <c r="H647" s="464"/>
      <c r="I647" s="464"/>
      <c r="J647" s="464"/>
      <c r="K647" s="464"/>
      <c r="L647" s="464"/>
    </row>
    <row r="648" spans="7:12">
      <c r="G648" s="464"/>
      <c r="H648" s="464"/>
      <c r="I648" s="464"/>
      <c r="J648" s="464"/>
      <c r="K648" s="464"/>
      <c r="L648" s="464"/>
    </row>
    <row r="649" spans="7:12">
      <c r="G649" s="464"/>
      <c r="H649" s="464"/>
      <c r="I649" s="464"/>
      <c r="J649" s="464"/>
      <c r="K649" s="464"/>
      <c r="L649" s="464"/>
    </row>
    <row r="650" spans="7:12">
      <c r="G650" s="464"/>
      <c r="H650" s="464"/>
      <c r="I650" s="464"/>
      <c r="J650" s="464"/>
      <c r="K650" s="464"/>
      <c r="L650" s="464"/>
    </row>
    <row r="651" spans="7:12">
      <c r="G651" s="464"/>
      <c r="H651" s="464"/>
      <c r="I651" s="464"/>
      <c r="J651" s="464"/>
      <c r="K651" s="464"/>
      <c r="L651" s="464"/>
    </row>
    <row r="652" spans="7:12">
      <c r="G652" s="464"/>
      <c r="H652" s="464"/>
      <c r="I652" s="464"/>
      <c r="J652" s="464"/>
      <c r="K652" s="464"/>
      <c r="L652" s="464"/>
    </row>
    <row r="653" spans="7:12">
      <c r="G653" s="464"/>
      <c r="H653" s="464"/>
      <c r="I653" s="464"/>
      <c r="J653" s="464"/>
      <c r="K653" s="464"/>
      <c r="L653" s="464"/>
    </row>
    <row r="654" spans="7:12">
      <c r="G654" s="464"/>
      <c r="H654" s="464"/>
      <c r="I654" s="464"/>
      <c r="J654" s="464"/>
      <c r="K654" s="464"/>
      <c r="L654" s="464"/>
    </row>
    <row r="655" spans="7:12">
      <c r="G655" s="464"/>
      <c r="H655" s="464"/>
      <c r="I655" s="464"/>
      <c r="J655" s="464"/>
      <c r="K655" s="464"/>
      <c r="L655" s="464"/>
    </row>
    <row r="656" spans="7:12">
      <c r="G656" s="464"/>
      <c r="H656" s="464"/>
      <c r="I656" s="464"/>
      <c r="J656" s="464"/>
      <c r="K656" s="464"/>
      <c r="L656" s="464"/>
    </row>
    <row r="657" spans="7:12">
      <c r="G657" s="464"/>
      <c r="H657" s="464"/>
      <c r="I657" s="464"/>
      <c r="J657" s="464"/>
      <c r="K657" s="464"/>
      <c r="L657" s="464"/>
    </row>
    <row r="658" spans="7:12">
      <c r="G658" s="464"/>
      <c r="H658" s="464"/>
      <c r="I658" s="464"/>
      <c r="J658" s="464"/>
      <c r="K658" s="464"/>
      <c r="L658" s="464"/>
    </row>
    <row r="659" spans="7:12">
      <c r="G659" s="464"/>
      <c r="H659" s="464"/>
      <c r="I659" s="464"/>
      <c r="J659" s="464"/>
      <c r="K659" s="464"/>
      <c r="L659" s="464"/>
    </row>
    <row r="660" spans="7:12">
      <c r="G660" s="464"/>
      <c r="H660" s="464"/>
      <c r="I660" s="464"/>
      <c r="J660" s="464"/>
      <c r="K660" s="464"/>
      <c r="L660" s="464"/>
    </row>
    <row r="661" spans="7:12">
      <c r="G661" s="464"/>
      <c r="H661" s="464"/>
      <c r="I661" s="464"/>
      <c r="J661" s="464"/>
      <c r="K661" s="464"/>
      <c r="L661" s="464"/>
    </row>
    <row r="662" spans="7:12">
      <c r="G662" s="464"/>
      <c r="H662" s="464"/>
      <c r="I662" s="464"/>
      <c r="J662" s="464"/>
      <c r="K662" s="464"/>
      <c r="L662" s="464"/>
    </row>
    <row r="663" spans="7:12">
      <c r="G663" s="464"/>
      <c r="H663" s="464"/>
      <c r="I663" s="464"/>
      <c r="J663" s="464"/>
      <c r="K663" s="464"/>
      <c r="L663" s="464"/>
    </row>
    <row r="664" spans="7:12">
      <c r="G664" s="464"/>
      <c r="H664" s="464"/>
      <c r="I664" s="464"/>
      <c r="J664" s="464"/>
      <c r="K664" s="464"/>
      <c r="L664" s="464"/>
    </row>
    <row r="665" spans="7:12">
      <c r="G665" s="464"/>
      <c r="H665" s="464"/>
      <c r="I665" s="464"/>
      <c r="J665" s="464"/>
      <c r="K665" s="464"/>
      <c r="L665" s="464"/>
    </row>
    <row r="666" spans="7:12">
      <c r="G666" s="464"/>
      <c r="H666" s="464"/>
      <c r="I666" s="464"/>
      <c r="J666" s="464"/>
      <c r="K666" s="464"/>
      <c r="L666" s="464"/>
    </row>
    <row r="667" spans="7:12">
      <c r="G667" s="464"/>
      <c r="H667" s="464"/>
      <c r="I667" s="464"/>
      <c r="J667" s="464"/>
      <c r="K667" s="464"/>
      <c r="L667" s="464"/>
    </row>
    <row r="668" spans="7:12">
      <c r="G668" s="464"/>
      <c r="H668" s="464"/>
      <c r="I668" s="464"/>
      <c r="J668" s="464"/>
      <c r="K668" s="464"/>
      <c r="L668" s="464"/>
    </row>
    <row r="669" spans="7:12">
      <c r="G669" s="464"/>
      <c r="H669" s="464"/>
      <c r="I669" s="464"/>
      <c r="J669" s="464"/>
      <c r="K669" s="464"/>
      <c r="L669" s="464"/>
    </row>
    <row r="670" spans="7:12">
      <c r="G670" s="464"/>
      <c r="H670" s="464"/>
      <c r="I670" s="464"/>
      <c r="J670" s="464"/>
      <c r="K670" s="464"/>
      <c r="L670" s="464"/>
    </row>
    <row r="671" spans="7:12">
      <c r="G671" s="464"/>
      <c r="H671" s="464"/>
      <c r="I671" s="464"/>
      <c r="J671" s="464"/>
      <c r="K671" s="464"/>
      <c r="L671" s="464"/>
    </row>
    <row r="672" spans="7:12">
      <c r="G672" s="464"/>
      <c r="H672" s="464"/>
      <c r="I672" s="464"/>
      <c r="J672" s="464"/>
      <c r="K672" s="464"/>
      <c r="L672" s="464"/>
    </row>
    <row r="673" spans="7:12">
      <c r="G673" s="464"/>
      <c r="H673" s="464"/>
      <c r="I673" s="464"/>
      <c r="J673" s="464"/>
      <c r="K673" s="464"/>
      <c r="L673" s="464"/>
    </row>
    <row r="674" spans="7:12">
      <c r="G674" s="464"/>
      <c r="H674" s="464"/>
      <c r="I674" s="464"/>
      <c r="J674" s="464"/>
      <c r="K674" s="464"/>
      <c r="L674" s="464"/>
    </row>
    <row r="675" spans="7:12">
      <c r="G675" s="464"/>
      <c r="H675" s="464"/>
      <c r="I675" s="464"/>
      <c r="J675" s="464"/>
      <c r="K675" s="464"/>
      <c r="L675" s="464"/>
    </row>
    <row r="676" spans="7:12">
      <c r="G676" s="464"/>
      <c r="H676" s="464"/>
      <c r="I676" s="464"/>
      <c r="J676" s="464"/>
      <c r="K676" s="464"/>
      <c r="L676" s="464"/>
    </row>
    <row r="677" spans="7:12">
      <c r="G677" s="464"/>
      <c r="H677" s="464"/>
      <c r="I677" s="464"/>
      <c r="J677" s="464"/>
      <c r="K677" s="464"/>
      <c r="L677" s="464"/>
    </row>
    <row r="678" spans="7:12">
      <c r="G678" s="464"/>
      <c r="H678" s="464"/>
      <c r="I678" s="464"/>
      <c r="J678" s="464"/>
      <c r="K678" s="464"/>
      <c r="L678" s="464"/>
    </row>
    <row r="679" spans="7:12">
      <c r="G679" s="464"/>
      <c r="H679" s="464"/>
      <c r="I679" s="464"/>
      <c r="J679" s="464"/>
      <c r="K679" s="464"/>
      <c r="L679" s="464"/>
    </row>
    <row r="680" spans="7:12">
      <c r="G680" s="464"/>
      <c r="H680" s="464"/>
      <c r="I680" s="464"/>
      <c r="J680" s="464"/>
      <c r="K680" s="464"/>
      <c r="L680" s="464"/>
    </row>
    <row r="681" spans="7:12">
      <c r="G681" s="464"/>
      <c r="H681" s="464"/>
      <c r="I681" s="464"/>
      <c r="J681" s="464"/>
      <c r="K681" s="464"/>
      <c r="L681" s="464"/>
    </row>
    <row r="682" spans="7:12">
      <c r="G682" s="464"/>
      <c r="H682" s="464"/>
      <c r="I682" s="464"/>
      <c r="J682" s="464"/>
      <c r="K682" s="464"/>
      <c r="L682" s="464"/>
    </row>
    <row r="683" spans="7:12">
      <c r="G683" s="464"/>
      <c r="H683" s="464"/>
      <c r="I683" s="464"/>
      <c r="J683" s="464"/>
      <c r="K683" s="464"/>
      <c r="L683" s="464"/>
    </row>
    <row r="684" spans="7:12">
      <c r="G684" s="464"/>
      <c r="H684" s="464"/>
      <c r="I684" s="464"/>
      <c r="J684" s="464"/>
      <c r="K684" s="464"/>
      <c r="L684" s="464"/>
    </row>
    <row r="685" spans="7:12">
      <c r="G685" s="464"/>
      <c r="H685" s="464"/>
      <c r="I685" s="464"/>
      <c r="J685" s="464"/>
      <c r="K685" s="464"/>
      <c r="L685" s="464"/>
    </row>
    <row r="686" spans="7:12">
      <c r="G686" s="464"/>
      <c r="H686" s="464"/>
      <c r="I686" s="464"/>
      <c r="J686" s="464"/>
      <c r="K686" s="464"/>
      <c r="L686" s="464"/>
    </row>
    <row r="687" spans="7:12">
      <c r="G687" s="464"/>
      <c r="H687" s="464"/>
      <c r="I687" s="464"/>
      <c r="J687" s="464"/>
      <c r="K687" s="464"/>
      <c r="L687" s="464"/>
    </row>
    <row r="688" spans="7:12">
      <c r="G688" s="464"/>
      <c r="H688" s="464"/>
      <c r="I688" s="464"/>
      <c r="J688" s="464"/>
      <c r="K688" s="464"/>
      <c r="L688" s="464"/>
    </row>
    <row r="689" spans="7:12">
      <c r="G689" s="464"/>
      <c r="H689" s="464"/>
      <c r="I689" s="464"/>
      <c r="J689" s="464"/>
      <c r="K689" s="464"/>
      <c r="L689" s="464"/>
    </row>
    <row r="690" spans="7:12">
      <c r="G690" s="464"/>
      <c r="H690" s="464"/>
      <c r="I690" s="464"/>
      <c r="J690" s="464"/>
      <c r="K690" s="464"/>
      <c r="L690" s="464"/>
    </row>
    <row r="691" spans="7:12">
      <c r="G691" s="464"/>
      <c r="H691" s="464"/>
      <c r="I691" s="464"/>
      <c r="J691" s="464"/>
      <c r="K691" s="464"/>
      <c r="L691" s="464"/>
    </row>
    <row r="692" spans="7:12">
      <c r="G692" s="464"/>
      <c r="H692" s="464"/>
      <c r="I692" s="464"/>
      <c r="J692" s="464"/>
      <c r="K692" s="464"/>
      <c r="L692" s="464"/>
    </row>
    <row r="693" spans="7:12">
      <c r="G693" s="464"/>
      <c r="H693" s="464"/>
      <c r="I693" s="464"/>
      <c r="J693" s="464"/>
      <c r="K693" s="464"/>
      <c r="L693" s="464"/>
    </row>
    <row r="694" spans="7:12">
      <c r="G694" s="464"/>
      <c r="H694" s="464"/>
      <c r="I694" s="464"/>
      <c r="J694" s="464"/>
      <c r="K694" s="464"/>
      <c r="L694" s="464"/>
    </row>
    <row r="695" spans="7:12">
      <c r="G695" s="464"/>
      <c r="H695" s="464"/>
      <c r="I695" s="464"/>
      <c r="J695" s="464"/>
      <c r="K695" s="464"/>
      <c r="L695" s="464"/>
    </row>
    <row r="696" spans="7:12">
      <c r="G696" s="464"/>
      <c r="H696" s="464"/>
      <c r="I696" s="464"/>
      <c r="J696" s="464"/>
      <c r="K696" s="464"/>
      <c r="L696" s="464"/>
    </row>
    <row r="697" spans="7:12">
      <c r="G697" s="464"/>
      <c r="H697" s="464"/>
      <c r="I697" s="464"/>
      <c r="J697" s="464"/>
      <c r="K697" s="464"/>
      <c r="L697" s="464"/>
    </row>
    <row r="698" spans="7:12">
      <c r="G698" s="464"/>
      <c r="H698" s="464"/>
      <c r="I698" s="464"/>
      <c r="J698" s="464"/>
      <c r="K698" s="464"/>
      <c r="L698" s="464"/>
    </row>
    <row r="699" spans="7:12">
      <c r="G699" s="464"/>
      <c r="H699" s="464"/>
      <c r="I699" s="464"/>
      <c r="J699" s="464"/>
      <c r="K699" s="464"/>
      <c r="L699" s="464"/>
    </row>
    <row r="700" spans="7:12">
      <c r="G700" s="464"/>
      <c r="H700" s="464"/>
      <c r="I700" s="464"/>
      <c r="J700" s="464"/>
      <c r="K700" s="464"/>
      <c r="L700" s="464"/>
    </row>
    <row r="701" spans="7:12">
      <c r="G701" s="464"/>
      <c r="H701" s="464"/>
      <c r="I701" s="464"/>
      <c r="J701" s="464"/>
      <c r="K701" s="464"/>
      <c r="L701" s="464"/>
    </row>
    <row r="702" spans="7:12">
      <c r="G702" s="464"/>
      <c r="H702" s="464"/>
      <c r="I702" s="464"/>
      <c r="J702" s="464"/>
      <c r="K702" s="464"/>
      <c r="L702" s="464"/>
    </row>
    <row r="703" spans="7:12">
      <c r="G703" s="464"/>
      <c r="H703" s="464"/>
      <c r="I703" s="464"/>
      <c r="J703" s="464"/>
      <c r="K703" s="464"/>
      <c r="L703" s="464"/>
    </row>
    <row r="704" spans="7:12">
      <c r="G704" s="464"/>
      <c r="H704" s="464"/>
      <c r="I704" s="464"/>
      <c r="J704" s="464"/>
      <c r="K704" s="464"/>
      <c r="L704" s="464"/>
    </row>
    <row r="705" spans="7:12">
      <c r="G705" s="464"/>
      <c r="H705" s="464"/>
      <c r="I705" s="464"/>
      <c r="J705" s="464"/>
      <c r="K705" s="464"/>
      <c r="L705" s="464"/>
    </row>
    <row r="706" spans="7:12">
      <c r="G706" s="464"/>
      <c r="H706" s="464"/>
      <c r="I706" s="464"/>
      <c r="J706" s="464"/>
      <c r="K706" s="464"/>
      <c r="L706" s="464"/>
    </row>
    <row r="707" spans="7:12">
      <c r="G707" s="464"/>
      <c r="H707" s="464"/>
      <c r="I707" s="464"/>
      <c r="J707" s="464"/>
      <c r="K707" s="464"/>
      <c r="L707" s="464"/>
    </row>
    <row r="708" spans="7:12">
      <c r="G708" s="464"/>
      <c r="H708" s="464"/>
      <c r="I708" s="464"/>
      <c r="J708" s="464"/>
      <c r="K708" s="464"/>
      <c r="L708" s="464"/>
    </row>
    <row r="709" spans="7:12">
      <c r="G709" s="464"/>
      <c r="H709" s="464"/>
      <c r="I709" s="464"/>
      <c r="J709" s="464"/>
      <c r="K709" s="464"/>
      <c r="L709" s="464"/>
    </row>
    <row r="710" spans="7:12">
      <c r="G710" s="464"/>
      <c r="H710" s="464"/>
      <c r="I710" s="464"/>
      <c r="J710" s="464"/>
      <c r="K710" s="464"/>
      <c r="L710" s="464"/>
    </row>
    <row r="711" spans="7:12">
      <c r="G711" s="464"/>
      <c r="H711" s="464"/>
      <c r="I711" s="464"/>
      <c r="J711" s="464"/>
      <c r="K711" s="464"/>
      <c r="L711" s="464"/>
    </row>
    <row r="712" spans="7:12">
      <c r="G712" s="464"/>
      <c r="H712" s="464"/>
      <c r="I712" s="464"/>
      <c r="J712" s="464"/>
      <c r="K712" s="464"/>
      <c r="L712" s="464"/>
    </row>
    <row r="713" spans="7:12">
      <c r="G713" s="464"/>
      <c r="H713" s="464"/>
      <c r="I713" s="464"/>
      <c r="J713" s="464"/>
      <c r="K713" s="464"/>
      <c r="L713" s="464"/>
    </row>
    <row r="714" spans="7:12">
      <c r="G714" s="464"/>
      <c r="H714" s="464"/>
      <c r="I714" s="464"/>
      <c r="J714" s="464"/>
      <c r="K714" s="464"/>
      <c r="L714" s="464"/>
    </row>
    <row r="715" spans="7:12">
      <c r="G715" s="464"/>
      <c r="H715" s="464"/>
      <c r="I715" s="464"/>
      <c r="J715" s="464"/>
      <c r="K715" s="464"/>
      <c r="L715" s="464"/>
    </row>
    <row r="716" spans="7:12">
      <c r="G716" s="464"/>
      <c r="H716" s="464"/>
      <c r="I716" s="464"/>
      <c r="J716" s="464"/>
      <c r="K716" s="464"/>
      <c r="L716" s="464"/>
    </row>
    <row r="717" spans="7:12">
      <c r="G717" s="464"/>
      <c r="H717" s="464"/>
      <c r="I717" s="464"/>
      <c r="J717" s="464"/>
      <c r="K717" s="464"/>
      <c r="L717" s="464"/>
    </row>
    <row r="718" spans="7:12">
      <c r="G718" s="464"/>
      <c r="H718" s="464"/>
      <c r="I718" s="464"/>
      <c r="J718" s="464"/>
      <c r="K718" s="464"/>
      <c r="L718" s="464"/>
    </row>
    <row r="719" spans="7:12">
      <c r="G719" s="464"/>
      <c r="H719" s="464"/>
      <c r="I719" s="464"/>
      <c r="J719" s="464"/>
      <c r="K719" s="464"/>
      <c r="L719" s="464"/>
    </row>
    <row r="720" spans="7:12">
      <c r="G720" s="464"/>
      <c r="H720" s="464"/>
      <c r="I720" s="464"/>
      <c r="J720" s="464"/>
      <c r="K720" s="464"/>
      <c r="L720" s="464"/>
    </row>
    <row r="721" spans="7:12">
      <c r="G721" s="464"/>
      <c r="H721" s="464"/>
      <c r="I721" s="464"/>
      <c r="J721" s="464"/>
      <c r="K721" s="464"/>
      <c r="L721" s="464"/>
    </row>
    <row r="722" spans="7:12">
      <c r="G722" s="464"/>
      <c r="H722" s="464"/>
      <c r="I722" s="464"/>
      <c r="J722" s="464"/>
      <c r="K722" s="464"/>
      <c r="L722" s="464"/>
    </row>
    <row r="723" spans="7:12">
      <c r="G723" s="464"/>
      <c r="H723" s="464"/>
      <c r="I723" s="464"/>
      <c r="J723" s="464"/>
      <c r="K723" s="464"/>
      <c r="L723" s="464"/>
    </row>
    <row r="724" spans="7:12">
      <c r="G724" s="464"/>
      <c r="H724" s="464"/>
      <c r="I724" s="464"/>
      <c r="J724" s="464"/>
      <c r="K724" s="464"/>
      <c r="L724" s="464"/>
    </row>
    <row r="725" spans="7:12">
      <c r="G725" s="464"/>
      <c r="H725" s="464"/>
      <c r="I725" s="464"/>
      <c r="J725" s="464"/>
      <c r="K725" s="464"/>
      <c r="L725" s="464"/>
    </row>
    <row r="726" spans="7:12">
      <c r="G726" s="464"/>
      <c r="H726" s="464"/>
      <c r="I726" s="464"/>
      <c r="J726" s="464"/>
      <c r="K726" s="464"/>
      <c r="L726" s="464"/>
    </row>
    <row r="727" spans="7:12">
      <c r="G727" s="464"/>
      <c r="H727" s="464"/>
      <c r="I727" s="464"/>
      <c r="J727" s="464"/>
      <c r="K727" s="464"/>
      <c r="L727" s="464"/>
    </row>
    <row r="728" spans="7:12">
      <c r="G728" s="464"/>
      <c r="H728" s="464"/>
      <c r="I728" s="464"/>
      <c r="J728" s="464"/>
      <c r="K728" s="464"/>
      <c r="L728" s="464"/>
    </row>
    <row r="729" spans="7:12">
      <c r="G729" s="464"/>
      <c r="H729" s="464"/>
      <c r="I729" s="464"/>
      <c r="J729" s="464"/>
      <c r="K729" s="464"/>
      <c r="L729" s="464"/>
    </row>
    <row r="730" spans="7:12">
      <c r="G730" s="464"/>
      <c r="H730" s="464"/>
      <c r="I730" s="464"/>
      <c r="J730" s="464"/>
      <c r="K730" s="464"/>
      <c r="L730" s="464"/>
    </row>
    <row r="731" spans="7:12">
      <c r="G731" s="464"/>
      <c r="H731" s="464"/>
      <c r="I731" s="464"/>
      <c r="J731" s="464"/>
      <c r="K731" s="464"/>
      <c r="L731" s="464"/>
    </row>
    <row r="732" spans="7:12">
      <c r="G732" s="464"/>
      <c r="H732" s="464"/>
      <c r="I732" s="464"/>
      <c r="J732" s="464"/>
      <c r="K732" s="464"/>
      <c r="L732" s="464"/>
    </row>
    <row r="733" spans="7:12">
      <c r="G733" s="464"/>
      <c r="H733" s="464"/>
      <c r="I733" s="464"/>
      <c r="J733" s="464"/>
      <c r="K733" s="464"/>
      <c r="L733" s="464"/>
    </row>
    <row r="734" spans="7:12">
      <c r="G734" s="464"/>
      <c r="H734" s="464"/>
      <c r="I734" s="464"/>
      <c r="J734" s="464"/>
      <c r="K734" s="464"/>
      <c r="L734" s="464"/>
    </row>
    <row r="735" spans="7:12">
      <c r="G735" s="464"/>
      <c r="H735" s="464"/>
      <c r="I735" s="464"/>
      <c r="J735" s="464"/>
      <c r="K735" s="464"/>
      <c r="L735" s="464"/>
    </row>
    <row r="736" spans="7:12">
      <c r="G736" s="464"/>
      <c r="H736" s="464"/>
      <c r="I736" s="464"/>
      <c r="J736" s="464"/>
      <c r="K736" s="464"/>
      <c r="L736" s="464"/>
    </row>
    <row r="737" spans="7:12">
      <c r="G737" s="464"/>
      <c r="H737" s="464"/>
      <c r="I737" s="464"/>
      <c r="J737" s="464"/>
      <c r="K737" s="464"/>
      <c r="L737" s="464"/>
    </row>
    <row r="738" spans="7:12">
      <c r="G738" s="464"/>
      <c r="H738" s="464"/>
      <c r="I738" s="464"/>
      <c r="J738" s="464"/>
      <c r="K738" s="464"/>
      <c r="L738" s="464"/>
    </row>
    <row r="739" spans="7:12">
      <c r="G739" s="464"/>
      <c r="H739" s="464"/>
      <c r="I739" s="464"/>
      <c r="J739" s="464"/>
      <c r="K739" s="464"/>
      <c r="L739" s="464"/>
    </row>
    <row r="740" spans="7:12">
      <c r="G740" s="464"/>
      <c r="H740" s="464"/>
      <c r="I740" s="464"/>
      <c r="J740" s="464"/>
      <c r="K740" s="464"/>
      <c r="L740" s="464"/>
    </row>
    <row r="741" spans="7:12">
      <c r="G741" s="464"/>
      <c r="H741" s="464"/>
      <c r="I741" s="464"/>
      <c r="J741" s="464"/>
      <c r="K741" s="464"/>
      <c r="L741" s="464"/>
    </row>
    <row r="742" spans="7:12">
      <c r="G742" s="464"/>
      <c r="H742" s="464"/>
      <c r="I742" s="464"/>
      <c r="J742" s="464"/>
      <c r="K742" s="464"/>
      <c r="L742" s="464"/>
    </row>
    <row r="743" spans="7:12">
      <c r="G743" s="464"/>
      <c r="H743" s="464"/>
      <c r="I743" s="464"/>
      <c r="J743" s="464"/>
      <c r="K743" s="464"/>
      <c r="L743" s="464"/>
    </row>
    <row r="744" spans="7:12">
      <c r="G744" s="464"/>
      <c r="H744" s="464"/>
      <c r="I744" s="464"/>
      <c r="J744" s="464"/>
      <c r="K744" s="464"/>
      <c r="L744" s="464"/>
    </row>
    <row r="745" spans="7:12">
      <c r="G745" s="464"/>
      <c r="H745" s="464"/>
      <c r="I745" s="464"/>
      <c r="J745" s="464"/>
      <c r="K745" s="464"/>
      <c r="L745" s="464"/>
    </row>
    <row r="746" spans="7:12">
      <c r="G746" s="464"/>
      <c r="H746" s="464"/>
      <c r="I746" s="464"/>
      <c r="J746" s="464"/>
      <c r="K746" s="464"/>
      <c r="L746" s="464"/>
    </row>
    <row r="747" spans="7:12">
      <c r="G747" s="464"/>
      <c r="H747" s="464"/>
      <c r="I747" s="464"/>
      <c r="J747" s="464"/>
      <c r="K747" s="464"/>
      <c r="L747" s="464"/>
    </row>
    <row r="748" spans="7:12">
      <c r="G748" s="464"/>
      <c r="H748" s="464"/>
      <c r="I748" s="464"/>
      <c r="J748" s="464"/>
      <c r="K748" s="464"/>
      <c r="L748" s="464"/>
    </row>
    <row r="749" spans="7:12">
      <c r="G749" s="464"/>
      <c r="H749" s="464"/>
      <c r="I749" s="464"/>
      <c r="J749" s="464"/>
      <c r="K749" s="464"/>
      <c r="L749" s="464"/>
    </row>
    <row r="750" spans="7:12">
      <c r="G750" s="464"/>
      <c r="H750" s="464"/>
      <c r="I750" s="464"/>
      <c r="J750" s="464"/>
      <c r="K750" s="464"/>
      <c r="L750" s="464"/>
    </row>
    <row r="751" spans="7:12">
      <c r="G751" s="464"/>
      <c r="H751" s="464"/>
      <c r="I751" s="464"/>
      <c r="J751" s="464"/>
      <c r="K751" s="464"/>
      <c r="L751" s="464"/>
    </row>
    <row r="752" spans="7:12">
      <c r="G752" s="464"/>
      <c r="H752" s="464"/>
      <c r="I752" s="464"/>
      <c r="J752" s="464"/>
      <c r="K752" s="464"/>
      <c r="L752" s="464"/>
    </row>
    <row r="753" spans="7:12">
      <c r="G753" s="464"/>
      <c r="H753" s="464"/>
      <c r="I753" s="464"/>
      <c r="J753" s="464"/>
      <c r="K753" s="464"/>
      <c r="L753" s="464"/>
    </row>
    <row r="754" spans="7:12">
      <c r="G754" s="464"/>
      <c r="H754" s="464"/>
      <c r="I754" s="464"/>
      <c r="J754" s="464"/>
      <c r="K754" s="464"/>
      <c r="L754" s="464"/>
    </row>
    <row r="755" spans="7:12">
      <c r="G755" s="464"/>
      <c r="H755" s="464"/>
      <c r="I755" s="464"/>
      <c r="J755" s="464"/>
      <c r="K755" s="464"/>
      <c r="L755" s="464"/>
    </row>
    <row r="756" spans="7:12">
      <c r="G756" s="464"/>
      <c r="H756" s="464"/>
      <c r="I756" s="464"/>
      <c r="J756" s="464"/>
      <c r="K756" s="464"/>
      <c r="L756" s="464"/>
    </row>
    <row r="757" spans="7:12">
      <c r="G757" s="464"/>
      <c r="H757" s="464"/>
      <c r="I757" s="464"/>
      <c r="J757" s="464"/>
      <c r="K757" s="464"/>
      <c r="L757" s="464"/>
    </row>
    <row r="758" spans="7:12">
      <c r="G758" s="464"/>
      <c r="H758" s="464"/>
      <c r="I758" s="464"/>
      <c r="J758" s="464"/>
      <c r="K758" s="464"/>
      <c r="L758" s="464"/>
    </row>
    <row r="759" spans="7:12">
      <c r="G759" s="464"/>
      <c r="H759" s="464"/>
      <c r="I759" s="464"/>
      <c r="J759" s="464"/>
      <c r="K759" s="464"/>
      <c r="L759" s="464"/>
    </row>
    <row r="760" spans="7:12">
      <c r="G760" s="464"/>
      <c r="H760" s="464"/>
      <c r="I760" s="464"/>
      <c r="J760" s="464"/>
      <c r="K760" s="464"/>
      <c r="L760" s="464"/>
    </row>
    <row r="761" spans="7:12">
      <c r="G761" s="464"/>
      <c r="H761" s="464"/>
      <c r="I761" s="464"/>
      <c r="J761" s="464"/>
      <c r="K761" s="464"/>
      <c r="L761" s="464"/>
    </row>
    <row r="762" spans="7:12">
      <c r="G762" s="464"/>
      <c r="H762" s="464"/>
      <c r="I762" s="464"/>
      <c r="J762" s="464"/>
      <c r="K762" s="464"/>
      <c r="L762" s="464"/>
    </row>
    <row r="763" spans="7:12">
      <c r="G763" s="464"/>
      <c r="H763" s="464"/>
      <c r="I763" s="464"/>
      <c r="J763" s="464"/>
      <c r="K763" s="464"/>
      <c r="L763" s="464"/>
    </row>
    <row r="764" spans="7:12">
      <c r="G764" s="464"/>
      <c r="H764" s="464"/>
      <c r="I764" s="464"/>
      <c r="J764" s="464"/>
      <c r="K764" s="464"/>
      <c r="L764" s="464"/>
    </row>
    <row r="765" spans="7:12">
      <c r="G765" s="464"/>
      <c r="H765" s="464"/>
      <c r="I765" s="464"/>
      <c r="J765" s="464"/>
      <c r="K765" s="464"/>
      <c r="L765" s="464"/>
    </row>
    <row r="766" spans="7:12">
      <c r="G766" s="464"/>
      <c r="H766" s="464"/>
      <c r="I766" s="464"/>
      <c r="J766" s="464"/>
      <c r="K766" s="464"/>
      <c r="L766" s="464"/>
    </row>
    <row r="767" spans="7:12">
      <c r="G767" s="464"/>
      <c r="H767" s="464"/>
      <c r="I767" s="464"/>
      <c r="J767" s="464"/>
      <c r="K767" s="464"/>
      <c r="L767" s="464"/>
    </row>
    <row r="768" spans="7:12">
      <c r="G768" s="464"/>
      <c r="H768" s="464"/>
      <c r="I768" s="464"/>
      <c r="J768" s="464"/>
      <c r="K768" s="464"/>
      <c r="L768" s="464"/>
    </row>
    <row r="769" spans="7:12">
      <c r="G769" s="464"/>
      <c r="H769" s="464"/>
      <c r="I769" s="464"/>
      <c r="J769" s="464"/>
      <c r="K769" s="464"/>
      <c r="L769" s="464"/>
    </row>
    <row r="770" spans="7:12">
      <c r="G770" s="464"/>
      <c r="H770" s="464"/>
      <c r="I770" s="464"/>
      <c r="J770" s="464"/>
      <c r="K770" s="464"/>
      <c r="L770" s="464"/>
    </row>
    <row r="771" spans="7:12">
      <c r="G771" s="464"/>
      <c r="H771" s="464"/>
      <c r="I771" s="464"/>
      <c r="J771" s="464"/>
      <c r="K771" s="464"/>
      <c r="L771" s="464"/>
    </row>
    <row r="772" spans="7:12">
      <c r="G772" s="464"/>
      <c r="H772" s="464"/>
      <c r="I772" s="464"/>
      <c r="J772" s="464"/>
      <c r="K772" s="464"/>
      <c r="L772" s="464"/>
    </row>
    <row r="773" spans="7:12">
      <c r="G773" s="464"/>
      <c r="H773" s="464"/>
      <c r="I773" s="464"/>
      <c r="J773" s="464"/>
      <c r="K773" s="464"/>
      <c r="L773" s="464"/>
    </row>
    <row r="774" spans="7:12">
      <c r="G774" s="464"/>
      <c r="H774" s="464"/>
      <c r="I774" s="464"/>
      <c r="J774" s="464"/>
      <c r="K774" s="464"/>
      <c r="L774" s="464"/>
    </row>
    <row r="775" spans="7:12">
      <c r="G775" s="464"/>
      <c r="H775" s="464"/>
      <c r="I775" s="464"/>
      <c r="J775" s="464"/>
      <c r="K775" s="464"/>
      <c r="L775" s="464"/>
    </row>
    <row r="776" spans="7:12">
      <c r="G776" s="464"/>
      <c r="H776" s="464"/>
      <c r="I776" s="464"/>
      <c r="J776" s="464"/>
      <c r="K776" s="464"/>
      <c r="L776" s="464"/>
    </row>
    <row r="777" spans="7:12">
      <c r="G777" s="464"/>
      <c r="H777" s="464"/>
      <c r="I777" s="464"/>
      <c r="J777" s="464"/>
      <c r="K777" s="464"/>
      <c r="L777" s="464"/>
    </row>
    <row r="778" spans="7:12">
      <c r="G778" s="464"/>
      <c r="H778" s="464"/>
      <c r="I778" s="464"/>
      <c r="J778" s="464"/>
      <c r="K778" s="464"/>
      <c r="L778" s="464"/>
    </row>
    <row r="779" spans="7:12">
      <c r="G779" s="464"/>
      <c r="H779" s="464"/>
      <c r="I779" s="464"/>
      <c r="J779" s="464"/>
      <c r="K779" s="464"/>
      <c r="L779" s="464"/>
    </row>
    <row r="780" spans="7:12">
      <c r="G780" s="464"/>
      <c r="H780" s="464"/>
      <c r="I780" s="464"/>
      <c r="J780" s="464"/>
      <c r="K780" s="464"/>
      <c r="L780" s="464"/>
    </row>
    <row r="781" spans="7:12">
      <c r="G781" s="464"/>
      <c r="H781" s="464"/>
      <c r="I781" s="464"/>
      <c r="J781" s="464"/>
      <c r="K781" s="464"/>
      <c r="L781" s="464"/>
    </row>
    <row r="782" spans="7:12">
      <c r="G782" s="464"/>
      <c r="H782" s="464"/>
      <c r="I782" s="464"/>
      <c r="J782" s="464"/>
      <c r="K782" s="464"/>
      <c r="L782" s="464"/>
    </row>
    <row r="783" spans="7:12">
      <c r="G783" s="464"/>
      <c r="H783" s="464"/>
      <c r="I783" s="464"/>
      <c r="J783" s="464"/>
      <c r="K783" s="464"/>
      <c r="L783" s="464"/>
    </row>
    <row r="784" spans="7:12">
      <c r="G784" s="464"/>
      <c r="H784" s="464"/>
      <c r="I784" s="464"/>
      <c r="J784" s="464"/>
      <c r="K784" s="464"/>
      <c r="L784" s="464"/>
    </row>
    <row r="785" spans="7:12">
      <c r="G785" s="464"/>
      <c r="H785" s="464"/>
      <c r="I785" s="464"/>
      <c r="J785" s="464"/>
      <c r="K785" s="464"/>
      <c r="L785" s="464"/>
    </row>
    <row r="786" spans="7:12">
      <c r="G786" s="464"/>
      <c r="H786" s="464"/>
      <c r="I786" s="464"/>
      <c r="J786" s="464"/>
      <c r="K786" s="464"/>
      <c r="L786" s="464"/>
    </row>
    <row r="787" spans="7:12">
      <c r="G787" s="464"/>
      <c r="H787" s="464"/>
      <c r="I787" s="464"/>
      <c r="J787" s="464"/>
      <c r="K787" s="464"/>
      <c r="L787" s="464"/>
    </row>
    <row r="788" spans="7:12">
      <c r="G788" s="464"/>
      <c r="H788" s="464"/>
      <c r="I788" s="464"/>
      <c r="J788" s="464"/>
      <c r="K788" s="464"/>
      <c r="L788" s="464"/>
    </row>
    <row r="789" spans="7:12">
      <c r="G789" s="464"/>
      <c r="H789" s="464"/>
      <c r="I789" s="464"/>
      <c r="J789" s="464"/>
      <c r="K789" s="464"/>
      <c r="L789" s="464"/>
    </row>
    <row r="790" spans="7:12">
      <c r="G790" s="464"/>
      <c r="H790" s="464"/>
      <c r="I790" s="464"/>
      <c r="J790" s="464"/>
      <c r="K790" s="464"/>
      <c r="L790" s="464"/>
    </row>
    <row r="791" spans="7:12">
      <c r="G791" s="464"/>
      <c r="H791" s="464"/>
      <c r="I791" s="464"/>
      <c r="J791" s="464"/>
      <c r="K791" s="464"/>
      <c r="L791" s="464"/>
    </row>
    <row r="792" spans="7:12">
      <c r="G792" s="464"/>
      <c r="H792" s="464"/>
      <c r="I792" s="464"/>
      <c r="J792" s="464"/>
      <c r="K792" s="464"/>
      <c r="L792" s="464"/>
    </row>
    <row r="793" spans="7:12">
      <c r="G793" s="464"/>
      <c r="H793" s="464"/>
      <c r="I793" s="464"/>
      <c r="J793" s="464"/>
      <c r="K793" s="464"/>
      <c r="L793" s="464"/>
    </row>
    <row r="794" spans="7:12">
      <c r="G794" s="464"/>
      <c r="H794" s="464"/>
      <c r="I794" s="464"/>
      <c r="J794" s="464"/>
      <c r="K794" s="464"/>
      <c r="L794" s="464"/>
    </row>
    <row r="795" spans="7:12">
      <c r="G795" s="464"/>
      <c r="H795" s="464"/>
      <c r="I795" s="464"/>
      <c r="J795" s="464"/>
      <c r="K795" s="464"/>
      <c r="L795" s="464"/>
    </row>
    <row r="796" spans="7:12">
      <c r="G796" s="464"/>
      <c r="H796" s="464"/>
      <c r="I796" s="464"/>
      <c r="J796" s="464"/>
      <c r="K796" s="464"/>
      <c r="L796" s="464"/>
    </row>
    <row r="797" spans="7:12">
      <c r="G797" s="464"/>
      <c r="H797" s="464"/>
      <c r="I797" s="464"/>
      <c r="J797" s="464"/>
      <c r="K797" s="464"/>
      <c r="L797" s="464"/>
    </row>
    <row r="798" spans="7:12">
      <c r="G798" s="464"/>
      <c r="H798" s="464"/>
      <c r="I798" s="464"/>
      <c r="J798" s="464"/>
      <c r="K798" s="464"/>
      <c r="L798" s="464"/>
    </row>
    <row r="799" spans="7:12">
      <c r="G799" s="464"/>
      <c r="H799" s="464"/>
      <c r="I799" s="464"/>
      <c r="J799" s="464"/>
      <c r="K799" s="464"/>
      <c r="L799" s="464"/>
    </row>
    <row r="800" spans="7:12">
      <c r="G800" s="464"/>
      <c r="H800" s="464"/>
      <c r="I800" s="464"/>
      <c r="J800" s="464"/>
      <c r="K800" s="464"/>
      <c r="L800" s="464"/>
    </row>
    <row r="801" spans="7:12">
      <c r="G801" s="464"/>
      <c r="H801" s="464"/>
      <c r="I801" s="464"/>
      <c r="J801" s="464"/>
      <c r="K801" s="464"/>
      <c r="L801" s="464"/>
    </row>
    <row r="802" spans="7:12">
      <c r="G802" s="464"/>
      <c r="H802" s="464"/>
      <c r="I802" s="464"/>
      <c r="J802" s="464"/>
      <c r="K802" s="464"/>
      <c r="L802" s="464"/>
    </row>
    <row r="803" spans="7:12">
      <c r="G803" s="464"/>
      <c r="H803" s="464"/>
      <c r="I803" s="464"/>
      <c r="J803" s="464"/>
      <c r="K803" s="464"/>
      <c r="L803" s="464"/>
    </row>
    <row r="804" spans="7:12">
      <c r="G804" s="464"/>
      <c r="H804" s="464"/>
      <c r="I804" s="464"/>
      <c r="J804" s="464"/>
      <c r="K804" s="464"/>
      <c r="L804" s="464"/>
    </row>
    <row r="805" spans="7:12">
      <c r="G805" s="464"/>
      <c r="H805" s="464"/>
      <c r="I805" s="464"/>
      <c r="J805" s="464"/>
      <c r="K805" s="464"/>
      <c r="L805" s="464"/>
    </row>
    <row r="806" spans="7:12">
      <c r="G806" s="464"/>
      <c r="H806" s="464"/>
      <c r="I806" s="464"/>
      <c r="J806" s="464"/>
      <c r="K806" s="464"/>
      <c r="L806" s="464"/>
    </row>
    <row r="807" spans="7:12">
      <c r="G807" s="464"/>
      <c r="H807" s="464"/>
      <c r="I807" s="464"/>
      <c r="J807" s="464"/>
      <c r="K807" s="464"/>
      <c r="L807" s="464"/>
    </row>
    <row r="808" spans="7:12">
      <c r="G808" s="464"/>
      <c r="H808" s="464"/>
      <c r="I808" s="464"/>
      <c r="J808" s="464"/>
      <c r="K808" s="464"/>
      <c r="L808" s="464"/>
    </row>
    <row r="809" spans="7:12">
      <c r="G809" s="464"/>
      <c r="H809" s="464"/>
      <c r="I809" s="464"/>
      <c r="J809" s="464"/>
      <c r="K809" s="464"/>
      <c r="L809" s="464"/>
    </row>
    <row r="810" spans="7:12">
      <c r="G810" s="464"/>
      <c r="H810" s="464"/>
      <c r="I810" s="464"/>
      <c r="J810" s="464"/>
      <c r="K810" s="464"/>
      <c r="L810" s="464"/>
    </row>
    <row r="811" spans="7:12">
      <c r="G811" s="464"/>
      <c r="H811" s="464"/>
      <c r="I811" s="464"/>
      <c r="J811" s="464"/>
      <c r="K811" s="464"/>
      <c r="L811" s="464"/>
    </row>
    <row r="812" spans="7:12">
      <c r="G812" s="464"/>
      <c r="H812" s="464"/>
      <c r="I812" s="464"/>
      <c r="J812" s="464"/>
      <c r="K812" s="464"/>
      <c r="L812" s="464"/>
    </row>
    <row r="813" spans="7:12">
      <c r="G813" s="464"/>
      <c r="H813" s="464"/>
      <c r="I813" s="464"/>
      <c r="J813" s="464"/>
      <c r="K813" s="464"/>
      <c r="L813" s="464"/>
    </row>
    <row r="814" spans="7:12">
      <c r="G814" s="464"/>
      <c r="H814" s="464"/>
      <c r="I814" s="464"/>
      <c r="J814" s="464"/>
      <c r="K814" s="464"/>
      <c r="L814" s="464"/>
    </row>
    <row r="815" spans="7:12">
      <c r="G815" s="464"/>
      <c r="H815" s="464"/>
      <c r="I815" s="464"/>
      <c r="J815" s="464"/>
      <c r="K815" s="464"/>
      <c r="L815" s="464"/>
    </row>
    <row r="816" spans="7:12">
      <c r="G816" s="464"/>
      <c r="H816" s="464"/>
      <c r="I816" s="464"/>
      <c r="J816" s="464"/>
      <c r="K816" s="464"/>
      <c r="L816" s="464"/>
    </row>
    <row r="817" spans="7:12">
      <c r="G817" s="464"/>
      <c r="H817" s="464"/>
      <c r="I817" s="464"/>
      <c r="J817" s="464"/>
      <c r="K817" s="464"/>
      <c r="L817" s="464"/>
    </row>
    <row r="818" spans="7:12">
      <c r="G818" s="464"/>
      <c r="H818" s="464"/>
      <c r="I818" s="464"/>
      <c r="J818" s="464"/>
      <c r="K818" s="464"/>
      <c r="L818" s="464"/>
    </row>
    <row r="819" spans="7:12">
      <c r="G819" s="464"/>
      <c r="H819" s="464"/>
      <c r="I819" s="464"/>
      <c r="J819" s="464"/>
      <c r="K819" s="464"/>
      <c r="L819" s="464"/>
    </row>
    <row r="820" spans="7:12">
      <c r="G820" s="464"/>
      <c r="H820" s="464"/>
      <c r="I820" s="464"/>
      <c r="J820" s="464"/>
      <c r="K820" s="464"/>
      <c r="L820" s="464"/>
    </row>
    <row r="821" spans="7:12">
      <c r="G821" s="464"/>
      <c r="H821" s="464"/>
      <c r="I821" s="464"/>
      <c r="J821" s="464"/>
      <c r="K821" s="464"/>
      <c r="L821" s="464"/>
    </row>
    <row r="822" spans="7:12">
      <c r="G822" s="464"/>
      <c r="H822" s="464"/>
      <c r="I822" s="464"/>
      <c r="J822" s="464"/>
      <c r="K822" s="464"/>
      <c r="L822" s="464"/>
    </row>
    <row r="823" spans="7:12">
      <c r="G823" s="464"/>
      <c r="H823" s="464"/>
      <c r="I823" s="464"/>
      <c r="J823" s="464"/>
      <c r="K823" s="464"/>
      <c r="L823" s="464"/>
    </row>
    <row r="824" spans="7:12">
      <c r="G824" s="464"/>
      <c r="H824" s="464"/>
      <c r="I824" s="464"/>
      <c r="J824" s="464"/>
      <c r="K824" s="464"/>
      <c r="L824" s="464"/>
    </row>
    <row r="825" spans="7:12">
      <c r="G825" s="464"/>
      <c r="H825" s="464"/>
      <c r="I825" s="464"/>
      <c r="J825" s="464"/>
      <c r="K825" s="464"/>
      <c r="L825" s="464"/>
    </row>
    <row r="826" spans="7:12">
      <c r="G826" s="464"/>
      <c r="H826" s="464"/>
      <c r="I826" s="464"/>
      <c r="J826" s="464"/>
      <c r="K826" s="464"/>
      <c r="L826" s="464"/>
    </row>
    <row r="827" spans="7:12">
      <c r="G827" s="464"/>
      <c r="H827" s="464"/>
      <c r="I827" s="464"/>
      <c r="J827" s="464"/>
      <c r="K827" s="464"/>
      <c r="L827" s="464"/>
    </row>
    <row r="828" spans="7:12">
      <c r="G828" s="464"/>
      <c r="H828" s="464"/>
      <c r="I828" s="464"/>
      <c r="J828" s="464"/>
      <c r="K828" s="464"/>
      <c r="L828" s="464"/>
    </row>
    <row r="829" spans="7:12">
      <c r="G829" s="464"/>
      <c r="H829" s="464"/>
      <c r="I829" s="464"/>
      <c r="J829" s="464"/>
      <c r="K829" s="464"/>
      <c r="L829" s="464"/>
    </row>
    <row r="830" spans="7:12">
      <c r="G830" s="464"/>
      <c r="H830" s="464"/>
      <c r="I830" s="464"/>
      <c r="J830" s="464"/>
      <c r="K830" s="464"/>
      <c r="L830" s="464"/>
    </row>
    <row r="831" spans="7:12">
      <c r="G831" s="464"/>
      <c r="H831" s="464"/>
      <c r="I831" s="464"/>
      <c r="J831" s="464"/>
      <c r="K831" s="464"/>
      <c r="L831" s="464"/>
    </row>
    <row r="832" spans="7:12">
      <c r="G832" s="464"/>
      <c r="H832" s="464"/>
      <c r="I832" s="464"/>
      <c r="J832" s="464"/>
      <c r="K832" s="464"/>
      <c r="L832" s="464"/>
    </row>
    <row r="833" spans="7:12">
      <c r="G833" s="464"/>
      <c r="H833" s="464"/>
      <c r="I833" s="464"/>
      <c r="J833" s="464"/>
      <c r="K833" s="464"/>
      <c r="L833" s="464"/>
    </row>
    <row r="834" spans="7:12">
      <c r="G834" s="464"/>
      <c r="H834" s="464"/>
      <c r="I834" s="464"/>
      <c r="J834" s="464"/>
      <c r="K834" s="464"/>
      <c r="L834" s="464"/>
    </row>
    <row r="835" spans="7:12">
      <c r="G835" s="464"/>
      <c r="H835" s="464"/>
      <c r="I835" s="464"/>
      <c r="J835" s="464"/>
      <c r="K835" s="464"/>
      <c r="L835" s="464"/>
    </row>
    <row r="836" spans="7:12">
      <c r="G836" s="464"/>
      <c r="H836" s="464"/>
      <c r="I836" s="464"/>
      <c r="J836" s="464"/>
      <c r="K836" s="464"/>
      <c r="L836" s="464"/>
    </row>
    <row r="837" spans="7:12">
      <c r="G837" s="464"/>
      <c r="H837" s="464"/>
      <c r="I837" s="464"/>
      <c r="J837" s="464"/>
      <c r="K837" s="464"/>
      <c r="L837" s="464"/>
    </row>
    <row r="838" spans="7:12">
      <c r="G838" s="464"/>
      <c r="H838" s="464"/>
      <c r="I838" s="464"/>
      <c r="J838" s="464"/>
      <c r="K838" s="464"/>
      <c r="L838" s="464"/>
    </row>
    <row r="839" spans="7:12">
      <c r="G839" s="464"/>
      <c r="H839" s="464"/>
      <c r="I839" s="464"/>
      <c r="J839" s="464"/>
      <c r="K839" s="464"/>
      <c r="L839" s="464"/>
    </row>
    <row r="840" spans="7:12">
      <c r="G840" s="464"/>
      <c r="H840" s="464"/>
      <c r="I840" s="464"/>
      <c r="J840" s="464"/>
      <c r="K840" s="464"/>
      <c r="L840" s="464"/>
    </row>
    <row r="841" spans="7:12">
      <c r="G841" s="464"/>
      <c r="H841" s="464"/>
      <c r="I841" s="464"/>
      <c r="J841" s="464"/>
      <c r="K841" s="464"/>
      <c r="L841" s="464"/>
    </row>
    <row r="842" spans="7:12">
      <c r="G842" s="464"/>
      <c r="H842" s="464"/>
      <c r="I842" s="464"/>
      <c r="J842" s="464"/>
      <c r="K842" s="464"/>
      <c r="L842" s="464"/>
    </row>
    <row r="843" spans="7:12">
      <c r="G843" s="464"/>
      <c r="H843" s="464"/>
      <c r="I843" s="464"/>
      <c r="J843" s="464"/>
      <c r="K843" s="464"/>
      <c r="L843" s="464"/>
    </row>
    <row r="844" spans="7:12">
      <c r="G844" s="464"/>
      <c r="H844" s="464"/>
      <c r="I844" s="464"/>
      <c r="J844" s="464"/>
      <c r="K844" s="464"/>
      <c r="L844" s="464"/>
    </row>
    <row r="845" spans="7:12">
      <c r="G845" s="464"/>
      <c r="H845" s="464"/>
      <c r="I845" s="464"/>
      <c r="J845" s="464"/>
      <c r="K845" s="464"/>
      <c r="L845" s="464"/>
    </row>
    <row r="846" spans="7:12">
      <c r="G846" s="464"/>
      <c r="H846" s="464"/>
      <c r="I846" s="464"/>
      <c r="J846" s="464"/>
      <c r="K846" s="464"/>
      <c r="L846" s="464"/>
    </row>
    <row r="847" spans="7:12">
      <c r="G847" s="464"/>
      <c r="H847" s="464"/>
      <c r="I847" s="464"/>
      <c r="J847" s="464"/>
      <c r="K847" s="464"/>
      <c r="L847" s="464"/>
    </row>
    <row r="848" spans="7:12">
      <c r="G848" s="464"/>
      <c r="H848" s="464"/>
      <c r="I848" s="464"/>
      <c r="J848" s="464"/>
      <c r="K848" s="464"/>
      <c r="L848" s="464"/>
    </row>
    <row r="849" spans="7:12">
      <c r="G849" s="464"/>
      <c r="H849" s="464"/>
      <c r="I849" s="464"/>
      <c r="J849" s="464"/>
      <c r="K849" s="464"/>
      <c r="L849" s="464"/>
    </row>
    <row r="850" spans="7:12">
      <c r="G850" s="464"/>
      <c r="H850" s="464"/>
      <c r="I850" s="464"/>
      <c r="J850" s="464"/>
      <c r="K850" s="464"/>
      <c r="L850" s="464"/>
    </row>
    <row r="851" spans="7:12">
      <c r="G851" s="464"/>
      <c r="H851" s="464"/>
      <c r="I851" s="464"/>
      <c r="J851" s="464"/>
      <c r="K851" s="464"/>
      <c r="L851" s="464"/>
    </row>
    <row r="852" spans="7:12">
      <c r="G852" s="464"/>
      <c r="H852" s="464"/>
      <c r="I852" s="464"/>
      <c r="J852" s="464"/>
      <c r="K852" s="464"/>
      <c r="L852" s="464"/>
    </row>
    <row r="853" spans="7:12">
      <c r="G853" s="464"/>
      <c r="H853" s="464"/>
      <c r="I853" s="464"/>
      <c r="J853" s="464"/>
      <c r="K853" s="464"/>
      <c r="L853" s="464"/>
    </row>
    <row r="854" spans="7:12">
      <c r="G854" s="464"/>
      <c r="H854" s="464"/>
      <c r="I854" s="464"/>
      <c r="J854" s="464"/>
      <c r="K854" s="464"/>
      <c r="L854" s="464"/>
    </row>
    <row r="855" spans="7:12">
      <c r="G855" s="464"/>
      <c r="H855" s="464"/>
      <c r="I855" s="464"/>
      <c r="J855" s="464"/>
      <c r="K855" s="464"/>
      <c r="L855" s="464"/>
    </row>
    <row r="856" spans="7:12">
      <c r="G856" s="464"/>
      <c r="H856" s="464"/>
      <c r="I856" s="464"/>
      <c r="J856" s="464"/>
      <c r="K856" s="464"/>
      <c r="L856" s="464"/>
    </row>
    <row r="857" spans="7:12">
      <c r="G857" s="464"/>
      <c r="H857" s="464"/>
      <c r="I857" s="464"/>
      <c r="J857" s="464"/>
      <c r="K857" s="464"/>
      <c r="L857" s="464"/>
    </row>
    <row r="858" spans="7:12">
      <c r="G858" s="464"/>
      <c r="H858" s="464"/>
      <c r="I858" s="464"/>
      <c r="J858" s="464"/>
      <c r="K858" s="464"/>
      <c r="L858" s="464"/>
    </row>
    <row r="859" spans="7:12">
      <c r="G859" s="464"/>
      <c r="H859" s="464"/>
      <c r="I859" s="464"/>
      <c r="J859" s="464"/>
      <c r="K859" s="464"/>
      <c r="L859" s="464"/>
    </row>
    <row r="860" spans="7:12">
      <c r="G860" s="464"/>
      <c r="H860" s="464"/>
      <c r="I860" s="464"/>
      <c r="J860" s="464"/>
      <c r="K860" s="464"/>
      <c r="L860" s="464"/>
    </row>
    <row r="861" spans="7:12">
      <c r="G861" s="464"/>
      <c r="H861" s="464"/>
      <c r="I861" s="464"/>
      <c r="J861" s="464"/>
      <c r="K861" s="464"/>
      <c r="L861" s="464"/>
    </row>
    <row r="862" spans="7:12">
      <c r="G862" s="464"/>
      <c r="H862" s="464"/>
      <c r="I862" s="464"/>
      <c r="J862" s="464"/>
      <c r="K862" s="464"/>
      <c r="L862" s="464"/>
    </row>
    <row r="863" spans="7:12">
      <c r="G863" s="464"/>
      <c r="H863" s="464"/>
      <c r="I863" s="464"/>
      <c r="J863" s="464"/>
      <c r="K863" s="464"/>
      <c r="L863" s="464"/>
    </row>
    <row r="864" spans="7:12">
      <c r="G864" s="464"/>
      <c r="H864" s="464"/>
      <c r="I864" s="464"/>
      <c r="J864" s="464"/>
      <c r="K864" s="464"/>
      <c r="L864" s="464"/>
    </row>
    <row r="865" spans="7:12">
      <c r="G865" s="464"/>
      <c r="H865" s="464"/>
      <c r="I865" s="464"/>
      <c r="J865" s="464"/>
      <c r="K865" s="464"/>
      <c r="L865" s="464"/>
    </row>
    <row r="866" spans="7:12">
      <c r="G866" s="464"/>
      <c r="H866" s="464"/>
      <c r="I866" s="464"/>
      <c r="J866" s="464"/>
      <c r="K866" s="464"/>
      <c r="L866" s="464"/>
    </row>
    <row r="867" spans="7:12">
      <c r="G867" s="464"/>
      <c r="H867" s="464"/>
      <c r="I867" s="464"/>
      <c r="J867" s="464"/>
      <c r="K867" s="464"/>
      <c r="L867" s="464"/>
    </row>
    <row r="868" spans="7:12">
      <c r="G868" s="464"/>
      <c r="H868" s="464"/>
      <c r="I868" s="464"/>
      <c r="J868" s="464"/>
      <c r="K868" s="464"/>
      <c r="L868" s="464"/>
    </row>
    <row r="869" spans="7:12">
      <c r="G869" s="464"/>
      <c r="H869" s="464"/>
      <c r="I869" s="464"/>
      <c r="J869" s="464"/>
      <c r="K869" s="464"/>
      <c r="L869" s="464"/>
    </row>
    <row r="870" spans="7:12">
      <c r="G870" s="464"/>
      <c r="H870" s="464"/>
      <c r="I870" s="464"/>
      <c r="J870" s="464"/>
      <c r="K870" s="464"/>
      <c r="L870" s="464"/>
    </row>
    <row r="871" spans="7:12">
      <c r="G871" s="464"/>
      <c r="H871" s="464"/>
      <c r="I871" s="464"/>
      <c r="J871" s="464"/>
      <c r="K871" s="464"/>
      <c r="L871" s="464"/>
    </row>
    <row r="872" spans="7:12">
      <c r="G872" s="464"/>
      <c r="H872" s="464"/>
      <c r="I872" s="464"/>
      <c r="J872" s="464"/>
      <c r="K872" s="464"/>
      <c r="L872" s="464"/>
    </row>
    <row r="873" spans="7:12">
      <c r="G873" s="464"/>
      <c r="H873" s="464"/>
      <c r="I873" s="464"/>
      <c r="J873" s="464"/>
      <c r="K873" s="464"/>
      <c r="L873" s="464"/>
    </row>
    <row r="874" spans="7:12">
      <c r="G874" s="464"/>
      <c r="H874" s="464"/>
      <c r="I874" s="464"/>
      <c r="J874" s="464"/>
      <c r="K874" s="464"/>
      <c r="L874" s="464"/>
    </row>
    <row r="875" spans="7:12">
      <c r="G875" s="464"/>
      <c r="H875" s="464"/>
      <c r="I875" s="464"/>
      <c r="J875" s="464"/>
      <c r="K875" s="464"/>
      <c r="L875" s="464"/>
    </row>
    <row r="876" spans="7:12">
      <c r="G876" s="464"/>
      <c r="H876" s="464"/>
      <c r="I876" s="464"/>
      <c r="J876" s="464"/>
      <c r="K876" s="464"/>
      <c r="L876" s="464"/>
    </row>
    <row r="877" spans="7:12">
      <c r="G877" s="464"/>
      <c r="H877" s="464"/>
      <c r="I877" s="464"/>
      <c r="J877" s="464"/>
      <c r="K877" s="464"/>
      <c r="L877" s="464"/>
    </row>
    <row r="878" spans="7:12">
      <c r="G878" s="464"/>
      <c r="H878" s="464"/>
      <c r="I878" s="464"/>
      <c r="J878" s="464"/>
      <c r="K878" s="464"/>
      <c r="L878" s="464"/>
    </row>
    <row r="879" spans="7:12">
      <c r="G879" s="464"/>
      <c r="H879" s="464"/>
      <c r="I879" s="464"/>
      <c r="J879" s="464"/>
      <c r="K879" s="464"/>
      <c r="L879" s="464"/>
    </row>
    <row r="880" spans="7:12">
      <c r="G880" s="464"/>
      <c r="H880" s="464"/>
      <c r="I880" s="464"/>
      <c r="J880" s="464"/>
      <c r="K880" s="464"/>
      <c r="L880" s="464"/>
    </row>
    <row r="881" spans="7:12">
      <c r="G881" s="464"/>
      <c r="H881" s="464"/>
      <c r="I881" s="464"/>
      <c r="J881" s="464"/>
      <c r="K881" s="464"/>
      <c r="L881" s="464"/>
    </row>
    <row r="882" spans="7:12">
      <c r="G882" s="464"/>
      <c r="H882" s="464"/>
      <c r="I882" s="464"/>
      <c r="J882" s="464"/>
      <c r="K882" s="464"/>
      <c r="L882" s="464"/>
    </row>
    <row r="883" spans="7:12">
      <c r="G883" s="464"/>
      <c r="H883" s="464"/>
      <c r="I883" s="464"/>
      <c r="J883" s="464"/>
      <c r="K883" s="464"/>
      <c r="L883" s="464"/>
    </row>
    <row r="884" spans="7:12">
      <c r="G884" s="464"/>
      <c r="H884" s="464"/>
      <c r="I884" s="464"/>
      <c r="J884" s="464"/>
      <c r="K884" s="464"/>
      <c r="L884" s="464"/>
    </row>
    <row r="885" spans="7:12">
      <c r="G885" s="464"/>
      <c r="H885" s="464"/>
      <c r="I885" s="464"/>
      <c r="J885" s="464"/>
      <c r="K885" s="464"/>
      <c r="L885" s="464"/>
    </row>
    <row r="886" spans="7:12">
      <c r="G886" s="464"/>
      <c r="H886" s="464"/>
      <c r="I886" s="464"/>
      <c r="J886" s="464"/>
      <c r="K886" s="464"/>
      <c r="L886" s="464"/>
    </row>
    <row r="887" spans="7:12">
      <c r="G887" s="464"/>
      <c r="H887" s="464"/>
      <c r="I887" s="464"/>
      <c r="J887" s="464"/>
      <c r="K887" s="464"/>
      <c r="L887" s="464"/>
    </row>
    <row r="888" spans="7:12">
      <c r="G888" s="464"/>
      <c r="H888" s="464"/>
      <c r="I888" s="464"/>
      <c r="J888" s="464"/>
      <c r="K888" s="464"/>
      <c r="L888" s="464"/>
    </row>
    <row r="889" spans="7:12">
      <c r="G889" s="464"/>
      <c r="H889" s="464"/>
      <c r="I889" s="464"/>
      <c r="J889" s="464"/>
      <c r="K889" s="464"/>
      <c r="L889" s="464"/>
    </row>
    <row r="890" spans="7:12">
      <c r="G890" s="464"/>
      <c r="H890" s="464"/>
      <c r="I890" s="464"/>
      <c r="J890" s="464"/>
      <c r="K890" s="464"/>
      <c r="L890" s="464"/>
    </row>
    <row r="891" spans="7:12">
      <c r="G891" s="464"/>
      <c r="H891" s="464"/>
      <c r="I891" s="464"/>
      <c r="J891" s="464"/>
      <c r="K891" s="464"/>
      <c r="L891" s="464"/>
    </row>
    <row r="892" spans="7:12">
      <c r="G892" s="464"/>
      <c r="H892" s="464"/>
      <c r="I892" s="464"/>
      <c r="J892" s="464"/>
      <c r="K892" s="464"/>
      <c r="L892" s="464"/>
    </row>
    <row r="893" spans="7:12">
      <c r="G893" s="464"/>
      <c r="H893" s="464"/>
      <c r="I893" s="464"/>
      <c r="J893" s="464"/>
      <c r="K893" s="464"/>
      <c r="L893" s="464"/>
    </row>
    <row r="894" spans="7:12">
      <c r="G894" s="464"/>
      <c r="H894" s="464"/>
      <c r="I894" s="464"/>
      <c r="J894" s="464"/>
      <c r="K894" s="464"/>
      <c r="L894" s="464"/>
    </row>
    <row r="895" spans="7:12">
      <c r="G895" s="464"/>
      <c r="H895" s="464"/>
      <c r="I895" s="464"/>
      <c r="J895" s="464"/>
      <c r="K895" s="464"/>
      <c r="L895" s="464"/>
    </row>
    <row r="896" spans="7:12">
      <c r="G896" s="464"/>
      <c r="H896" s="464"/>
      <c r="I896" s="464"/>
      <c r="J896" s="464"/>
      <c r="K896" s="464"/>
      <c r="L896" s="464"/>
    </row>
    <row r="897" spans="7:12">
      <c r="G897" s="464"/>
      <c r="H897" s="464"/>
      <c r="I897" s="464"/>
      <c r="J897" s="464"/>
      <c r="K897" s="464"/>
      <c r="L897" s="464"/>
    </row>
    <row r="898" spans="7:12">
      <c r="G898" s="464"/>
      <c r="H898" s="464"/>
      <c r="I898" s="464"/>
      <c r="J898" s="464"/>
      <c r="K898" s="464"/>
      <c r="L898" s="464"/>
    </row>
    <row r="899" spans="7:12">
      <c r="G899" s="464"/>
      <c r="H899" s="464"/>
      <c r="I899" s="464"/>
      <c r="J899" s="464"/>
      <c r="K899" s="464"/>
      <c r="L899" s="464"/>
    </row>
    <row r="900" spans="7:12">
      <c r="G900" s="464"/>
      <c r="H900" s="464"/>
      <c r="I900" s="464"/>
      <c r="J900" s="464"/>
      <c r="K900" s="464"/>
      <c r="L900" s="464"/>
    </row>
    <row r="901" spans="7:12">
      <c r="G901" s="464"/>
      <c r="H901" s="464"/>
      <c r="I901" s="464"/>
      <c r="J901" s="464"/>
      <c r="K901" s="464"/>
      <c r="L901" s="464"/>
    </row>
    <row r="902" spans="7:12">
      <c r="G902" s="464"/>
      <c r="H902" s="464"/>
      <c r="I902" s="464"/>
      <c r="J902" s="464"/>
      <c r="K902" s="464"/>
      <c r="L902" s="464"/>
    </row>
    <row r="903" spans="7:12">
      <c r="G903" s="464"/>
      <c r="H903" s="464"/>
      <c r="I903" s="464"/>
      <c r="J903" s="464"/>
      <c r="K903" s="464"/>
      <c r="L903" s="464"/>
    </row>
    <row r="904" spans="7:12">
      <c r="G904" s="464"/>
      <c r="H904" s="464"/>
      <c r="I904" s="464"/>
      <c r="J904" s="464"/>
      <c r="K904" s="464"/>
      <c r="L904" s="464"/>
    </row>
    <row r="905" spans="7:12">
      <c r="G905" s="464"/>
      <c r="H905" s="464"/>
      <c r="I905" s="464"/>
      <c r="J905" s="464"/>
      <c r="K905" s="464"/>
      <c r="L905" s="464"/>
    </row>
    <row r="906" spans="7:12">
      <c r="G906" s="464"/>
      <c r="H906" s="464"/>
      <c r="I906" s="464"/>
      <c r="J906" s="464"/>
      <c r="K906" s="464"/>
      <c r="L906" s="464"/>
    </row>
    <row r="907" spans="7:12">
      <c r="G907" s="464"/>
      <c r="H907" s="464"/>
      <c r="I907" s="464"/>
      <c r="J907" s="464"/>
      <c r="K907" s="464"/>
      <c r="L907" s="464"/>
    </row>
    <row r="908" spans="7:12">
      <c r="G908" s="464"/>
      <c r="H908" s="464"/>
      <c r="I908" s="464"/>
      <c r="J908" s="464"/>
      <c r="K908" s="464"/>
      <c r="L908" s="464"/>
    </row>
    <row r="909" spans="7:12">
      <c r="G909" s="464"/>
      <c r="H909" s="464"/>
      <c r="I909" s="464"/>
      <c r="J909" s="464"/>
      <c r="K909" s="464"/>
      <c r="L909" s="464"/>
    </row>
    <row r="910" spans="7:12">
      <c r="G910" s="464"/>
      <c r="H910" s="464"/>
      <c r="I910" s="464"/>
      <c r="J910" s="464"/>
      <c r="K910" s="464"/>
      <c r="L910" s="464"/>
    </row>
    <row r="911" spans="7:12">
      <c r="G911" s="464"/>
      <c r="H911" s="464"/>
      <c r="I911" s="464"/>
      <c r="J911" s="464"/>
      <c r="K911" s="464"/>
      <c r="L911" s="464"/>
    </row>
    <row r="912" spans="7:12">
      <c r="G912" s="464"/>
      <c r="H912" s="464"/>
      <c r="I912" s="464"/>
      <c r="J912" s="464"/>
      <c r="K912" s="464"/>
      <c r="L912" s="464"/>
    </row>
    <row r="913" spans="7:12">
      <c r="G913" s="464"/>
      <c r="H913" s="464"/>
      <c r="I913" s="464"/>
      <c r="J913" s="464"/>
      <c r="K913" s="464"/>
      <c r="L913" s="464"/>
    </row>
    <row r="914" spans="7:12">
      <c r="G914" s="464"/>
      <c r="H914" s="464"/>
      <c r="I914" s="464"/>
      <c r="J914" s="464"/>
      <c r="K914" s="464"/>
      <c r="L914" s="464"/>
    </row>
    <row r="915" spans="7:12">
      <c r="G915" s="464"/>
      <c r="H915" s="464"/>
      <c r="I915" s="464"/>
      <c r="J915" s="464"/>
      <c r="K915" s="464"/>
      <c r="L915" s="464"/>
    </row>
    <row r="916" spans="7:12">
      <c r="G916" s="464"/>
      <c r="H916" s="464"/>
      <c r="I916" s="464"/>
      <c r="J916" s="464"/>
      <c r="K916" s="464"/>
      <c r="L916" s="464"/>
    </row>
    <row r="917" spans="7:12">
      <c r="G917" s="464"/>
      <c r="H917" s="464"/>
      <c r="I917" s="464"/>
      <c r="J917" s="464"/>
      <c r="K917" s="464"/>
      <c r="L917" s="464"/>
    </row>
    <row r="918" spans="7:12">
      <c r="G918" s="464"/>
      <c r="H918" s="464"/>
      <c r="I918" s="464"/>
      <c r="J918" s="464"/>
      <c r="K918" s="464"/>
      <c r="L918" s="464"/>
    </row>
    <row r="919" spans="7:12">
      <c r="G919" s="464"/>
      <c r="H919" s="464"/>
      <c r="I919" s="464"/>
      <c r="J919" s="464"/>
      <c r="K919" s="464"/>
      <c r="L919" s="464"/>
    </row>
    <row r="920" spans="7:12">
      <c r="G920" s="464"/>
      <c r="H920" s="464"/>
      <c r="I920" s="464"/>
      <c r="J920" s="464"/>
      <c r="K920" s="464"/>
      <c r="L920" s="464"/>
    </row>
    <row r="921" spans="7:12">
      <c r="G921" s="464"/>
      <c r="H921" s="464"/>
      <c r="I921" s="464"/>
      <c r="J921" s="464"/>
      <c r="K921" s="464"/>
      <c r="L921" s="464"/>
    </row>
    <row r="922" spans="7:12">
      <c r="G922" s="464"/>
      <c r="H922" s="464"/>
      <c r="I922" s="464"/>
      <c r="J922" s="464"/>
      <c r="K922" s="464"/>
      <c r="L922" s="464"/>
    </row>
    <row r="923" spans="7:12">
      <c r="G923" s="464"/>
      <c r="H923" s="464"/>
      <c r="I923" s="464"/>
      <c r="J923" s="464"/>
      <c r="K923" s="464"/>
      <c r="L923" s="464"/>
    </row>
    <row r="924" spans="7:12">
      <c r="G924" s="464"/>
      <c r="H924" s="464"/>
      <c r="I924" s="464"/>
      <c r="J924" s="464"/>
      <c r="K924" s="464"/>
      <c r="L924" s="464"/>
    </row>
    <row r="925" spans="7:12">
      <c r="G925" s="464"/>
      <c r="H925" s="464"/>
      <c r="I925" s="464"/>
      <c r="J925" s="464"/>
      <c r="K925" s="464"/>
      <c r="L925" s="464"/>
    </row>
    <row r="926" spans="7:12">
      <c r="G926" s="464"/>
      <c r="H926" s="464"/>
      <c r="I926" s="464"/>
      <c r="J926" s="464"/>
      <c r="K926" s="464"/>
      <c r="L926" s="464"/>
    </row>
    <row r="927" spans="7:12">
      <c r="G927" s="464"/>
      <c r="H927" s="464"/>
      <c r="I927" s="464"/>
      <c r="J927" s="464"/>
      <c r="K927" s="464"/>
      <c r="L927" s="464"/>
    </row>
    <row r="928" spans="7:12">
      <c r="G928" s="464"/>
      <c r="H928" s="464"/>
      <c r="I928" s="464"/>
      <c r="J928" s="464"/>
      <c r="K928" s="464"/>
      <c r="L928" s="464"/>
    </row>
    <row r="929" spans="7:12">
      <c r="G929" s="464"/>
      <c r="H929" s="464"/>
      <c r="I929" s="464"/>
      <c r="J929" s="464"/>
      <c r="K929" s="464"/>
      <c r="L929" s="464"/>
    </row>
    <row r="930" spans="7:12">
      <c r="G930" s="464"/>
      <c r="H930" s="464"/>
      <c r="I930" s="464"/>
      <c r="J930" s="464"/>
      <c r="K930" s="464"/>
      <c r="L930" s="464"/>
    </row>
    <row r="931" spans="7:12">
      <c r="G931" s="464"/>
      <c r="H931" s="464"/>
      <c r="I931" s="464"/>
      <c r="J931" s="464"/>
      <c r="K931" s="464"/>
      <c r="L931" s="464"/>
    </row>
    <row r="932" spans="7:12">
      <c r="G932" s="464"/>
      <c r="H932" s="464"/>
      <c r="I932" s="464"/>
      <c r="J932" s="464"/>
      <c r="K932" s="464"/>
      <c r="L932" s="464"/>
    </row>
    <row r="933" spans="7:12">
      <c r="G933" s="464"/>
      <c r="H933" s="464"/>
      <c r="I933" s="464"/>
      <c r="J933" s="464"/>
      <c r="K933" s="464"/>
      <c r="L933" s="464"/>
    </row>
    <row r="934" spans="7:12">
      <c r="G934" s="464"/>
      <c r="H934" s="464"/>
      <c r="I934" s="464"/>
      <c r="J934" s="464"/>
      <c r="K934" s="464"/>
      <c r="L934" s="464"/>
    </row>
    <row r="935" spans="7:12">
      <c r="G935" s="464"/>
      <c r="H935" s="464"/>
      <c r="I935" s="464"/>
      <c r="J935" s="464"/>
      <c r="K935" s="464"/>
      <c r="L935" s="464"/>
    </row>
    <row r="936" spans="7:12">
      <c r="G936" s="464"/>
      <c r="H936" s="464"/>
      <c r="I936" s="464"/>
      <c r="J936" s="464"/>
      <c r="K936" s="464"/>
      <c r="L936" s="464"/>
    </row>
    <row r="937" spans="7:12">
      <c r="G937" s="464"/>
      <c r="H937" s="464"/>
      <c r="I937" s="464"/>
      <c r="J937" s="464"/>
      <c r="K937" s="464"/>
      <c r="L937" s="464"/>
    </row>
    <row r="938" spans="7:12">
      <c r="G938" s="464"/>
      <c r="H938" s="464"/>
      <c r="I938" s="464"/>
      <c r="J938" s="464"/>
      <c r="K938" s="464"/>
      <c r="L938" s="464"/>
    </row>
    <row r="939" spans="7:12">
      <c r="G939" s="464"/>
      <c r="H939" s="464"/>
      <c r="I939" s="464"/>
      <c r="J939" s="464"/>
      <c r="K939" s="464"/>
      <c r="L939" s="464"/>
    </row>
    <row r="940" spans="7:12">
      <c r="G940" s="464"/>
      <c r="H940" s="464"/>
      <c r="I940" s="464"/>
      <c r="J940" s="464"/>
      <c r="K940" s="464"/>
      <c r="L940" s="464"/>
    </row>
    <row r="941" spans="7:12">
      <c r="G941" s="464"/>
      <c r="H941" s="464"/>
      <c r="I941" s="464"/>
      <c r="J941" s="464"/>
      <c r="K941" s="464"/>
      <c r="L941" s="464"/>
    </row>
    <row r="942" spans="7:12">
      <c r="G942" s="464"/>
      <c r="H942" s="464"/>
      <c r="I942" s="464"/>
      <c r="J942" s="464"/>
      <c r="K942" s="464"/>
      <c r="L942" s="464"/>
    </row>
    <row r="943" spans="7:12">
      <c r="G943" s="464"/>
      <c r="H943" s="464"/>
      <c r="I943" s="464"/>
      <c r="J943" s="464"/>
      <c r="K943" s="464"/>
      <c r="L943" s="464"/>
    </row>
    <row r="944" spans="7:12">
      <c r="G944" s="464"/>
      <c r="H944" s="464"/>
      <c r="I944" s="464"/>
      <c r="J944" s="464"/>
      <c r="K944" s="464"/>
      <c r="L944" s="464"/>
    </row>
    <row r="945" spans="7:12">
      <c r="G945" s="464"/>
      <c r="H945" s="464"/>
      <c r="I945" s="464"/>
      <c r="J945" s="464"/>
      <c r="K945" s="464"/>
      <c r="L945" s="464"/>
    </row>
    <row r="946" spans="7:12">
      <c r="G946" s="464"/>
      <c r="H946" s="464"/>
      <c r="I946" s="464"/>
      <c r="J946" s="464"/>
      <c r="K946" s="464"/>
      <c r="L946" s="464"/>
    </row>
    <row r="947" spans="7:12">
      <c r="G947" s="464"/>
      <c r="H947" s="464"/>
      <c r="I947" s="464"/>
      <c r="J947" s="464"/>
      <c r="K947" s="464"/>
      <c r="L947" s="464"/>
    </row>
    <row r="948" spans="7:12">
      <c r="G948" s="464"/>
      <c r="H948" s="464"/>
      <c r="I948" s="464"/>
      <c r="J948" s="464"/>
      <c r="K948" s="464"/>
      <c r="L948" s="464"/>
    </row>
    <row r="949" spans="7:12">
      <c r="G949" s="464"/>
      <c r="H949" s="464"/>
      <c r="I949" s="464"/>
      <c r="J949" s="464"/>
      <c r="K949" s="464"/>
      <c r="L949" s="464"/>
    </row>
    <row r="950" spans="7:12">
      <c r="G950" s="464"/>
      <c r="H950" s="464"/>
      <c r="I950" s="464"/>
      <c r="J950" s="464"/>
      <c r="K950" s="464"/>
      <c r="L950" s="464"/>
    </row>
    <row r="951" spans="7:12">
      <c r="G951" s="464"/>
      <c r="H951" s="464"/>
      <c r="I951" s="464"/>
      <c r="J951" s="464"/>
      <c r="K951" s="464"/>
      <c r="L951" s="464"/>
    </row>
    <row r="952" spans="7:12">
      <c r="G952" s="464"/>
      <c r="H952" s="464"/>
      <c r="I952" s="464"/>
      <c r="J952" s="464"/>
      <c r="K952" s="464"/>
      <c r="L952" s="464"/>
    </row>
    <row r="953" spans="7:12">
      <c r="G953" s="464"/>
      <c r="H953" s="464"/>
      <c r="I953" s="464"/>
      <c r="J953" s="464"/>
      <c r="K953" s="464"/>
      <c r="L953" s="464"/>
    </row>
    <row r="954" spans="7:12">
      <c r="G954" s="464"/>
      <c r="H954" s="464"/>
      <c r="I954" s="464"/>
      <c r="J954" s="464"/>
      <c r="K954" s="464"/>
      <c r="L954" s="464"/>
    </row>
    <row r="955" spans="7:12">
      <c r="G955" s="464"/>
      <c r="H955" s="464"/>
      <c r="I955" s="464"/>
      <c r="J955" s="464"/>
      <c r="K955" s="464"/>
      <c r="L955" s="464"/>
    </row>
    <row r="956" spans="7:12">
      <c r="G956" s="464"/>
      <c r="H956" s="464"/>
      <c r="I956" s="464"/>
      <c r="J956" s="464"/>
      <c r="K956" s="464"/>
      <c r="L956" s="464"/>
    </row>
    <row r="957" spans="7:12">
      <c r="G957" s="464"/>
      <c r="H957" s="464"/>
      <c r="I957" s="464"/>
      <c r="J957" s="464"/>
      <c r="K957" s="464"/>
      <c r="L957" s="464"/>
    </row>
    <row r="958" spans="7:12">
      <c r="G958" s="464"/>
      <c r="H958" s="464"/>
      <c r="I958" s="464"/>
      <c r="J958" s="464"/>
      <c r="K958" s="464"/>
      <c r="L958" s="464"/>
    </row>
    <row r="959" spans="7:12">
      <c r="G959" s="464"/>
      <c r="H959" s="464"/>
      <c r="I959" s="464"/>
      <c r="J959" s="464"/>
      <c r="K959" s="464"/>
      <c r="L959" s="464"/>
    </row>
    <row r="960" spans="7:12">
      <c r="G960" s="464"/>
      <c r="H960" s="464"/>
      <c r="I960" s="464"/>
      <c r="J960" s="464"/>
      <c r="K960" s="464"/>
      <c r="L960" s="464"/>
    </row>
    <row r="961" spans="7:12">
      <c r="G961" s="464"/>
      <c r="H961" s="464"/>
      <c r="I961" s="464"/>
      <c r="J961" s="464"/>
      <c r="K961" s="464"/>
      <c r="L961" s="464"/>
    </row>
    <row r="962" spans="7:12">
      <c r="G962" s="464"/>
      <c r="H962" s="464"/>
      <c r="I962" s="464"/>
      <c r="J962" s="464"/>
      <c r="K962" s="464"/>
      <c r="L962" s="464"/>
    </row>
    <row r="963" spans="7:12">
      <c r="G963" s="464"/>
      <c r="H963" s="464"/>
      <c r="I963" s="464"/>
      <c r="J963" s="464"/>
      <c r="K963" s="464"/>
      <c r="L963" s="464"/>
    </row>
    <row r="964" spans="7:12">
      <c r="G964" s="464"/>
      <c r="H964" s="464"/>
      <c r="I964" s="464"/>
      <c r="J964" s="464"/>
      <c r="K964" s="464"/>
      <c r="L964" s="464"/>
    </row>
    <row r="965" spans="7:12">
      <c r="G965" s="464"/>
      <c r="H965" s="464"/>
      <c r="I965" s="464"/>
      <c r="J965" s="464"/>
      <c r="K965" s="464"/>
      <c r="L965" s="464"/>
    </row>
    <row r="966" spans="7:12">
      <c r="G966" s="464"/>
      <c r="H966" s="464"/>
      <c r="I966" s="464"/>
      <c r="J966" s="464"/>
      <c r="K966" s="464"/>
      <c r="L966" s="464"/>
    </row>
    <row r="967" spans="7:12">
      <c r="G967" s="464"/>
      <c r="H967" s="464"/>
      <c r="I967" s="464"/>
      <c r="J967" s="464"/>
      <c r="K967" s="464"/>
      <c r="L967" s="464"/>
    </row>
    <row r="968" spans="7:12">
      <c r="G968" s="464"/>
      <c r="H968" s="464"/>
      <c r="I968" s="464"/>
      <c r="J968" s="464"/>
      <c r="K968" s="464"/>
      <c r="L968" s="464"/>
    </row>
    <row r="969" spans="7:12">
      <c r="G969" s="464"/>
      <c r="H969" s="464"/>
      <c r="I969" s="464"/>
      <c r="J969" s="464"/>
      <c r="K969" s="464"/>
      <c r="L969" s="464"/>
    </row>
    <row r="970" spans="7:12">
      <c r="G970" s="464"/>
      <c r="H970" s="464"/>
      <c r="I970" s="464"/>
      <c r="J970" s="464"/>
      <c r="K970" s="464"/>
      <c r="L970" s="464"/>
    </row>
    <row r="971" spans="7:12">
      <c r="G971" s="464"/>
      <c r="H971" s="464"/>
      <c r="I971" s="464"/>
      <c r="J971" s="464"/>
      <c r="K971" s="464"/>
      <c r="L971" s="464"/>
    </row>
    <row r="972" spans="7:12">
      <c r="G972" s="464"/>
      <c r="H972" s="464"/>
      <c r="I972" s="464"/>
      <c r="J972" s="464"/>
      <c r="K972" s="464"/>
      <c r="L972" s="464"/>
    </row>
    <row r="973" spans="7:12">
      <c r="G973" s="464"/>
      <c r="H973" s="464"/>
      <c r="I973" s="464"/>
      <c r="J973" s="464"/>
      <c r="K973" s="464"/>
      <c r="L973" s="464"/>
    </row>
    <row r="974" spans="7:12">
      <c r="G974" s="464"/>
      <c r="H974" s="464"/>
      <c r="I974" s="464"/>
      <c r="J974" s="464"/>
      <c r="K974" s="464"/>
      <c r="L974" s="464"/>
    </row>
    <row r="975" spans="7:12">
      <c r="G975" s="464"/>
      <c r="H975" s="464"/>
      <c r="I975" s="464"/>
      <c r="J975" s="464"/>
      <c r="K975" s="464"/>
      <c r="L975" s="464"/>
    </row>
    <row r="976" spans="7:12">
      <c r="G976" s="464"/>
      <c r="H976" s="464"/>
      <c r="I976" s="464"/>
      <c r="J976" s="464"/>
      <c r="K976" s="464"/>
      <c r="L976" s="464"/>
    </row>
    <row r="977" spans="7:12">
      <c r="G977" s="464"/>
      <c r="H977" s="464"/>
      <c r="I977" s="464"/>
      <c r="J977" s="464"/>
      <c r="K977" s="464"/>
      <c r="L977" s="464"/>
    </row>
    <row r="978" spans="7:12">
      <c r="G978" s="464"/>
      <c r="H978" s="464"/>
      <c r="I978" s="464"/>
      <c r="J978" s="464"/>
      <c r="K978" s="464"/>
      <c r="L978" s="464"/>
    </row>
    <row r="979" spans="7:12">
      <c r="G979" s="464"/>
      <c r="H979" s="464"/>
      <c r="I979" s="464"/>
      <c r="J979" s="464"/>
      <c r="K979" s="464"/>
      <c r="L979" s="464"/>
    </row>
    <row r="980" spans="7:12">
      <c r="G980" s="464"/>
      <c r="H980" s="464"/>
      <c r="I980" s="464"/>
      <c r="J980" s="464"/>
      <c r="K980" s="464"/>
      <c r="L980" s="464"/>
    </row>
    <row r="981" spans="7:12">
      <c r="G981" s="464"/>
      <c r="H981" s="464"/>
      <c r="I981" s="464"/>
      <c r="J981" s="464"/>
      <c r="K981" s="464"/>
      <c r="L981" s="464"/>
    </row>
    <row r="982" spans="7:12">
      <c r="G982" s="464"/>
      <c r="H982" s="464"/>
      <c r="I982" s="464"/>
      <c r="J982" s="464"/>
      <c r="K982" s="464"/>
      <c r="L982" s="464"/>
    </row>
    <row r="983" spans="7:12">
      <c r="G983" s="464"/>
      <c r="H983" s="464"/>
      <c r="I983" s="464"/>
      <c r="J983" s="464"/>
      <c r="K983" s="464"/>
      <c r="L983" s="464"/>
    </row>
    <row r="984" spans="7:12">
      <c r="G984" s="464"/>
      <c r="H984" s="464"/>
      <c r="I984" s="464"/>
      <c r="J984" s="464"/>
      <c r="K984" s="464"/>
      <c r="L984" s="464"/>
    </row>
    <row r="985" spans="7:12">
      <c r="G985" s="464"/>
      <c r="H985" s="464"/>
      <c r="I985" s="464"/>
      <c r="J985" s="464"/>
      <c r="K985" s="464"/>
      <c r="L985" s="464"/>
    </row>
    <row r="986" spans="7:12">
      <c r="G986" s="464"/>
      <c r="H986" s="464"/>
      <c r="I986" s="464"/>
      <c r="J986" s="464"/>
      <c r="K986" s="464"/>
      <c r="L986" s="464"/>
    </row>
    <row r="987" spans="7:12">
      <c r="G987" s="464"/>
      <c r="H987" s="464"/>
      <c r="I987" s="464"/>
      <c r="J987" s="464"/>
      <c r="K987" s="464"/>
      <c r="L987" s="464"/>
    </row>
    <row r="988" spans="7:12">
      <c r="G988" s="464"/>
      <c r="H988" s="464"/>
      <c r="I988" s="464"/>
      <c r="J988" s="464"/>
      <c r="K988" s="464"/>
      <c r="L988" s="464"/>
    </row>
    <row r="989" spans="7:12">
      <c r="G989" s="464"/>
      <c r="H989" s="464"/>
      <c r="I989" s="464"/>
      <c r="J989" s="464"/>
      <c r="K989" s="464"/>
      <c r="L989" s="464"/>
    </row>
    <row r="990" spans="7:12">
      <c r="G990" s="464"/>
      <c r="H990" s="464"/>
      <c r="I990" s="464"/>
      <c r="J990" s="464"/>
      <c r="K990" s="464"/>
      <c r="L990" s="464"/>
    </row>
    <row r="991" spans="7:12">
      <c r="G991" s="464"/>
      <c r="H991" s="464"/>
      <c r="I991" s="464"/>
      <c r="J991" s="464"/>
      <c r="K991" s="464"/>
      <c r="L991" s="464"/>
    </row>
    <row r="992" spans="7:12">
      <c r="G992" s="464"/>
      <c r="H992" s="464"/>
      <c r="I992" s="464"/>
      <c r="J992" s="464"/>
      <c r="K992" s="464"/>
      <c r="L992" s="464"/>
    </row>
    <row r="993" spans="7:12">
      <c r="G993" s="464"/>
      <c r="H993" s="464"/>
      <c r="I993" s="464"/>
      <c r="J993" s="464"/>
      <c r="K993" s="464"/>
      <c r="L993" s="464"/>
    </row>
    <row r="994" spans="7:12">
      <c r="G994" s="464"/>
      <c r="H994" s="464"/>
      <c r="I994" s="464"/>
      <c r="J994" s="464"/>
      <c r="K994" s="464"/>
      <c r="L994" s="464"/>
    </row>
    <row r="995" spans="7:12">
      <c r="G995" s="464"/>
      <c r="H995" s="464"/>
      <c r="I995" s="464"/>
      <c r="J995" s="464"/>
      <c r="K995" s="464"/>
      <c r="L995" s="464"/>
    </row>
    <row r="996" spans="7:12">
      <c r="G996" s="464"/>
      <c r="H996" s="464"/>
      <c r="I996" s="464"/>
      <c r="J996" s="464"/>
      <c r="K996" s="464"/>
      <c r="L996" s="464"/>
    </row>
    <row r="997" spans="7:12">
      <c r="G997" s="464"/>
      <c r="H997" s="464"/>
      <c r="I997" s="464"/>
      <c r="J997" s="464"/>
      <c r="K997" s="464"/>
      <c r="L997" s="464"/>
    </row>
    <row r="998" spans="7:12">
      <c r="G998" s="464"/>
      <c r="H998" s="464"/>
      <c r="I998" s="464"/>
      <c r="J998" s="464"/>
      <c r="K998" s="464"/>
      <c r="L998" s="464"/>
    </row>
    <row r="999" spans="7:12">
      <c r="G999" s="464"/>
      <c r="H999" s="464"/>
      <c r="I999" s="464"/>
      <c r="J999" s="464"/>
      <c r="K999" s="464"/>
      <c r="L999" s="464"/>
    </row>
    <row r="1000" spans="7:12">
      <c r="G1000" s="464"/>
      <c r="H1000" s="464"/>
      <c r="I1000" s="464"/>
      <c r="J1000" s="464"/>
      <c r="K1000" s="464"/>
      <c r="L1000" s="464"/>
    </row>
    <row r="1001" spans="7:12">
      <c r="G1001" s="464"/>
      <c r="H1001" s="464"/>
      <c r="I1001" s="464"/>
      <c r="J1001" s="464"/>
      <c r="K1001" s="464"/>
      <c r="L1001" s="464"/>
    </row>
    <row r="1002" spans="7:12">
      <c r="G1002" s="464"/>
      <c r="H1002" s="464"/>
      <c r="I1002" s="464"/>
      <c r="J1002" s="464"/>
      <c r="K1002" s="464"/>
      <c r="L1002" s="464"/>
    </row>
    <row r="1003" spans="7:12">
      <c r="G1003" s="464"/>
      <c r="H1003" s="464"/>
      <c r="I1003" s="464"/>
      <c r="J1003" s="464"/>
      <c r="K1003" s="464"/>
      <c r="L1003" s="464"/>
    </row>
    <row r="1004" spans="7:12">
      <c r="G1004" s="464"/>
      <c r="H1004" s="464"/>
      <c r="I1004" s="464"/>
      <c r="J1004" s="464"/>
      <c r="K1004" s="464"/>
      <c r="L1004" s="464"/>
    </row>
    <row r="1005" spans="7:12">
      <c r="G1005" s="464"/>
      <c r="H1005" s="464"/>
      <c r="I1005" s="464"/>
      <c r="J1005" s="464"/>
      <c r="K1005" s="464"/>
      <c r="L1005" s="464"/>
    </row>
    <row r="1006" spans="7:12">
      <c r="G1006" s="464"/>
      <c r="H1006" s="464"/>
      <c r="I1006" s="464"/>
      <c r="J1006" s="464"/>
      <c r="K1006" s="464"/>
      <c r="L1006" s="464"/>
    </row>
    <row r="1007" spans="7:12">
      <c r="G1007" s="464"/>
      <c r="H1007" s="464"/>
      <c r="I1007" s="464"/>
      <c r="J1007" s="464"/>
      <c r="K1007" s="464"/>
      <c r="L1007" s="464"/>
    </row>
    <row r="1008" spans="7:12">
      <c r="G1008" s="464"/>
      <c r="H1008" s="464"/>
      <c r="I1008" s="464"/>
      <c r="J1008" s="464"/>
      <c r="K1008" s="464"/>
      <c r="L1008" s="464"/>
    </row>
    <row r="1009" spans="7:12">
      <c r="G1009" s="464"/>
      <c r="H1009" s="464"/>
      <c r="I1009" s="464"/>
      <c r="J1009" s="464"/>
      <c r="K1009" s="464"/>
      <c r="L1009" s="464"/>
    </row>
    <row r="1010" spans="7:12">
      <c r="G1010" s="464"/>
      <c r="H1010" s="464"/>
      <c r="I1010" s="464"/>
      <c r="J1010" s="464"/>
      <c r="K1010" s="464"/>
      <c r="L1010" s="464"/>
    </row>
    <row r="1011" spans="7:12">
      <c r="G1011" s="464"/>
      <c r="H1011" s="464"/>
      <c r="I1011" s="464"/>
      <c r="J1011" s="464"/>
      <c r="K1011" s="464"/>
      <c r="L1011" s="464"/>
    </row>
  </sheetData>
  <hyperlinks>
    <hyperlink ref="G4" r:id="rId1"/>
    <hyperlink ref="H4" r:id="rId2" location="gid=1791862272"/>
    <hyperlink ref="G6" r:id="rId3" location="global-meat-production"/>
    <hyperlink ref="G7" r:id="rId4"/>
    <hyperlink ref="H7" r:id="rId5" location="gid=1791862272"/>
    <hyperlink ref="G8" r:id="rId6" location="global-meat-production"/>
    <hyperlink ref="G9" r:id="rId7"/>
    <hyperlink ref="G10" r:id="rId8"/>
    <hyperlink ref="G11" r:id="rId9"/>
    <hyperlink ref="G12" r:id="rId10"/>
    <hyperlink ref="G13" r:id="rId11"/>
    <hyperlink ref="H13" r:id="rId12"/>
    <hyperlink ref="I13" r:id="rId13"/>
    <hyperlink ref="G14" r:id="rId14"/>
    <hyperlink ref="G23" r:id="rId15"/>
    <hyperlink ref="G24" r:id="rId16"/>
    <hyperlink ref="G25" r:id="rId17"/>
    <hyperlink ref="G26" r:id="rId18"/>
    <hyperlink ref="G27" r:id="rId19"/>
    <hyperlink ref="G30" r:id="rId20"/>
    <hyperlink ref="G31" r:id="rId21" location="data/QC"/>
    <hyperlink ref="G35" r:id="rId22"/>
    <hyperlink ref="H35" r:id="rId23"/>
    <hyperlink ref="G36" r:id="rId24"/>
    <hyperlink ref="H36" r:id="rId25"/>
    <hyperlink ref="G37" r:id="rId26"/>
    <hyperlink ref="H37" r:id="rId27"/>
    <hyperlink ref="G38" r:id="rId28"/>
    <hyperlink ref="H38" r:id="rId29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2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5" sqref="D5"/>
    </sheetView>
  </sheetViews>
  <sheetFormatPr defaultColWidth="14.42578125" defaultRowHeight="15.75" customHeight="1"/>
  <cols>
    <col min="1" max="1" width="21.42578125" customWidth="1"/>
    <col min="2" max="2" width="6.42578125" bestFit="1" customWidth="1"/>
    <col min="3" max="3" width="24.42578125" customWidth="1"/>
    <col min="4" max="4" width="25.140625" customWidth="1"/>
  </cols>
  <sheetData>
    <row r="1" spans="1:29" ht="15.75" customHeight="1">
      <c r="A1" s="286"/>
      <c r="B1" s="311"/>
      <c r="C1" s="312"/>
      <c r="D1" s="313"/>
      <c r="E1" s="315"/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59"/>
      <c r="C2" s="312"/>
      <c r="D2" s="313"/>
      <c r="E2" s="312"/>
      <c r="F2" s="312"/>
      <c r="G2" s="314"/>
      <c r="H2" s="312"/>
      <c r="I2" s="314"/>
      <c r="J2" s="312"/>
      <c r="K2" s="312"/>
      <c r="L2" s="286"/>
      <c r="M2" s="285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/>
      <c r="C3" s="312">
        <v>7385</v>
      </c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63</v>
      </c>
      <c r="B4" s="314">
        <v>205</v>
      </c>
      <c r="C4" s="317">
        <f t="shared" ref="C4:C10" si="0">SUM(B4/C$3)</f>
        <v>2.7758970886932972E-2</v>
      </c>
      <c r="D4" s="316"/>
      <c r="E4" s="286"/>
      <c r="F4" s="286"/>
      <c r="G4" s="286"/>
      <c r="H4" s="286"/>
      <c r="I4" s="286"/>
      <c r="J4" s="286"/>
      <c r="K4" s="286"/>
      <c r="L4" s="286"/>
      <c r="M4" s="321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 t="s">
        <v>120</v>
      </c>
      <c r="B5" s="314">
        <v>725</v>
      </c>
      <c r="C5" s="317">
        <f t="shared" si="0"/>
        <v>9.8171970209884898E-2</v>
      </c>
      <c r="D5" s="316"/>
      <c r="E5" s="320"/>
      <c r="F5" s="320"/>
      <c r="G5" s="320"/>
      <c r="H5" s="320"/>
      <c r="I5" s="320"/>
      <c r="J5" s="320"/>
      <c r="K5" s="320"/>
      <c r="L5" s="286"/>
      <c r="M5" s="321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115</v>
      </c>
      <c r="B6" s="314">
        <v>1720</v>
      </c>
      <c r="C6" s="317">
        <f t="shared" si="0"/>
        <v>0.23290453622207177</v>
      </c>
      <c r="D6" s="316"/>
      <c r="E6" s="286"/>
      <c r="F6" s="286"/>
      <c r="G6" s="286"/>
      <c r="H6" s="286"/>
      <c r="I6" s="286"/>
      <c r="J6" s="286"/>
      <c r="K6" s="286"/>
      <c r="L6" s="286"/>
      <c r="M6" s="321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 t="s">
        <v>95</v>
      </c>
      <c r="B7" s="314">
        <v>801</v>
      </c>
      <c r="C7" s="317">
        <f t="shared" si="0"/>
        <v>0.10846310088016249</v>
      </c>
      <c r="D7" s="316"/>
      <c r="E7" s="320"/>
      <c r="F7" s="320"/>
      <c r="G7" s="320"/>
      <c r="H7" s="320"/>
      <c r="I7" s="320"/>
      <c r="J7" s="320"/>
      <c r="K7" s="320"/>
      <c r="L7" s="286"/>
      <c r="M7" s="321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103</v>
      </c>
      <c r="B8" s="314">
        <v>2876</v>
      </c>
      <c r="C8" s="317">
        <f t="shared" si="0"/>
        <v>0.38943805010155719</v>
      </c>
      <c r="D8" s="316"/>
      <c r="E8" s="286"/>
      <c r="F8" s="286"/>
      <c r="G8" s="286"/>
      <c r="H8" s="286"/>
      <c r="I8" s="286"/>
      <c r="J8" s="286"/>
      <c r="K8" s="286"/>
      <c r="L8" s="286"/>
      <c r="M8" s="321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 t="s">
        <v>121</v>
      </c>
      <c r="B9" s="314">
        <v>938</v>
      </c>
      <c r="C9" s="317">
        <f t="shared" si="0"/>
        <v>0.12701421800947868</v>
      </c>
      <c r="D9" s="316"/>
      <c r="E9" s="320"/>
      <c r="F9" s="320"/>
      <c r="G9" s="320"/>
      <c r="H9" s="320"/>
      <c r="I9" s="320"/>
      <c r="J9" s="320"/>
      <c r="K9" s="320"/>
      <c r="L9" s="286"/>
      <c r="M9" s="321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117</v>
      </c>
      <c r="B10" s="314">
        <v>115</v>
      </c>
      <c r="C10" s="317">
        <f t="shared" si="0"/>
        <v>1.5572105619498984E-2</v>
      </c>
      <c r="D10" s="316"/>
      <c r="E10" s="286"/>
      <c r="F10" s="286"/>
      <c r="G10" s="286"/>
      <c r="H10" s="286"/>
      <c r="I10" s="286"/>
      <c r="J10" s="286"/>
      <c r="K10" s="286"/>
      <c r="L10" s="286"/>
      <c r="M10" s="321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/>
      <c r="F11" s="320"/>
      <c r="G11" s="320"/>
      <c r="H11" s="320"/>
      <c r="I11" s="320"/>
      <c r="J11" s="320"/>
      <c r="K11" s="320"/>
      <c r="L11" s="286"/>
      <c r="M11" s="321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/>
      <c r="B12" s="314"/>
      <c r="C12" s="317">
        <f>SUM(C4:C10)</f>
        <v>0.99932295192958687</v>
      </c>
      <c r="D12" s="316"/>
      <c r="E12" s="286"/>
      <c r="F12" s="286"/>
      <c r="G12" s="286"/>
      <c r="H12" s="286"/>
      <c r="I12" s="286"/>
      <c r="J12" s="286"/>
      <c r="K12" s="286"/>
      <c r="L12" s="286"/>
      <c r="M12" s="321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/>
      <c r="F13" s="320"/>
      <c r="G13" s="320"/>
      <c r="H13" s="320"/>
      <c r="I13" s="320"/>
      <c r="J13" s="320"/>
      <c r="K13" s="320"/>
      <c r="L13" s="286"/>
      <c r="M13" s="321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/>
      <c r="B14" s="314"/>
      <c r="C14" s="317"/>
      <c r="D14" s="316"/>
      <c r="E14" s="286"/>
      <c r="F14" s="286"/>
      <c r="G14" s="286"/>
      <c r="H14" s="286"/>
      <c r="I14" s="286"/>
      <c r="J14" s="286"/>
      <c r="K14" s="286"/>
      <c r="L14" s="286"/>
      <c r="M14" s="321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/>
      <c r="F15" s="320"/>
      <c r="G15" s="320"/>
      <c r="H15" s="320"/>
      <c r="I15" s="320"/>
      <c r="J15" s="320"/>
      <c r="K15" s="320"/>
      <c r="L15" s="286"/>
      <c r="M15" s="321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/>
      <c r="B16" s="314"/>
      <c r="C16" s="317"/>
      <c r="D16" s="316"/>
      <c r="E16" s="286"/>
      <c r="F16" s="286"/>
      <c r="G16" s="286"/>
      <c r="H16" s="286"/>
      <c r="I16" s="286"/>
      <c r="J16" s="286"/>
      <c r="K16" s="286"/>
      <c r="L16" s="286"/>
      <c r="M16" s="321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/>
      <c r="F17" s="320"/>
      <c r="G17" s="320"/>
      <c r="H17" s="320"/>
      <c r="I17" s="320"/>
      <c r="J17" s="320"/>
      <c r="K17" s="320"/>
      <c r="L17" s="286"/>
      <c r="M17" s="321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/>
      <c r="B18" s="314"/>
      <c r="C18" s="317"/>
      <c r="D18" s="316"/>
      <c r="E18" s="286"/>
      <c r="F18" s="286"/>
      <c r="G18" s="286"/>
      <c r="H18" s="286"/>
      <c r="I18" s="286"/>
      <c r="J18" s="286"/>
      <c r="K18" s="286"/>
      <c r="L18" s="286"/>
      <c r="M18" s="321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/>
      <c r="F19" s="320"/>
      <c r="G19" s="320"/>
      <c r="H19" s="320"/>
      <c r="I19" s="320"/>
      <c r="J19" s="320"/>
      <c r="K19" s="320"/>
      <c r="L19" s="286"/>
      <c r="M19" s="321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/>
      <c r="B20" s="314"/>
      <c r="C20" s="317"/>
      <c r="D20" s="316"/>
      <c r="E20" s="286"/>
      <c r="F20" s="286"/>
      <c r="G20" s="286"/>
      <c r="H20" s="286"/>
      <c r="I20" s="286"/>
      <c r="J20" s="286"/>
      <c r="K20" s="286"/>
      <c r="L20" s="286"/>
      <c r="M20" s="321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/>
      <c r="F21" s="320"/>
      <c r="G21" s="320"/>
      <c r="H21" s="320"/>
      <c r="I21" s="320"/>
      <c r="J21" s="320"/>
      <c r="K21" s="320"/>
      <c r="L21" s="286"/>
      <c r="M21" s="321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/>
      <c r="B22" s="314"/>
      <c r="C22" s="317"/>
      <c r="D22" s="316"/>
      <c r="E22" s="286"/>
      <c r="F22" s="286"/>
      <c r="G22" s="286"/>
      <c r="H22" s="286"/>
      <c r="I22" s="286"/>
      <c r="J22" s="286"/>
      <c r="K22" s="286"/>
      <c r="L22" s="286"/>
      <c r="M22" s="321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/>
      <c r="F23" s="320"/>
      <c r="G23" s="320"/>
      <c r="H23" s="320"/>
      <c r="I23" s="320"/>
      <c r="J23" s="320"/>
      <c r="K23" s="320"/>
      <c r="L23" s="286"/>
      <c r="M23" s="321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/>
      <c r="B24" s="314"/>
      <c r="C24" s="317"/>
      <c r="D24" s="316"/>
      <c r="E24" s="286"/>
      <c r="F24" s="286"/>
      <c r="G24" s="286"/>
      <c r="H24" s="286"/>
      <c r="I24" s="286"/>
      <c r="J24" s="286"/>
      <c r="K24" s="286"/>
      <c r="L24" s="286"/>
      <c r="M24" s="321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/>
      <c r="F25" s="320"/>
      <c r="G25" s="320"/>
      <c r="H25" s="320"/>
      <c r="I25" s="320"/>
      <c r="J25" s="320"/>
      <c r="K25" s="320"/>
      <c r="L25" s="286"/>
      <c r="M25" s="321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314"/>
      <c r="B27" s="285"/>
      <c r="C27" s="286"/>
      <c r="D27" s="316"/>
      <c r="E27" s="323"/>
      <c r="F27" s="323"/>
      <c r="G27" s="323"/>
      <c r="H27" s="323"/>
      <c r="I27" s="323"/>
      <c r="J27" s="323"/>
      <c r="K27" s="323"/>
      <c r="L27" s="286"/>
      <c r="M27" s="321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314"/>
      <c r="B28" s="460"/>
      <c r="C28" s="312"/>
      <c r="D28" s="313"/>
      <c r="E28" s="461"/>
      <c r="F28" s="461"/>
      <c r="G28" s="461"/>
      <c r="H28" s="461"/>
      <c r="I28" s="461"/>
      <c r="J28" s="461"/>
      <c r="K28" s="461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314"/>
      <c r="B29" s="311"/>
      <c r="C29" s="312"/>
      <c r="D29" s="313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314"/>
      <c r="B30" s="311"/>
      <c r="C30" s="312"/>
      <c r="D30" s="313"/>
      <c r="E30" s="462"/>
      <c r="F30" s="462"/>
      <c r="G30" s="462"/>
      <c r="H30" s="462"/>
      <c r="I30" s="462"/>
      <c r="J30" s="462"/>
      <c r="K30" s="462"/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3"/>
      <c r="I31" s="314"/>
      <c r="J31" s="312"/>
      <c r="K31" s="312"/>
      <c r="L31" s="286"/>
      <c r="M31" s="285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3"/>
      <c r="I32" s="314"/>
      <c r="J32" s="312"/>
      <c r="K32" s="312"/>
      <c r="L32" s="286"/>
      <c r="M32" s="285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3"/>
      <c r="I33" s="314"/>
      <c r="J33" s="312"/>
      <c r="K33" s="312"/>
      <c r="L33" s="286"/>
      <c r="M33" s="285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3"/>
      <c r="I34" s="314"/>
      <c r="J34" s="312"/>
      <c r="K34" s="312"/>
      <c r="L34" s="286"/>
      <c r="M34" s="285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286"/>
      <c r="B35" s="311"/>
      <c r="C35" s="312"/>
      <c r="D35" s="313"/>
      <c r="I35" s="314"/>
      <c r="J35" s="312"/>
      <c r="K35" s="312"/>
      <c r="L35" s="286"/>
      <c r="M35" s="285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286"/>
      <c r="B36" s="311"/>
      <c r="C36" s="312"/>
      <c r="D36" s="313"/>
      <c r="I36" s="314"/>
      <c r="J36" s="312"/>
      <c r="K36" s="312"/>
      <c r="L36" s="286"/>
      <c r="M36" s="285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286"/>
      <c r="B37" s="311"/>
      <c r="C37" s="312"/>
      <c r="D37" s="313"/>
      <c r="I37" s="314"/>
      <c r="J37" s="312"/>
      <c r="K37" s="312"/>
      <c r="L37" s="286"/>
      <c r="M37" s="285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286"/>
      <c r="B38" s="311"/>
      <c r="C38" s="312"/>
      <c r="D38" s="31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I39" s="286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I40" s="320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I41" s="286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I42" s="320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85"/>
      <c r="F43" s="286"/>
      <c r="G43" s="286"/>
      <c r="H43" s="286"/>
      <c r="I43" s="286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87"/>
      <c r="F44" s="287"/>
      <c r="G44" s="287"/>
      <c r="H44" s="312"/>
      <c r="I44" s="320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H45" s="312"/>
      <c r="I45" s="286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H46" s="312"/>
      <c r="I46" s="320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H47" s="312"/>
      <c r="I47" s="286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H48" s="312"/>
      <c r="I48" s="320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H49" s="312"/>
      <c r="I49" s="286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H50" s="312"/>
      <c r="I50" s="320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H51" s="312"/>
      <c r="I51" s="286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6"/>
      <c r="H52" s="312"/>
      <c r="I52" s="320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6"/>
      <c r="I53" s="286"/>
      <c r="J53" s="286"/>
      <c r="K53" s="286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6"/>
      <c r="I54" s="320"/>
      <c r="J54" s="320"/>
      <c r="K54" s="320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6"/>
      <c r="I55" s="286"/>
      <c r="J55" s="286"/>
      <c r="K55" s="286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6"/>
      <c r="I56" s="320"/>
      <c r="J56" s="320"/>
      <c r="K56" s="320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314"/>
      <c r="B57" s="314"/>
      <c r="C57" s="317"/>
      <c r="D57" s="316"/>
      <c r="I57" s="286"/>
      <c r="J57" s="286"/>
      <c r="K57" s="286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314"/>
      <c r="B58" s="314"/>
      <c r="C58" s="317"/>
      <c r="D58" s="316"/>
      <c r="I58" s="320"/>
      <c r="J58" s="320"/>
      <c r="K58" s="320"/>
      <c r="L58" s="286"/>
      <c r="M58" s="321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314"/>
      <c r="B59" s="314"/>
      <c r="C59" s="317"/>
      <c r="D59" s="316"/>
      <c r="H59" s="312"/>
      <c r="I59" s="286"/>
      <c r="J59" s="286"/>
      <c r="K59" s="286"/>
      <c r="L59" s="286"/>
      <c r="M59" s="321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I60" s="320"/>
      <c r="J60" s="320"/>
      <c r="K60" s="320"/>
      <c r="L60" s="286"/>
      <c r="M60" s="321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 ht="15">
      <c r="A62" s="286"/>
      <c r="B62" s="286"/>
      <c r="C62" s="286"/>
      <c r="D62" s="31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 ht="15">
      <c r="A64" s="286"/>
      <c r="B64" s="286"/>
      <c r="C64" s="286"/>
      <c r="D64" s="31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H66" s="312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 ht="15">
      <c r="A69" s="286"/>
      <c r="B69" s="286"/>
      <c r="C69" s="286"/>
      <c r="D69" s="31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 ht="15">
      <c r="A71" s="286"/>
      <c r="B71" s="286"/>
      <c r="C71" s="286"/>
      <c r="D71" s="31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H73" s="312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H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H75" s="320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 ht="15">
      <c r="A76" s="286"/>
      <c r="B76" s="286"/>
      <c r="C76" s="286"/>
      <c r="D76" s="316"/>
      <c r="H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H77" s="320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 ht="15">
      <c r="A78" s="286"/>
      <c r="B78" s="286"/>
      <c r="C78" s="286"/>
      <c r="D78" s="316"/>
      <c r="H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H79" s="320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H80" s="312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 ht="15">
      <c r="A83" s="286"/>
      <c r="B83" s="286"/>
      <c r="C83" s="286"/>
      <c r="D83" s="31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 ht="15">
      <c r="A85" s="286"/>
      <c r="B85" s="286"/>
      <c r="C85" s="286"/>
      <c r="D85" s="31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H87" s="312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H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H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 ht="15">
      <c r="A90" s="286"/>
      <c r="B90" s="286"/>
      <c r="C90" s="286"/>
      <c r="D90" s="316"/>
      <c r="H90" s="320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H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 ht="15">
      <c r="A92" s="286"/>
      <c r="B92" s="286"/>
      <c r="C92" s="286"/>
      <c r="D92" s="316"/>
      <c r="H92" s="320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H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H94" s="312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 ht="15">
      <c r="A97" s="286"/>
      <c r="B97" s="286"/>
      <c r="C97" s="286"/>
      <c r="D97" s="31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 ht="15">
      <c r="A99" s="286"/>
      <c r="B99" s="286"/>
      <c r="C99" s="286"/>
      <c r="D99" s="31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H101" s="312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H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H103" s="320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 ht="15">
      <c r="A104" s="286"/>
      <c r="B104" s="286"/>
      <c r="C104" s="286"/>
      <c r="D104" s="31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316"/>
      <c r="H108" s="312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H109" s="320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H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H111" s="320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H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H113" s="320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H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>
      <c r="A115" s="286"/>
      <c r="B115" s="286"/>
      <c r="C115" s="286"/>
      <c r="D115" s="316"/>
      <c r="H115" s="312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G123" s="339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>
      <c r="A142" s="286"/>
      <c r="B142" s="286"/>
      <c r="C142" s="286"/>
      <c r="D142" s="316"/>
      <c r="H142" s="312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  <row r="1013" spans="1:29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</row>
    <row r="1014" spans="1:29" ht="15">
      <c r="A1014" s="286"/>
      <c r="B1014" s="286"/>
      <c r="C1014" s="286"/>
      <c r="D1014" s="316"/>
      <c r="E1014" s="28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</row>
    <row r="1015" spans="1:29" ht="15">
      <c r="A1015" s="286"/>
      <c r="B1015" s="286"/>
      <c r="C1015" s="286"/>
      <c r="D1015" s="316"/>
      <c r="E1015" s="28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</row>
    <row r="1016" spans="1:29" ht="15">
      <c r="A1016" s="286"/>
      <c r="B1016" s="286"/>
      <c r="C1016" s="286"/>
      <c r="D1016" s="316"/>
      <c r="E1016" s="286"/>
      <c r="F1016" s="286"/>
      <c r="G1016" s="286"/>
      <c r="H1016" s="286"/>
      <c r="I1016" s="286"/>
      <c r="J1016" s="286"/>
      <c r="K1016" s="286"/>
      <c r="L1016" s="286"/>
      <c r="M1016" s="286"/>
      <c r="N1016" s="286"/>
      <c r="O1016" s="286"/>
      <c r="P1016" s="286"/>
      <c r="Q1016" s="286"/>
      <c r="R1016" s="286"/>
      <c r="S1016" s="286"/>
      <c r="T1016" s="286"/>
      <c r="U1016" s="286"/>
      <c r="V1016" s="286"/>
      <c r="W1016" s="286"/>
      <c r="X1016" s="286"/>
      <c r="Y1016" s="286"/>
      <c r="Z1016" s="286"/>
      <c r="AA1016" s="286"/>
      <c r="AB1016" s="286"/>
      <c r="AC1016" s="286"/>
    </row>
    <row r="1017" spans="1:29" ht="15">
      <c r="A1017" s="286"/>
      <c r="B1017" s="286"/>
      <c r="C1017" s="286"/>
      <c r="D1017" s="316"/>
      <c r="E1017" s="286"/>
      <c r="F1017" s="286"/>
      <c r="G1017" s="286"/>
      <c r="H1017" s="286"/>
      <c r="I1017" s="286"/>
      <c r="J1017" s="286"/>
      <c r="K1017" s="286"/>
      <c r="L1017" s="286"/>
      <c r="M1017" s="286"/>
      <c r="N1017" s="286"/>
      <c r="O1017" s="286"/>
      <c r="P1017" s="286"/>
      <c r="Q1017" s="286"/>
      <c r="R1017" s="286"/>
      <c r="S1017" s="286"/>
      <c r="T1017" s="286"/>
      <c r="U1017" s="286"/>
      <c r="V1017" s="286"/>
      <c r="W1017" s="286"/>
      <c r="X1017" s="286"/>
      <c r="Y1017" s="286"/>
      <c r="Z1017" s="286"/>
      <c r="AA1017" s="286"/>
      <c r="AB1017" s="286"/>
      <c r="AC1017" s="286"/>
    </row>
    <row r="1018" spans="1:29" ht="15">
      <c r="A1018" s="286"/>
      <c r="B1018" s="286"/>
      <c r="C1018" s="286"/>
      <c r="D1018" s="316"/>
      <c r="E1018" s="286"/>
      <c r="F1018" s="286"/>
      <c r="G1018" s="286"/>
      <c r="H1018" s="286"/>
      <c r="I1018" s="286"/>
      <c r="J1018" s="286"/>
      <c r="K1018" s="286"/>
      <c r="L1018" s="286"/>
      <c r="M1018" s="286"/>
      <c r="N1018" s="286"/>
      <c r="O1018" s="286"/>
      <c r="P1018" s="286"/>
      <c r="Q1018" s="286"/>
      <c r="R1018" s="286"/>
      <c r="S1018" s="286"/>
      <c r="T1018" s="286"/>
      <c r="U1018" s="286"/>
      <c r="V1018" s="286"/>
      <c r="W1018" s="286"/>
      <c r="X1018" s="286"/>
      <c r="Y1018" s="286"/>
      <c r="Z1018" s="286"/>
      <c r="AA1018" s="286"/>
      <c r="AB1018" s="286"/>
      <c r="AC1018" s="286"/>
    </row>
    <row r="1019" spans="1:29" ht="15">
      <c r="A1019" s="286"/>
      <c r="B1019" s="286"/>
      <c r="C1019" s="286"/>
      <c r="D1019" s="316"/>
      <c r="E1019" s="286"/>
      <c r="F1019" s="286"/>
      <c r="G1019" s="286"/>
      <c r="H1019" s="286"/>
      <c r="I1019" s="286"/>
      <c r="J1019" s="286"/>
      <c r="K1019" s="286"/>
      <c r="L1019" s="286"/>
      <c r="M1019" s="286"/>
      <c r="N1019" s="286"/>
      <c r="O1019" s="286"/>
      <c r="P1019" s="286"/>
      <c r="Q1019" s="286"/>
      <c r="R1019" s="286"/>
      <c r="S1019" s="286"/>
      <c r="T1019" s="286"/>
      <c r="U1019" s="286"/>
      <c r="V1019" s="286"/>
      <c r="W1019" s="286"/>
      <c r="X1019" s="286"/>
      <c r="Y1019" s="286"/>
      <c r="Z1019" s="286"/>
      <c r="AA1019" s="286"/>
      <c r="AB1019" s="286"/>
      <c r="AC1019" s="286"/>
    </row>
    <row r="1020" spans="1:29" ht="15">
      <c r="A1020" s="286"/>
      <c r="B1020" s="286"/>
      <c r="C1020" s="286"/>
      <c r="D1020" s="316"/>
      <c r="E1020" s="286"/>
      <c r="F1020" s="286"/>
      <c r="G1020" s="286"/>
      <c r="H1020" s="286"/>
      <c r="I1020" s="286"/>
      <c r="J1020" s="286"/>
      <c r="K1020" s="286"/>
      <c r="L1020" s="286"/>
      <c r="M1020" s="286"/>
      <c r="N1020" s="286"/>
      <c r="O1020" s="286"/>
      <c r="P1020" s="286"/>
      <c r="Q1020" s="286"/>
      <c r="R1020" s="286"/>
      <c r="S1020" s="286"/>
      <c r="T1020" s="286"/>
      <c r="U1020" s="286"/>
      <c r="V1020" s="286"/>
      <c r="W1020" s="286"/>
      <c r="X1020" s="286"/>
      <c r="Y1020" s="286"/>
      <c r="Z1020" s="286"/>
      <c r="AA1020" s="286"/>
      <c r="AB1020" s="286"/>
      <c r="AC1020" s="28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131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311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CONSUMPTION!P5</f>
        <v>2.8633821788983285E-2</v>
      </c>
      <c r="F4" s="318">
        <f>CONSUMPTION!P53</f>
        <v>2.2032952941405795E-2</v>
      </c>
      <c r="G4" s="318">
        <f>CONSUMPTION!P74</f>
        <v>2.2612480540453422E-2</v>
      </c>
      <c r="H4" s="318">
        <f>CONSUMPTION!P82</f>
        <v>0.2554070854329708</v>
      </c>
      <c r="I4" s="318">
        <f>CONSUMPTION!P137</f>
        <v>0.11523357996288809</v>
      </c>
      <c r="J4" s="318">
        <f>CONSUMPTION!P143</f>
        <v>0.43748043620583388</v>
      </c>
      <c r="K4" s="318">
        <f>CONSUMPTION!P162</f>
        <v>0.11859964312746471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6.0703702192644569</v>
      </c>
      <c r="F5" s="320">
        <f t="shared" si="1"/>
        <v>4.6709860235780285</v>
      </c>
      <c r="G5" s="320">
        <f t="shared" si="1"/>
        <v>4.7938458745761254</v>
      </c>
      <c r="H5" s="320">
        <f t="shared" si="1"/>
        <v>54.146302111789808</v>
      </c>
      <c r="I5" s="320">
        <f t="shared" si="1"/>
        <v>24.429518952132277</v>
      </c>
      <c r="J5" s="320">
        <f t="shared" si="1"/>
        <v>92.745852475636781</v>
      </c>
      <c r="K5" s="320">
        <f t="shared" si="1"/>
        <v>25.143124343022517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CONSUMPTION!Z5</f>
        <v>0.24109918924260015</v>
      </c>
      <c r="F6" s="318">
        <f>CONSUMPTION!Z53</f>
        <v>3.477069961085575E-2</v>
      </c>
      <c r="G6" s="318">
        <f>CONSUMPTION!Z74</f>
        <v>0.10300009518289299</v>
      </c>
      <c r="H6" s="318">
        <f>CONSUMPTION!Z82</f>
        <v>0.18216334109086932</v>
      </c>
      <c r="I6" s="318">
        <f>CONSUMPTION!Z137</f>
        <v>5.06462458401035E-2</v>
      </c>
      <c r="J6" s="318">
        <f>CONSUMPTION!Z143</f>
        <v>0.31863082923206532</v>
      </c>
      <c r="K6" s="318">
        <f>CONSUMPTION!Z162</f>
        <v>6.9689599800613039E-2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201.24549326079836</v>
      </c>
      <c r="F7" s="320">
        <f t="shared" si="2"/>
        <v>29.023102965181295</v>
      </c>
      <c r="G7" s="320">
        <f t="shared" si="2"/>
        <v>85.974179449160786</v>
      </c>
      <c r="H7" s="320">
        <f t="shared" si="2"/>
        <v>152.05174080854863</v>
      </c>
      <c r="I7" s="320">
        <f t="shared" si="2"/>
        <v>42.274421402734397</v>
      </c>
      <c r="J7" s="320">
        <f t="shared" si="2"/>
        <v>265.96115316000493</v>
      </c>
      <c r="K7" s="320">
        <f t="shared" si="2"/>
        <v>58.169908953571706</v>
      </c>
      <c r="L7" s="286"/>
      <c r="M7" s="320">
        <f t="shared" si="0"/>
        <v>834.70000000000016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CONSUMPTION!K5</f>
        <v>1.6245523896837054E-2</v>
      </c>
      <c r="F8" s="318">
        <f>CONSUMPTION!K53</f>
        <v>3.0627132418791975E-2</v>
      </c>
      <c r="G8" s="318">
        <f>CONSUMPTION!K74</f>
        <v>6.3698502317783498E-2</v>
      </c>
      <c r="H8" s="318">
        <f>CONSUMPTION!K82</f>
        <v>0.17268026803250125</v>
      </c>
      <c r="I8" s="318">
        <f>CONSUMPTION!K137</f>
        <v>7.1798553798069931E-2</v>
      </c>
      <c r="J8" s="318">
        <f>CONSUMPTION!K143</f>
        <v>0.55338219752624096</v>
      </c>
      <c r="K8" s="318">
        <f>CONSUMPTION!K162</f>
        <v>9.1567822009775271E-2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1.3467539310477918</v>
      </c>
      <c r="F9" s="320">
        <f t="shared" si="3"/>
        <v>2.5389892775178549</v>
      </c>
      <c r="G9" s="320">
        <f t="shared" si="3"/>
        <v>5.2806058421442525</v>
      </c>
      <c r="H9" s="320">
        <f t="shared" si="3"/>
        <v>14.315194219894355</v>
      </c>
      <c r="I9" s="320">
        <f t="shared" si="3"/>
        <v>5.9521001098599973</v>
      </c>
      <c r="J9" s="320">
        <f t="shared" si="3"/>
        <v>45.875384174925379</v>
      </c>
      <c r="K9" s="320">
        <f t="shared" si="3"/>
        <v>7.5909724446103706</v>
      </c>
      <c r="L9" s="286"/>
      <c r="M9" s="320">
        <f t="shared" si="0"/>
        <v>82.9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CONSUMPTION!U5</f>
        <v>3.2035257912963987E-2</v>
      </c>
      <c r="F10" s="318">
        <f>CONSUMPTION!U53</f>
        <v>6.4615869431677353E-2</v>
      </c>
      <c r="G10" s="318">
        <f>CONSUMPTION!U74</f>
        <v>3.345827036240278E-2</v>
      </c>
      <c r="H10" s="318">
        <f>CONSUMPTION!U82</f>
        <v>0.20850928142890707</v>
      </c>
      <c r="I10" s="318">
        <f>CONSUMPTION!U137</f>
        <v>0.17696152820196115</v>
      </c>
      <c r="J10" s="318">
        <f>CONSUMPTION!U143</f>
        <v>0.29148287940845347</v>
      </c>
      <c r="K10" s="318">
        <f>CONSUMPTION!U162</f>
        <v>0.1929369132536341</v>
      </c>
      <c r="L10" s="286"/>
      <c r="M10" s="319">
        <f t="shared" si="0"/>
        <v>0.99999999999999978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4.2927245603371746</v>
      </c>
      <c r="F11" s="320">
        <f t="shared" si="4"/>
        <v>8.6585265038447652</v>
      </c>
      <c r="G11" s="320">
        <f t="shared" si="4"/>
        <v>4.4834082285619727</v>
      </c>
      <c r="H11" s="320">
        <f t="shared" si="4"/>
        <v>27.940243711473546</v>
      </c>
      <c r="I11" s="320">
        <f t="shared" si="4"/>
        <v>23.712844779062795</v>
      </c>
      <c r="J11" s="320">
        <f t="shared" si="4"/>
        <v>39.058705840732763</v>
      </c>
      <c r="K11" s="320">
        <f t="shared" si="4"/>
        <v>25.853546375986969</v>
      </c>
      <c r="L11" s="286"/>
      <c r="M11" s="320">
        <f t="shared" si="0"/>
        <v>134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CONSUMPTION!F5</f>
        <v>3.8785339306124253E-2</v>
      </c>
      <c r="F12" s="318">
        <f>CONSUMPTION!F53</f>
        <v>5.1924489054770782E-2</v>
      </c>
      <c r="G12" s="318">
        <f>CONSUMPTION!F74</f>
        <v>0.14953652986190472</v>
      </c>
      <c r="H12" s="318">
        <f>CONSUMPTION!F82</f>
        <v>0.41366893744998845</v>
      </c>
      <c r="I12" s="318">
        <f>CONSUMPTION!F137</f>
        <v>0.16627350118493034</v>
      </c>
      <c r="J12" s="318">
        <f>CONSUMPTION!F143</f>
        <v>3.1018438930037952E-2</v>
      </c>
      <c r="K12" s="318">
        <f>CONSUMPTION!F162</f>
        <v>0.14879276421224349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32.618470356450494</v>
      </c>
      <c r="F13" s="320">
        <f t="shared" si="5"/>
        <v>43.668495295062229</v>
      </c>
      <c r="G13" s="320">
        <f t="shared" si="5"/>
        <v>125.76022161386187</v>
      </c>
      <c r="H13" s="320">
        <f t="shared" si="5"/>
        <v>347.89557639544029</v>
      </c>
      <c r="I13" s="320">
        <f t="shared" si="5"/>
        <v>139.83601449652642</v>
      </c>
      <c r="J13" s="320">
        <f t="shared" si="5"/>
        <v>26.086507140161917</v>
      </c>
      <c r="K13" s="320">
        <f t="shared" si="5"/>
        <v>125.13471470249678</v>
      </c>
      <c r="L13" s="286"/>
      <c r="M13" s="320">
        <f t="shared" si="0"/>
        <v>841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CONSUMPTION!AE5</f>
        <v>4.3336749542266975E-2</v>
      </c>
      <c r="F14" s="318">
        <f>CONSUMPTION!AE53</f>
        <v>3.4273762115495564E-2</v>
      </c>
      <c r="G14" s="318">
        <f>CONSUMPTION!AE74</f>
        <v>6.4269978300628999E-2</v>
      </c>
      <c r="H14" s="318">
        <f>CONSUMPTION!AE82</f>
        <v>0.12788100525737855</v>
      </c>
      <c r="I14" s="318">
        <f>CONSUMPTION!AE137</f>
        <v>5.6442598267971919E-2</v>
      </c>
      <c r="J14" s="318">
        <f>CONSUMPTION!AE143</f>
        <v>0.62658209596947734</v>
      </c>
      <c r="K14" s="318">
        <f>CONSUMPTION!AE162</f>
        <v>4.7213810546780671E-2</v>
      </c>
      <c r="L14" s="286"/>
      <c r="M14" s="319">
        <f t="shared" si="0"/>
        <v>1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6.7171961790513812</v>
      </c>
      <c r="F15" s="320">
        <f t="shared" si="6"/>
        <v>5.3124331279018122</v>
      </c>
      <c r="G15" s="320">
        <f t="shared" si="6"/>
        <v>9.9618466365974943</v>
      </c>
      <c r="H15" s="320">
        <f t="shared" si="6"/>
        <v>19.821555814893674</v>
      </c>
      <c r="I15" s="320">
        <f t="shared" si="6"/>
        <v>8.748602731535648</v>
      </c>
      <c r="J15" s="320">
        <f t="shared" si="6"/>
        <v>97.120224875268988</v>
      </c>
      <c r="K15" s="320">
        <f t="shared" si="6"/>
        <v>7.3181406347510043</v>
      </c>
      <c r="L15" s="286"/>
      <c r="M15" s="320">
        <f t="shared" si="0"/>
        <v>155.00000000000003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CONSUMPTION!AJ5</f>
        <v>3.0786872474324933E-2</v>
      </c>
      <c r="F16" s="318">
        <f>CONSUMPTION!AJ53</f>
        <v>5.0714962717448742E-2</v>
      </c>
      <c r="G16" s="318">
        <f>CONSUMPTION!AJ74</f>
        <v>0.10141960449665804</v>
      </c>
      <c r="H16" s="318">
        <f>CONSUMPTION!AJ82</f>
        <v>0.14436662857348737</v>
      </c>
      <c r="I16" s="318">
        <f>CONSUMPTION!AJ137</f>
        <v>3.9599534412529801E-2</v>
      </c>
      <c r="J16" s="318">
        <f>CONSUMPTION!AJ143</f>
        <v>0.59766709560996778</v>
      </c>
      <c r="K16" s="318">
        <f>CONSUMPTION!AJ162</f>
        <v>3.5445301715583258E-2</v>
      </c>
      <c r="L16" s="286"/>
      <c r="M16" s="319">
        <f t="shared" si="0"/>
        <v>0.99999999999999989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34.789165895987175</v>
      </c>
      <c r="F17" s="320">
        <f t="shared" si="7"/>
        <v>57.307907870717081</v>
      </c>
      <c r="G17" s="320">
        <f t="shared" si="7"/>
        <v>114.60415308122359</v>
      </c>
      <c r="H17" s="320">
        <f t="shared" si="7"/>
        <v>163.13429028804072</v>
      </c>
      <c r="I17" s="320">
        <f t="shared" si="7"/>
        <v>44.747473886158673</v>
      </c>
      <c r="J17" s="320">
        <f t="shared" si="7"/>
        <v>675.36381803926361</v>
      </c>
      <c r="K17" s="320">
        <f t="shared" si="7"/>
        <v>40.053190938609085</v>
      </c>
      <c r="L17" s="286"/>
      <c r="M17" s="320">
        <f t="shared" si="0"/>
        <v>1130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CONSUMPTION!AO5</f>
        <v>7.2161163030406331E-2</v>
      </c>
      <c r="F18" s="318">
        <f>CONSUMPTION!AO53</f>
        <v>7.1467460651506734E-2</v>
      </c>
      <c r="G18" s="318">
        <f>CONSUMPTION!AO74</f>
        <v>0.13803526455279702</v>
      </c>
      <c r="H18" s="318">
        <f>CONSUMPTION!AO82</f>
        <v>0.20009573181879275</v>
      </c>
      <c r="I18" s="318">
        <f>CONSUMPTION!AO137</f>
        <v>5.2289867901283024E-2</v>
      </c>
      <c r="J18" s="318">
        <f>CONSUMPTION!AO143</f>
        <v>0.35326388420635696</v>
      </c>
      <c r="K18" s="318">
        <f>CONSUMPTION!AO162</f>
        <v>0.11268662783885723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63.718306955848789</v>
      </c>
      <c r="F19" s="320">
        <f t="shared" si="8"/>
        <v>63.105767755280446</v>
      </c>
      <c r="G19" s="320">
        <f t="shared" si="8"/>
        <v>121.88513860011977</v>
      </c>
      <c r="H19" s="320">
        <f t="shared" si="8"/>
        <v>176.684531195994</v>
      </c>
      <c r="I19" s="320">
        <f t="shared" si="8"/>
        <v>46.171953356832908</v>
      </c>
      <c r="J19" s="320">
        <f t="shared" si="8"/>
        <v>311.9320097542132</v>
      </c>
      <c r="K19" s="320">
        <f t="shared" si="8"/>
        <v>99.50229238171093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CONSUMPTION!AT5</f>
        <v>0.14040590857540525</v>
      </c>
      <c r="F20" s="318">
        <f>CONSUMPTION!AT53</f>
        <v>4.0438604088149074E-2</v>
      </c>
      <c r="G20" s="318">
        <f>CONSUMPTION!AT74</f>
        <v>0.28896979225718195</v>
      </c>
      <c r="H20" s="318">
        <f>CONSUMPTION!AT82</f>
        <v>7.6626108407271173E-2</v>
      </c>
      <c r="I20" s="318">
        <f>CONSUMPTION!AT137</f>
        <v>4.5627760775301861E-2</v>
      </c>
      <c r="J20" s="318">
        <f>CONSUMPTION!AT143</f>
        <v>0.31926586536202933</v>
      </c>
      <c r="K20" s="318">
        <f>CONSUMPTION!AT162</f>
        <v>8.8665960534661234E-2</v>
      </c>
      <c r="L20" s="286"/>
      <c r="M20" s="319">
        <f t="shared" si="0"/>
        <v>0.99999999999999989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61.778599773178307</v>
      </c>
      <c r="F21" s="320">
        <f t="shared" si="9"/>
        <v>17.792985798785594</v>
      </c>
      <c r="G21" s="320">
        <f t="shared" si="9"/>
        <v>127.14670859316006</v>
      </c>
      <c r="H21" s="320">
        <f t="shared" si="9"/>
        <v>33.715487699199315</v>
      </c>
      <c r="I21" s="320">
        <f t="shared" si="9"/>
        <v>20.076214741132819</v>
      </c>
      <c r="J21" s="320">
        <f t="shared" si="9"/>
        <v>140.4769807592929</v>
      </c>
      <c r="K21" s="320">
        <f t="shared" si="9"/>
        <v>39.013022635250941</v>
      </c>
      <c r="L21" s="286"/>
      <c r="M21" s="320">
        <f t="shared" si="0"/>
        <v>439.99999999999994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CONSUMPTION!AY5</f>
        <v>7.4628524236824728E-2</v>
      </c>
      <c r="F22" s="318">
        <f>CONSUMPTION!AY53</f>
        <v>6.9514038464151356E-2</v>
      </c>
      <c r="G22" s="318">
        <f>CONSUMPTION!AY74</f>
        <v>0.20930583341857981</v>
      </c>
      <c r="H22" s="318">
        <f>CONSUMPTION!AY82</f>
        <v>0.1411950902262028</v>
      </c>
      <c r="I22" s="318">
        <f>CONSUMPTION!AY137</f>
        <v>3.4206793564014334E-2</v>
      </c>
      <c r="J22" s="318">
        <f>CONSUMPTION!AY143</f>
        <v>0.39495224524316069</v>
      </c>
      <c r="K22" s="318">
        <f>CONSUMPTION!AY162</f>
        <v>7.6197474847066307E-2</v>
      </c>
      <c r="L22" s="286"/>
      <c r="M22" s="319">
        <f t="shared" si="0"/>
        <v>1.0000000000000002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199.03427413961154</v>
      </c>
      <c r="F23" s="320">
        <f t="shared" si="10"/>
        <v>185.39394058389166</v>
      </c>
      <c r="G23" s="320">
        <f t="shared" si="10"/>
        <v>558.21865772735237</v>
      </c>
      <c r="H23" s="320">
        <f t="shared" si="10"/>
        <v>376.5673056332829</v>
      </c>
      <c r="I23" s="320">
        <f t="shared" si="10"/>
        <v>91.229518435226225</v>
      </c>
      <c r="J23" s="320">
        <f t="shared" si="10"/>
        <v>1053.3376380635095</v>
      </c>
      <c r="K23" s="320">
        <f t="shared" si="10"/>
        <v>203.21866541712583</v>
      </c>
      <c r="L23" s="286"/>
      <c r="M23" s="320">
        <f t="shared" si="0"/>
        <v>2667.0000000000005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CONSUMPTION!BD5</f>
        <v>3.0739222128840355E-2</v>
      </c>
      <c r="F24" s="318">
        <f>CONSUMPTION!BD53</f>
        <v>8.5070976311258983E-2</v>
      </c>
      <c r="G24" s="318">
        <f>CONSUMPTION!BD74</f>
        <v>0.13692352350113227</v>
      </c>
      <c r="H24" s="318">
        <f>CONSUMPTION!BD82</f>
        <v>0.21200601146165543</v>
      </c>
      <c r="I24" s="318">
        <f>CONSUMPTION!BD137</f>
        <v>8.79865999098767E-2</v>
      </c>
      <c r="J24" s="318">
        <f>CONSUMPTION!BD143</f>
        <v>0.4156685272677344</v>
      </c>
      <c r="K24" s="318">
        <f>CONSUMPTION!BD162</f>
        <v>3.1605139419501785E-2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0.16291787728285387</v>
      </c>
      <c r="F25" s="320">
        <f t="shared" si="11"/>
        <v>0.4508761744496726</v>
      </c>
      <c r="G25" s="320">
        <f t="shared" si="11"/>
        <v>0.72569467455600101</v>
      </c>
      <c r="H25" s="320">
        <f t="shared" si="11"/>
        <v>1.1236318607467737</v>
      </c>
      <c r="I25" s="320">
        <f t="shared" si="11"/>
        <v>0.46632897952234648</v>
      </c>
      <c r="J25" s="320">
        <f t="shared" si="11"/>
        <v>2.2030431945189921</v>
      </c>
      <c r="K25" s="320">
        <f t="shared" si="11"/>
        <v>0.16750723892335945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H28" s="312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I30" s="314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E31" s="285" t="s">
        <v>328</v>
      </c>
      <c r="F31" s="286"/>
      <c r="G31" s="286"/>
      <c r="I31" s="314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87" t="s">
        <v>108</v>
      </c>
      <c r="F32" s="287" t="s">
        <v>109</v>
      </c>
      <c r="G32" s="287" t="s">
        <v>110</v>
      </c>
      <c r="I32" s="314"/>
      <c r="J32" s="320"/>
      <c r="K32" s="320"/>
      <c r="L32" s="286"/>
      <c r="M32" s="321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22" t="s">
        <v>123</v>
      </c>
      <c r="F33" s="222" t="s">
        <v>115</v>
      </c>
      <c r="G33" s="457">
        <f>E5</f>
        <v>6.0703702192644569</v>
      </c>
      <c r="I33" s="314"/>
      <c r="J33" s="286"/>
      <c r="K33" s="286"/>
      <c r="L33" s="286"/>
      <c r="M33" s="321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123</v>
      </c>
      <c r="F34" s="222" t="s">
        <v>95</v>
      </c>
      <c r="G34" s="457">
        <f>F5</f>
        <v>4.6709860235780285</v>
      </c>
      <c r="I34" s="314"/>
      <c r="J34" s="320"/>
      <c r="K34" s="320"/>
      <c r="L34" s="286"/>
      <c r="M34" s="321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123</v>
      </c>
      <c r="F35" s="222" t="s">
        <v>116</v>
      </c>
      <c r="G35" s="457">
        <f>G5</f>
        <v>4.7938458745761254</v>
      </c>
      <c r="I35" s="314"/>
      <c r="J35" s="286"/>
      <c r="K35" s="286"/>
      <c r="L35" s="286"/>
      <c r="M35" s="321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123</v>
      </c>
      <c r="F36" s="222" t="s">
        <v>103</v>
      </c>
      <c r="G36" s="457">
        <f>H5</f>
        <v>54.146302111789808</v>
      </c>
      <c r="I36" s="314"/>
      <c r="J36" s="320"/>
      <c r="K36" s="320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123</v>
      </c>
      <c r="F37" s="222" t="s">
        <v>117</v>
      </c>
      <c r="G37" s="457">
        <f>I5</f>
        <v>24.429518952132277</v>
      </c>
      <c r="I37" s="314"/>
      <c r="J37" s="286"/>
      <c r="K37" s="286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123</v>
      </c>
      <c r="F38" s="222" t="s">
        <v>119</v>
      </c>
      <c r="G38" s="457">
        <f>J5</f>
        <v>92.745852475636781</v>
      </c>
      <c r="I38" s="314"/>
      <c r="J38" s="320"/>
      <c r="K38" s="320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123</v>
      </c>
      <c r="F39" s="222" t="s">
        <v>121</v>
      </c>
      <c r="G39" s="457">
        <f>K5</f>
        <v>25.143124343022517</v>
      </c>
      <c r="I39" s="314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114</v>
      </c>
      <c r="F40" s="222" t="s">
        <v>115</v>
      </c>
      <c r="G40" s="457">
        <f>E7</f>
        <v>201.24549326079836</v>
      </c>
      <c r="I40" s="314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114</v>
      </c>
      <c r="F41" s="222" t="s">
        <v>95</v>
      </c>
      <c r="G41" s="457">
        <f>F7</f>
        <v>29.023102965181295</v>
      </c>
      <c r="I41" s="314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114</v>
      </c>
      <c r="F42" s="222" t="s">
        <v>116</v>
      </c>
      <c r="G42" s="457">
        <f>G7</f>
        <v>85.974179449160786</v>
      </c>
      <c r="I42" s="314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114</v>
      </c>
      <c r="F43" s="222" t="s">
        <v>103</v>
      </c>
      <c r="G43" s="457">
        <f>H7</f>
        <v>152.05174080854863</v>
      </c>
      <c r="I43" s="314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114</v>
      </c>
      <c r="F44" s="222" t="s">
        <v>117</v>
      </c>
      <c r="G44" s="457">
        <f>I7</f>
        <v>42.274421402734397</v>
      </c>
      <c r="I44" s="314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114</v>
      </c>
      <c r="F45" s="222" t="s">
        <v>119</v>
      </c>
      <c r="G45" s="457">
        <f>J7</f>
        <v>265.96115316000493</v>
      </c>
      <c r="I45" s="314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114</v>
      </c>
      <c r="F46" s="222" t="s">
        <v>121</v>
      </c>
      <c r="G46" s="457">
        <f>K7</f>
        <v>58.169908953571706</v>
      </c>
      <c r="I46" s="314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140</v>
      </c>
      <c r="F47" s="222" t="s">
        <v>115</v>
      </c>
      <c r="G47" s="457">
        <f>E9</f>
        <v>1.3467539310477918</v>
      </c>
      <c r="I47" s="314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140</v>
      </c>
      <c r="F48" s="222" t="s">
        <v>95</v>
      </c>
      <c r="G48" s="457">
        <f>F9</f>
        <v>2.5389892775178549</v>
      </c>
      <c r="I48" s="314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140</v>
      </c>
      <c r="F49" s="222" t="s">
        <v>116</v>
      </c>
      <c r="G49" s="457">
        <f>G9</f>
        <v>5.2806058421442525</v>
      </c>
      <c r="I49" s="314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140</v>
      </c>
      <c r="F50" s="222" t="s">
        <v>103</v>
      </c>
      <c r="G50" s="457">
        <f>H9</f>
        <v>14.315194219894355</v>
      </c>
      <c r="I50" s="314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140</v>
      </c>
      <c r="F51" s="222" t="s">
        <v>117</v>
      </c>
      <c r="G51" s="457">
        <f>I9</f>
        <v>5.9521001098599973</v>
      </c>
      <c r="I51" s="314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286"/>
      <c r="B52" s="286"/>
      <c r="C52" s="286"/>
      <c r="D52" s="316"/>
      <c r="E52" s="222" t="s">
        <v>140</v>
      </c>
      <c r="F52" s="222" t="s">
        <v>119</v>
      </c>
      <c r="G52" s="457">
        <f>J9</f>
        <v>45.875384174925379</v>
      </c>
      <c r="I52" s="314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286"/>
      <c r="B53" s="286"/>
      <c r="C53" s="286"/>
      <c r="D53" s="316"/>
      <c r="E53" s="222" t="s">
        <v>140</v>
      </c>
      <c r="F53" s="222" t="s">
        <v>121</v>
      </c>
      <c r="G53" s="457">
        <f>K9</f>
        <v>7.5909724446103706</v>
      </c>
      <c r="I53" s="314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286"/>
      <c r="B54" s="286"/>
      <c r="C54" s="286"/>
      <c r="D54" s="316"/>
      <c r="E54" s="222" t="s">
        <v>71</v>
      </c>
      <c r="F54" s="222" t="s">
        <v>115</v>
      </c>
      <c r="G54" s="457">
        <f>E11</f>
        <v>4.2927245603371746</v>
      </c>
      <c r="I54" s="314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286"/>
      <c r="B55" s="286"/>
      <c r="C55" s="286"/>
      <c r="D55" s="316"/>
      <c r="E55" s="222" t="s">
        <v>71</v>
      </c>
      <c r="F55" s="222" t="s">
        <v>95</v>
      </c>
      <c r="G55" s="457">
        <f>F11</f>
        <v>8.6585265038447652</v>
      </c>
      <c r="I55" s="314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286"/>
      <c r="B56" s="286"/>
      <c r="C56" s="286"/>
      <c r="D56" s="316"/>
      <c r="E56" s="222" t="s">
        <v>71</v>
      </c>
      <c r="F56" s="222" t="s">
        <v>116</v>
      </c>
      <c r="G56" s="457">
        <f>G11</f>
        <v>4.4834082285619727</v>
      </c>
      <c r="I56" s="314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71</v>
      </c>
      <c r="F57" s="222" t="s">
        <v>103</v>
      </c>
      <c r="G57" s="457">
        <f>H11</f>
        <v>27.940243711473546</v>
      </c>
      <c r="I57" s="314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316"/>
      <c r="E58" s="222" t="s">
        <v>71</v>
      </c>
      <c r="F58" s="222" t="s">
        <v>117</v>
      </c>
      <c r="G58" s="457">
        <f>I11</f>
        <v>23.712844779062795</v>
      </c>
      <c r="I58" s="314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316"/>
      <c r="E59" s="222" t="s">
        <v>71</v>
      </c>
      <c r="F59" s="222" t="s">
        <v>119</v>
      </c>
      <c r="G59" s="457">
        <f>J11</f>
        <v>39.058705840732763</v>
      </c>
      <c r="I59" s="314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316"/>
      <c r="E60" s="222" t="s">
        <v>71</v>
      </c>
      <c r="F60" s="222" t="s">
        <v>121</v>
      </c>
      <c r="G60" s="457">
        <f>K11</f>
        <v>25.853546375986969</v>
      </c>
      <c r="I60" s="314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316"/>
      <c r="E61" s="222" t="s">
        <v>125</v>
      </c>
      <c r="F61" s="222" t="s">
        <v>115</v>
      </c>
      <c r="G61" s="457">
        <f>E13</f>
        <v>32.618470356450494</v>
      </c>
      <c r="I61" s="314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125</v>
      </c>
      <c r="F62" s="222" t="s">
        <v>95</v>
      </c>
      <c r="G62" s="457">
        <f>F13</f>
        <v>43.668495295062229</v>
      </c>
      <c r="I62" s="314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316"/>
      <c r="E63" s="222" t="s">
        <v>125</v>
      </c>
      <c r="F63" s="222" t="s">
        <v>116</v>
      </c>
      <c r="G63" s="457">
        <f>G13</f>
        <v>125.76022161386187</v>
      </c>
      <c r="I63" s="314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125</v>
      </c>
      <c r="F64" s="222" t="s">
        <v>103</v>
      </c>
      <c r="G64" s="457">
        <f>H13</f>
        <v>347.89557639544029</v>
      </c>
      <c r="I64" s="314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316"/>
      <c r="E65" s="222" t="s">
        <v>125</v>
      </c>
      <c r="F65" s="222" t="s">
        <v>117</v>
      </c>
      <c r="G65" s="457">
        <f>I13</f>
        <v>139.83601449652642</v>
      </c>
      <c r="I65" s="314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125</v>
      </c>
      <c r="F66" s="222" t="s">
        <v>119</v>
      </c>
      <c r="G66" s="457">
        <f>J13</f>
        <v>26.086507140161917</v>
      </c>
      <c r="I66" s="314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316"/>
      <c r="E67" s="222" t="s">
        <v>125</v>
      </c>
      <c r="F67" s="222" t="s">
        <v>121</v>
      </c>
      <c r="G67" s="457">
        <f>K13</f>
        <v>125.13471470249678</v>
      </c>
      <c r="I67" s="314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316"/>
      <c r="E68" s="222" t="s">
        <v>72</v>
      </c>
      <c r="F68" s="222" t="s">
        <v>115</v>
      </c>
      <c r="G68" s="457">
        <f>E15</f>
        <v>6.7171961790513812</v>
      </c>
      <c r="I68" s="314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72</v>
      </c>
      <c r="F69" s="222" t="s">
        <v>95</v>
      </c>
      <c r="G69" s="457">
        <f>F15</f>
        <v>5.3124331279018122</v>
      </c>
      <c r="I69" s="314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316"/>
      <c r="E70" s="222" t="s">
        <v>72</v>
      </c>
      <c r="F70" s="222" t="s">
        <v>116</v>
      </c>
      <c r="G70" s="457">
        <f>G15</f>
        <v>9.9618466365974943</v>
      </c>
      <c r="I70" s="314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72</v>
      </c>
      <c r="F71" s="222" t="s">
        <v>103</v>
      </c>
      <c r="G71" s="457">
        <f>H15</f>
        <v>19.821555814893674</v>
      </c>
      <c r="I71" s="314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316"/>
      <c r="E72" s="222" t="s">
        <v>72</v>
      </c>
      <c r="F72" s="222" t="s">
        <v>117</v>
      </c>
      <c r="G72" s="457">
        <f>I15</f>
        <v>8.748602731535648</v>
      </c>
      <c r="I72" s="314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72</v>
      </c>
      <c r="F73" s="222" t="s">
        <v>119</v>
      </c>
      <c r="G73" s="457">
        <f>J15</f>
        <v>97.120224875268988</v>
      </c>
      <c r="I73" s="314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316"/>
      <c r="E74" s="222" t="s">
        <v>72</v>
      </c>
      <c r="F74" s="222" t="s">
        <v>121</v>
      </c>
      <c r="G74" s="457">
        <f>K15</f>
        <v>7.3181406347510043</v>
      </c>
      <c r="I74" s="314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316"/>
      <c r="E75" s="222" t="s">
        <v>66</v>
      </c>
      <c r="F75" s="222" t="s">
        <v>115</v>
      </c>
      <c r="G75" s="457">
        <f>E17</f>
        <v>34.789165895987175</v>
      </c>
      <c r="I75" s="314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66</v>
      </c>
      <c r="F76" s="222" t="s">
        <v>95</v>
      </c>
      <c r="G76" s="457">
        <f>F17</f>
        <v>57.307907870717081</v>
      </c>
      <c r="I76" s="314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316"/>
      <c r="E77" s="222" t="s">
        <v>66</v>
      </c>
      <c r="F77" s="222" t="s">
        <v>116</v>
      </c>
      <c r="G77" s="457">
        <f>G17</f>
        <v>114.60415308122359</v>
      </c>
      <c r="I77" s="314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66</v>
      </c>
      <c r="F78" s="222" t="s">
        <v>103</v>
      </c>
      <c r="G78" s="457">
        <f>H17</f>
        <v>163.13429028804072</v>
      </c>
      <c r="I78" s="314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316"/>
      <c r="E79" s="222" t="s">
        <v>66</v>
      </c>
      <c r="F79" s="222" t="s">
        <v>117</v>
      </c>
      <c r="G79" s="457">
        <f>I17</f>
        <v>44.747473886158673</v>
      </c>
      <c r="I79" s="314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66</v>
      </c>
      <c r="F80" s="222" t="s">
        <v>119</v>
      </c>
      <c r="G80" s="457">
        <f>J17</f>
        <v>675.36381803926361</v>
      </c>
      <c r="I80" s="314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316"/>
      <c r="E81" s="222" t="s">
        <v>66</v>
      </c>
      <c r="F81" s="222" t="s">
        <v>121</v>
      </c>
      <c r="G81" s="457">
        <f>K17</f>
        <v>40.053190938609085</v>
      </c>
      <c r="I81" s="314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316"/>
      <c r="E82" s="222" t="s">
        <v>67</v>
      </c>
      <c r="F82" s="222" t="s">
        <v>115</v>
      </c>
      <c r="G82" s="457">
        <f>E19</f>
        <v>63.718306955848789</v>
      </c>
      <c r="I82" s="314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67</v>
      </c>
      <c r="F83" s="222" t="s">
        <v>95</v>
      </c>
      <c r="G83" s="457">
        <f>F19</f>
        <v>63.105767755280446</v>
      </c>
      <c r="I83" s="314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316"/>
      <c r="E84" s="222" t="s">
        <v>67</v>
      </c>
      <c r="F84" s="222" t="s">
        <v>116</v>
      </c>
      <c r="G84" s="457">
        <f>G19</f>
        <v>121.88513860011977</v>
      </c>
      <c r="I84" s="314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67</v>
      </c>
      <c r="F85" s="222" t="s">
        <v>103</v>
      </c>
      <c r="G85" s="457">
        <f>H19</f>
        <v>176.684531195994</v>
      </c>
      <c r="I85" s="314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316"/>
      <c r="E86" s="222" t="s">
        <v>67</v>
      </c>
      <c r="F86" s="222" t="s">
        <v>117</v>
      </c>
      <c r="G86" s="457">
        <f>I19</f>
        <v>46.171953356832908</v>
      </c>
      <c r="I86" s="314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67</v>
      </c>
      <c r="F87" s="222" t="s">
        <v>119</v>
      </c>
      <c r="G87" s="457">
        <f>J19</f>
        <v>311.9320097542132</v>
      </c>
      <c r="I87" s="314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316"/>
      <c r="E88" s="222" t="s">
        <v>67</v>
      </c>
      <c r="F88" s="222" t="s">
        <v>121</v>
      </c>
      <c r="G88" s="457">
        <f>K19</f>
        <v>99.50229238171093</v>
      </c>
      <c r="I88" s="314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316"/>
      <c r="E89" s="222" t="s">
        <v>141</v>
      </c>
      <c r="F89" s="222" t="s">
        <v>115</v>
      </c>
      <c r="G89" s="457">
        <f>E21</f>
        <v>61.778599773178307</v>
      </c>
      <c r="I89" s="314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141</v>
      </c>
      <c r="F90" s="222" t="s">
        <v>95</v>
      </c>
      <c r="G90" s="457">
        <f>F21</f>
        <v>17.792985798785594</v>
      </c>
      <c r="I90" s="314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316"/>
      <c r="E91" s="222" t="s">
        <v>141</v>
      </c>
      <c r="F91" s="222" t="s">
        <v>116</v>
      </c>
      <c r="G91" s="457">
        <f>G21</f>
        <v>127.14670859316006</v>
      </c>
      <c r="I91" s="314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141</v>
      </c>
      <c r="F92" s="222" t="s">
        <v>103</v>
      </c>
      <c r="G92" s="457">
        <f>H21</f>
        <v>33.715487699199315</v>
      </c>
      <c r="I92" s="314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316"/>
      <c r="E93" s="222" t="s">
        <v>141</v>
      </c>
      <c r="F93" s="222" t="s">
        <v>117</v>
      </c>
      <c r="G93" s="457">
        <f>I21</f>
        <v>20.076214741132819</v>
      </c>
      <c r="I93" s="314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141</v>
      </c>
      <c r="F94" s="222" t="s">
        <v>119</v>
      </c>
      <c r="G94" s="457">
        <f>J21</f>
        <v>140.4769807592929</v>
      </c>
      <c r="I94" s="314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316"/>
      <c r="E95" s="222" t="s">
        <v>141</v>
      </c>
      <c r="F95" s="222" t="s">
        <v>121</v>
      </c>
      <c r="G95" s="457">
        <f>K21</f>
        <v>39.013022635250941</v>
      </c>
      <c r="I95" s="314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316"/>
      <c r="E96" s="222" t="s">
        <v>65</v>
      </c>
      <c r="F96" s="222" t="s">
        <v>115</v>
      </c>
      <c r="G96" s="457">
        <f>E23</f>
        <v>199.03427413961154</v>
      </c>
      <c r="I96" s="314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65</v>
      </c>
      <c r="F97" s="222" t="s">
        <v>95</v>
      </c>
      <c r="G97" s="457">
        <f>F23</f>
        <v>185.39394058389166</v>
      </c>
      <c r="I97" s="314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316"/>
      <c r="E98" s="222" t="s">
        <v>65</v>
      </c>
      <c r="F98" s="222" t="s">
        <v>116</v>
      </c>
      <c r="G98" s="457">
        <f>G23</f>
        <v>558.21865772735237</v>
      </c>
      <c r="I98" s="314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65</v>
      </c>
      <c r="F99" s="222" t="s">
        <v>103</v>
      </c>
      <c r="G99" s="457">
        <f>H23</f>
        <v>376.5673056332829</v>
      </c>
      <c r="I99" s="314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316"/>
      <c r="E100" s="222" t="s">
        <v>65</v>
      </c>
      <c r="F100" s="222" t="s">
        <v>117</v>
      </c>
      <c r="G100" s="457">
        <f>I23</f>
        <v>91.229518435226225</v>
      </c>
      <c r="I100" s="314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65</v>
      </c>
      <c r="F101" s="222" t="s">
        <v>119</v>
      </c>
      <c r="G101" s="457">
        <f>J23</f>
        <v>1053.3376380635095</v>
      </c>
      <c r="I101" s="314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316"/>
      <c r="E102" s="222" t="s">
        <v>65</v>
      </c>
      <c r="F102" s="222" t="s">
        <v>121</v>
      </c>
      <c r="G102" s="457">
        <f>K23</f>
        <v>203.21866541712583</v>
      </c>
      <c r="I102" s="314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316"/>
      <c r="E103" s="222" t="s">
        <v>76</v>
      </c>
      <c r="F103" s="222" t="s">
        <v>115</v>
      </c>
      <c r="G103" s="457">
        <f>E25</f>
        <v>0.16291787728285387</v>
      </c>
      <c r="I103" s="314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76</v>
      </c>
      <c r="F104" s="222" t="s">
        <v>95</v>
      </c>
      <c r="G104" s="457">
        <f>F25</f>
        <v>0.4508761744496726</v>
      </c>
      <c r="I104" s="314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316"/>
      <c r="E105" s="222" t="s">
        <v>76</v>
      </c>
      <c r="F105" s="222" t="s">
        <v>116</v>
      </c>
      <c r="G105" s="457">
        <f>G25</f>
        <v>0.72569467455600101</v>
      </c>
      <c r="I105" s="314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76</v>
      </c>
      <c r="F106" s="222" t="s">
        <v>103</v>
      </c>
      <c r="G106" s="457">
        <f>H25</f>
        <v>1.1236318607467737</v>
      </c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76</v>
      </c>
      <c r="F107" s="222" t="s">
        <v>117</v>
      </c>
      <c r="G107" s="457">
        <f>I25</f>
        <v>0.46632897952234648</v>
      </c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22" t="s">
        <v>76</v>
      </c>
      <c r="F108" s="222" t="s">
        <v>119</v>
      </c>
      <c r="G108" s="457">
        <f>J25</f>
        <v>2.2030431945189921</v>
      </c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76</v>
      </c>
      <c r="F109" s="222" t="s">
        <v>121</v>
      </c>
      <c r="G109" s="457">
        <f>K25</f>
        <v>0.16750723892335945</v>
      </c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86"/>
      <c r="F111" s="286"/>
      <c r="G111" s="473">
        <f>SUM(G33:G109)</f>
        <v>7384.8999999999987</v>
      </c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79" activePane="bottomRight" state="frozen"/>
      <selection pane="topRight" activeCell="B1" sqref="B1"/>
      <selection pane="bottomLeft" activeCell="A4" sqref="A4"/>
      <selection pane="bottomRight" activeCell="A7" sqref="A7:XFD7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131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311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CONSUMPTION!P5</f>
        <v>2.8633821788983285E-2</v>
      </c>
      <c r="F4" s="318">
        <f>CONSUMPTION!P53</f>
        <v>2.2032952941405795E-2</v>
      </c>
      <c r="G4" s="318">
        <f>CONSUMPTION!P74</f>
        <v>2.2612480540453422E-2</v>
      </c>
      <c r="H4" s="318">
        <f>CONSUMPTION!P82</f>
        <v>0.2554070854329708</v>
      </c>
      <c r="I4" s="318">
        <f>CONSUMPTION!P137</f>
        <v>0.11523357996288809</v>
      </c>
      <c r="J4" s="318">
        <f>CONSUMPTION!P143</f>
        <v>0.43748043620583388</v>
      </c>
      <c r="K4" s="318">
        <f>CONSUMPTION!P162</f>
        <v>0.11859964312746471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6.0703702192644569</v>
      </c>
      <c r="F5" s="320">
        <f t="shared" si="1"/>
        <v>4.6709860235780285</v>
      </c>
      <c r="G5" s="320">
        <f t="shared" si="1"/>
        <v>4.7938458745761254</v>
      </c>
      <c r="H5" s="320">
        <f t="shared" si="1"/>
        <v>54.146302111789808</v>
      </c>
      <c r="I5" s="320">
        <f t="shared" si="1"/>
        <v>24.429518952132277</v>
      </c>
      <c r="J5" s="320">
        <f t="shared" si="1"/>
        <v>92.745852475636781</v>
      </c>
      <c r="K5" s="320">
        <f t="shared" si="1"/>
        <v>25.143124343022517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CONSUMPTION!Z5</f>
        <v>0.24109918924260015</v>
      </c>
      <c r="F6" s="318">
        <f>CONSUMPTION!Z53</f>
        <v>3.477069961085575E-2</v>
      </c>
      <c r="G6" s="318">
        <f>CONSUMPTION!Z74</f>
        <v>0.10300009518289299</v>
      </c>
      <c r="H6" s="318">
        <f>CONSUMPTION!Z82</f>
        <v>0.18216334109086932</v>
      </c>
      <c r="I6" s="318">
        <f>CONSUMPTION!Z137</f>
        <v>5.06462458401035E-2</v>
      </c>
      <c r="J6" s="318">
        <f>CONSUMPTION!Z143</f>
        <v>0.31863082923206532</v>
      </c>
      <c r="K6" s="318">
        <f>CONSUMPTION!Z162</f>
        <v>6.9689599800613039E-2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201.24549326079836</v>
      </c>
      <c r="F7" s="320">
        <f t="shared" si="2"/>
        <v>29.023102965181295</v>
      </c>
      <c r="G7" s="320">
        <f t="shared" si="2"/>
        <v>85.974179449160786</v>
      </c>
      <c r="H7" s="320">
        <f t="shared" si="2"/>
        <v>152.05174080854863</v>
      </c>
      <c r="I7" s="320">
        <f t="shared" si="2"/>
        <v>42.274421402734397</v>
      </c>
      <c r="J7" s="320">
        <f t="shared" si="2"/>
        <v>265.96115316000493</v>
      </c>
      <c r="K7" s="320">
        <f t="shared" si="2"/>
        <v>58.169908953571706</v>
      </c>
      <c r="L7" s="286"/>
      <c r="M7" s="320">
        <f t="shared" si="0"/>
        <v>834.70000000000016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CONSUMPTION!K5</f>
        <v>1.6245523896837054E-2</v>
      </c>
      <c r="F8" s="318">
        <f>CONSUMPTION!K53</f>
        <v>3.0627132418791975E-2</v>
      </c>
      <c r="G8" s="318">
        <f>CONSUMPTION!K74</f>
        <v>6.3698502317783498E-2</v>
      </c>
      <c r="H8" s="318">
        <f>CONSUMPTION!K82</f>
        <v>0.17268026803250125</v>
      </c>
      <c r="I8" s="318">
        <f>CONSUMPTION!K137</f>
        <v>7.1798553798069931E-2</v>
      </c>
      <c r="J8" s="318">
        <f>CONSUMPTION!K143</f>
        <v>0.55338219752624096</v>
      </c>
      <c r="K8" s="318">
        <f>CONSUMPTION!K162</f>
        <v>9.1567822009775271E-2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1.3467539310477918</v>
      </c>
      <c r="F9" s="320">
        <f t="shared" si="3"/>
        <v>2.5389892775178549</v>
      </c>
      <c r="G9" s="320">
        <f t="shared" si="3"/>
        <v>5.2806058421442525</v>
      </c>
      <c r="H9" s="320">
        <f t="shared" si="3"/>
        <v>14.315194219894355</v>
      </c>
      <c r="I9" s="320">
        <f t="shared" si="3"/>
        <v>5.9521001098599973</v>
      </c>
      <c r="J9" s="320">
        <f t="shared" si="3"/>
        <v>45.875384174925379</v>
      </c>
      <c r="K9" s="320">
        <f t="shared" si="3"/>
        <v>7.5909724446103706</v>
      </c>
      <c r="L9" s="286"/>
      <c r="M9" s="320">
        <f t="shared" si="0"/>
        <v>82.9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CONSUMPTION!U5</f>
        <v>3.2035257912963987E-2</v>
      </c>
      <c r="F10" s="318">
        <f>CONSUMPTION!U53</f>
        <v>6.4615869431677353E-2</v>
      </c>
      <c r="G10" s="318">
        <f>CONSUMPTION!U74</f>
        <v>3.345827036240278E-2</v>
      </c>
      <c r="H10" s="318">
        <f>CONSUMPTION!U82</f>
        <v>0.20850928142890707</v>
      </c>
      <c r="I10" s="318">
        <f>CONSUMPTION!U137</f>
        <v>0.17696152820196115</v>
      </c>
      <c r="J10" s="318">
        <f>CONSUMPTION!U143</f>
        <v>0.29148287940845347</v>
      </c>
      <c r="K10" s="318">
        <f>CONSUMPTION!U162</f>
        <v>0.1929369132536341</v>
      </c>
      <c r="L10" s="286"/>
      <c r="M10" s="319">
        <f t="shared" si="0"/>
        <v>0.99999999999999978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4.2927245603371746</v>
      </c>
      <c r="F11" s="320">
        <f t="shared" si="4"/>
        <v>8.6585265038447652</v>
      </c>
      <c r="G11" s="320">
        <f t="shared" si="4"/>
        <v>4.4834082285619727</v>
      </c>
      <c r="H11" s="320">
        <f t="shared" si="4"/>
        <v>27.940243711473546</v>
      </c>
      <c r="I11" s="320">
        <f t="shared" si="4"/>
        <v>23.712844779062795</v>
      </c>
      <c r="J11" s="320">
        <f t="shared" si="4"/>
        <v>39.058705840732763</v>
      </c>
      <c r="K11" s="320">
        <f t="shared" si="4"/>
        <v>25.853546375986969</v>
      </c>
      <c r="L11" s="286"/>
      <c r="M11" s="320">
        <f t="shared" si="0"/>
        <v>134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CONSUMPTION!F5</f>
        <v>3.8785339306124253E-2</v>
      </c>
      <c r="F12" s="318">
        <f>CONSUMPTION!F53</f>
        <v>5.1924489054770782E-2</v>
      </c>
      <c r="G12" s="318">
        <f>CONSUMPTION!F74</f>
        <v>0.14953652986190472</v>
      </c>
      <c r="H12" s="318">
        <f>CONSUMPTION!F82</f>
        <v>0.41366893744998845</v>
      </c>
      <c r="I12" s="318">
        <f>CONSUMPTION!F137</f>
        <v>0.16627350118493034</v>
      </c>
      <c r="J12" s="318">
        <f>CONSUMPTION!F143</f>
        <v>3.1018438930037952E-2</v>
      </c>
      <c r="K12" s="318">
        <f>CONSUMPTION!F162</f>
        <v>0.14879276421224349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32.618470356450494</v>
      </c>
      <c r="F13" s="320">
        <f t="shared" si="5"/>
        <v>43.668495295062229</v>
      </c>
      <c r="G13" s="320">
        <f t="shared" si="5"/>
        <v>125.76022161386187</v>
      </c>
      <c r="H13" s="320">
        <f t="shared" si="5"/>
        <v>347.89557639544029</v>
      </c>
      <c r="I13" s="320">
        <f t="shared" si="5"/>
        <v>139.83601449652642</v>
      </c>
      <c r="J13" s="320">
        <f t="shared" si="5"/>
        <v>26.086507140161917</v>
      </c>
      <c r="K13" s="320">
        <f t="shared" si="5"/>
        <v>125.13471470249678</v>
      </c>
      <c r="L13" s="286"/>
      <c r="M13" s="320">
        <f t="shared" si="0"/>
        <v>841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CONSUMPTION!AE5</f>
        <v>4.3336749542266975E-2</v>
      </c>
      <c r="F14" s="318">
        <f>CONSUMPTION!AE53</f>
        <v>3.4273762115495564E-2</v>
      </c>
      <c r="G14" s="318">
        <f>CONSUMPTION!AE74</f>
        <v>6.4269978300628999E-2</v>
      </c>
      <c r="H14" s="318">
        <f>CONSUMPTION!AE82</f>
        <v>0.12788100525737855</v>
      </c>
      <c r="I14" s="318">
        <f>CONSUMPTION!AE137</f>
        <v>5.6442598267971919E-2</v>
      </c>
      <c r="J14" s="318">
        <f>CONSUMPTION!AE143</f>
        <v>0.62658209596947734</v>
      </c>
      <c r="K14" s="318">
        <f>CONSUMPTION!AE162</f>
        <v>4.7213810546780671E-2</v>
      </c>
      <c r="L14" s="286"/>
      <c r="M14" s="319">
        <f t="shared" si="0"/>
        <v>1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6.7171961790513812</v>
      </c>
      <c r="F15" s="320">
        <f t="shared" si="6"/>
        <v>5.3124331279018122</v>
      </c>
      <c r="G15" s="320">
        <f t="shared" si="6"/>
        <v>9.9618466365974943</v>
      </c>
      <c r="H15" s="320">
        <f t="shared" si="6"/>
        <v>19.821555814893674</v>
      </c>
      <c r="I15" s="320">
        <f t="shared" si="6"/>
        <v>8.748602731535648</v>
      </c>
      <c r="J15" s="320">
        <f t="shared" si="6"/>
        <v>97.120224875268988</v>
      </c>
      <c r="K15" s="320">
        <f t="shared" si="6"/>
        <v>7.3181406347510043</v>
      </c>
      <c r="L15" s="286"/>
      <c r="M15" s="320">
        <f t="shared" si="0"/>
        <v>155.00000000000003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CONSUMPTION!AJ5</f>
        <v>3.0786872474324933E-2</v>
      </c>
      <c r="F16" s="318">
        <f>CONSUMPTION!AJ53</f>
        <v>5.0714962717448742E-2</v>
      </c>
      <c r="G16" s="318">
        <f>CONSUMPTION!AJ74</f>
        <v>0.10141960449665804</v>
      </c>
      <c r="H16" s="318">
        <f>CONSUMPTION!AJ82</f>
        <v>0.14436662857348737</v>
      </c>
      <c r="I16" s="318">
        <f>CONSUMPTION!AJ137</f>
        <v>3.9599534412529801E-2</v>
      </c>
      <c r="J16" s="318">
        <f>CONSUMPTION!AJ143</f>
        <v>0.59766709560996778</v>
      </c>
      <c r="K16" s="318">
        <f>CONSUMPTION!AJ162</f>
        <v>3.5445301715583258E-2</v>
      </c>
      <c r="L16" s="286"/>
      <c r="M16" s="319">
        <f t="shared" si="0"/>
        <v>0.99999999999999989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34.789165895987175</v>
      </c>
      <c r="F17" s="320">
        <f t="shared" si="7"/>
        <v>57.307907870717081</v>
      </c>
      <c r="G17" s="320">
        <f t="shared" si="7"/>
        <v>114.60415308122359</v>
      </c>
      <c r="H17" s="320">
        <f t="shared" si="7"/>
        <v>163.13429028804072</v>
      </c>
      <c r="I17" s="320">
        <f t="shared" si="7"/>
        <v>44.747473886158673</v>
      </c>
      <c r="J17" s="320">
        <f t="shared" si="7"/>
        <v>675.36381803926361</v>
      </c>
      <c r="K17" s="320">
        <f t="shared" si="7"/>
        <v>40.053190938609085</v>
      </c>
      <c r="L17" s="286"/>
      <c r="M17" s="320">
        <f t="shared" si="0"/>
        <v>1130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CONSUMPTION!AO5</f>
        <v>7.2161163030406331E-2</v>
      </c>
      <c r="F18" s="318">
        <f>CONSUMPTION!AO53</f>
        <v>7.1467460651506734E-2</v>
      </c>
      <c r="G18" s="318">
        <f>CONSUMPTION!AO74</f>
        <v>0.13803526455279702</v>
      </c>
      <c r="H18" s="318">
        <f>CONSUMPTION!AO82</f>
        <v>0.20009573181879275</v>
      </c>
      <c r="I18" s="318">
        <f>CONSUMPTION!AO137</f>
        <v>5.2289867901283024E-2</v>
      </c>
      <c r="J18" s="318">
        <f>CONSUMPTION!AO143</f>
        <v>0.35326388420635696</v>
      </c>
      <c r="K18" s="318">
        <f>CONSUMPTION!AO162</f>
        <v>0.11268662783885723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63.718306955848789</v>
      </c>
      <c r="F19" s="320">
        <f t="shared" si="8"/>
        <v>63.105767755280446</v>
      </c>
      <c r="G19" s="320">
        <f t="shared" si="8"/>
        <v>121.88513860011977</v>
      </c>
      <c r="H19" s="320">
        <f t="shared" si="8"/>
        <v>176.684531195994</v>
      </c>
      <c r="I19" s="320">
        <f t="shared" si="8"/>
        <v>46.171953356832908</v>
      </c>
      <c r="J19" s="320">
        <f t="shared" si="8"/>
        <v>311.9320097542132</v>
      </c>
      <c r="K19" s="320">
        <f t="shared" si="8"/>
        <v>99.50229238171093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CONSUMPTION!AT5</f>
        <v>0.14040590857540525</v>
      </c>
      <c r="F20" s="318">
        <f>CONSUMPTION!AT53</f>
        <v>4.0438604088149074E-2</v>
      </c>
      <c r="G20" s="318">
        <f>CONSUMPTION!AT74</f>
        <v>0.28896979225718195</v>
      </c>
      <c r="H20" s="318">
        <f>CONSUMPTION!AT82</f>
        <v>7.6626108407271173E-2</v>
      </c>
      <c r="I20" s="318">
        <f>CONSUMPTION!AT137</f>
        <v>4.5627760775301861E-2</v>
      </c>
      <c r="J20" s="318">
        <f>CONSUMPTION!AT143</f>
        <v>0.31926586536202933</v>
      </c>
      <c r="K20" s="318">
        <f>CONSUMPTION!AT162</f>
        <v>8.8665960534661234E-2</v>
      </c>
      <c r="L20" s="286"/>
      <c r="M20" s="319">
        <f t="shared" si="0"/>
        <v>0.99999999999999989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61.778599773178307</v>
      </c>
      <c r="F21" s="320">
        <f t="shared" si="9"/>
        <v>17.792985798785594</v>
      </c>
      <c r="G21" s="320">
        <f t="shared" si="9"/>
        <v>127.14670859316006</v>
      </c>
      <c r="H21" s="320">
        <f t="shared" si="9"/>
        <v>33.715487699199315</v>
      </c>
      <c r="I21" s="320">
        <f t="shared" si="9"/>
        <v>20.076214741132819</v>
      </c>
      <c r="J21" s="320">
        <f t="shared" si="9"/>
        <v>140.4769807592929</v>
      </c>
      <c r="K21" s="320">
        <f t="shared" si="9"/>
        <v>39.013022635250941</v>
      </c>
      <c r="L21" s="286"/>
      <c r="M21" s="320">
        <f t="shared" si="0"/>
        <v>439.99999999999994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CONSUMPTION!AY5</f>
        <v>7.4628524236824728E-2</v>
      </c>
      <c r="F22" s="318">
        <f>CONSUMPTION!AY53</f>
        <v>6.9514038464151356E-2</v>
      </c>
      <c r="G22" s="318">
        <f>CONSUMPTION!AY74</f>
        <v>0.20930583341857981</v>
      </c>
      <c r="H22" s="318">
        <f>CONSUMPTION!AY82</f>
        <v>0.1411950902262028</v>
      </c>
      <c r="I22" s="318">
        <f>CONSUMPTION!AY137</f>
        <v>3.4206793564014334E-2</v>
      </c>
      <c r="J22" s="318">
        <f>CONSUMPTION!AY143</f>
        <v>0.39495224524316069</v>
      </c>
      <c r="K22" s="318">
        <f>CONSUMPTION!AY162</f>
        <v>7.6197474847066307E-2</v>
      </c>
      <c r="L22" s="286"/>
      <c r="M22" s="319">
        <f t="shared" si="0"/>
        <v>1.0000000000000002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199.03427413961154</v>
      </c>
      <c r="F23" s="320">
        <f t="shared" si="10"/>
        <v>185.39394058389166</v>
      </c>
      <c r="G23" s="320">
        <f t="shared" si="10"/>
        <v>558.21865772735237</v>
      </c>
      <c r="H23" s="320">
        <f t="shared" si="10"/>
        <v>376.5673056332829</v>
      </c>
      <c r="I23" s="320">
        <f t="shared" si="10"/>
        <v>91.229518435226225</v>
      </c>
      <c r="J23" s="320">
        <f t="shared" si="10"/>
        <v>1053.3376380635095</v>
      </c>
      <c r="K23" s="320">
        <f t="shared" si="10"/>
        <v>203.21866541712583</v>
      </c>
      <c r="L23" s="286"/>
      <c r="M23" s="320">
        <f t="shared" si="0"/>
        <v>2667.0000000000005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CONSUMPTION!BD5</f>
        <v>3.0739222128840355E-2</v>
      </c>
      <c r="F24" s="318">
        <f>CONSUMPTION!BD53</f>
        <v>8.5070976311258983E-2</v>
      </c>
      <c r="G24" s="318">
        <f>CONSUMPTION!BD74</f>
        <v>0.13692352350113227</v>
      </c>
      <c r="H24" s="318">
        <f>CONSUMPTION!BD82</f>
        <v>0.21200601146165543</v>
      </c>
      <c r="I24" s="318">
        <f>CONSUMPTION!BD137</f>
        <v>8.79865999098767E-2</v>
      </c>
      <c r="J24" s="318">
        <f>CONSUMPTION!BD143</f>
        <v>0.4156685272677344</v>
      </c>
      <c r="K24" s="318">
        <f>CONSUMPTION!BD162</f>
        <v>3.1605139419501785E-2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0.16291787728285387</v>
      </c>
      <c r="F25" s="320">
        <f t="shared" si="11"/>
        <v>0.4508761744496726</v>
      </c>
      <c r="G25" s="320">
        <f t="shared" si="11"/>
        <v>0.72569467455600101</v>
      </c>
      <c r="H25" s="320">
        <f t="shared" si="11"/>
        <v>1.1236318607467737</v>
      </c>
      <c r="I25" s="320">
        <f t="shared" si="11"/>
        <v>0.46632897952234648</v>
      </c>
      <c r="J25" s="320">
        <f t="shared" si="11"/>
        <v>2.2030431945189921</v>
      </c>
      <c r="K25" s="320">
        <f t="shared" si="11"/>
        <v>0.16750723892335945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H28" s="312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I30" s="314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E31" s="285" t="s">
        <v>328</v>
      </c>
      <c r="F31" s="286"/>
      <c r="G31" s="286"/>
      <c r="I31" s="314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87" t="s">
        <v>108</v>
      </c>
      <c r="F32" s="287" t="s">
        <v>109</v>
      </c>
      <c r="G32" s="287" t="s">
        <v>110</v>
      </c>
      <c r="I32" s="314"/>
      <c r="J32" s="320"/>
      <c r="K32" s="320"/>
      <c r="L32" s="286"/>
      <c r="M32" s="321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22" t="s">
        <v>140</v>
      </c>
      <c r="F33" s="222" t="s">
        <v>115</v>
      </c>
      <c r="G33" s="457">
        <f>E9</f>
        <v>1.3467539310477918</v>
      </c>
      <c r="I33" s="314"/>
      <c r="J33" s="286"/>
      <c r="K33" s="286"/>
      <c r="L33" s="286"/>
      <c r="M33" s="321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140</v>
      </c>
      <c r="F34" s="222" t="s">
        <v>95</v>
      </c>
      <c r="G34" s="457">
        <f>F9</f>
        <v>2.5389892775178549</v>
      </c>
      <c r="I34" s="314"/>
      <c r="J34" s="320"/>
      <c r="K34" s="320"/>
      <c r="L34" s="286"/>
      <c r="M34" s="321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140</v>
      </c>
      <c r="F35" s="222" t="s">
        <v>116</v>
      </c>
      <c r="G35" s="457">
        <f>G9</f>
        <v>5.2806058421442525</v>
      </c>
      <c r="I35" s="314"/>
      <c r="J35" s="286"/>
      <c r="K35" s="286"/>
      <c r="L35" s="286"/>
      <c r="M35" s="321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140</v>
      </c>
      <c r="F36" s="222" t="s">
        <v>103</v>
      </c>
      <c r="G36" s="457">
        <f>H9</f>
        <v>14.315194219894355</v>
      </c>
      <c r="I36" s="314"/>
      <c r="J36" s="320"/>
      <c r="K36" s="320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140</v>
      </c>
      <c r="F37" s="222" t="s">
        <v>117</v>
      </c>
      <c r="G37" s="457">
        <f>I9</f>
        <v>5.9521001098599973</v>
      </c>
      <c r="I37" s="314"/>
      <c r="J37" s="286"/>
      <c r="K37" s="286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140</v>
      </c>
      <c r="F38" s="222" t="s">
        <v>119</v>
      </c>
      <c r="G38" s="457">
        <f>J9</f>
        <v>45.875384174925379</v>
      </c>
      <c r="I38" s="314"/>
      <c r="J38" s="320"/>
      <c r="K38" s="320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140</v>
      </c>
      <c r="F39" s="222" t="s">
        <v>121</v>
      </c>
      <c r="G39" s="457">
        <f>K9</f>
        <v>7.5909724446103706</v>
      </c>
      <c r="I39" s="314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67</v>
      </c>
      <c r="F40" s="222" t="s">
        <v>115</v>
      </c>
      <c r="G40" s="457">
        <f>E19</f>
        <v>63.718306955848789</v>
      </c>
      <c r="I40" s="314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67</v>
      </c>
      <c r="F41" s="222" t="s">
        <v>95</v>
      </c>
      <c r="G41" s="457">
        <f>F19</f>
        <v>63.105767755280446</v>
      </c>
      <c r="I41" s="314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67</v>
      </c>
      <c r="F42" s="222" t="s">
        <v>116</v>
      </c>
      <c r="G42" s="457">
        <f>G19</f>
        <v>121.88513860011977</v>
      </c>
      <c r="I42" s="314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67</v>
      </c>
      <c r="F43" s="222" t="s">
        <v>103</v>
      </c>
      <c r="G43" s="457">
        <f>H19</f>
        <v>176.684531195994</v>
      </c>
      <c r="I43" s="314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67</v>
      </c>
      <c r="F44" s="222" t="s">
        <v>117</v>
      </c>
      <c r="G44" s="457">
        <f>I19</f>
        <v>46.171953356832908</v>
      </c>
      <c r="I44" s="314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67</v>
      </c>
      <c r="F45" s="222" t="s">
        <v>119</v>
      </c>
      <c r="G45" s="457">
        <f>J19</f>
        <v>311.9320097542132</v>
      </c>
      <c r="I45" s="314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67</v>
      </c>
      <c r="F46" s="222" t="s">
        <v>121</v>
      </c>
      <c r="G46" s="457">
        <f>K19</f>
        <v>99.50229238171093</v>
      </c>
      <c r="I46" s="314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72</v>
      </c>
      <c r="F47" s="222" t="s">
        <v>115</v>
      </c>
      <c r="G47" s="457">
        <f>E15</f>
        <v>6.7171961790513812</v>
      </c>
      <c r="I47" s="314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72</v>
      </c>
      <c r="F48" s="222" t="s">
        <v>95</v>
      </c>
      <c r="G48" s="457">
        <f>F15</f>
        <v>5.3124331279018122</v>
      </c>
      <c r="I48" s="314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72</v>
      </c>
      <c r="F49" s="222" t="s">
        <v>116</v>
      </c>
      <c r="G49" s="457">
        <f>G15</f>
        <v>9.9618466365974943</v>
      </c>
      <c r="I49" s="314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72</v>
      </c>
      <c r="F50" s="222" t="s">
        <v>103</v>
      </c>
      <c r="G50" s="457">
        <f>H15</f>
        <v>19.821555814893674</v>
      </c>
      <c r="I50" s="314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72</v>
      </c>
      <c r="F51" s="222" t="s">
        <v>117</v>
      </c>
      <c r="G51" s="457">
        <f>I15</f>
        <v>8.748602731535648</v>
      </c>
      <c r="I51" s="314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286"/>
      <c r="B52" s="286"/>
      <c r="C52" s="286"/>
      <c r="D52" s="316"/>
      <c r="E52" s="222" t="s">
        <v>72</v>
      </c>
      <c r="F52" s="222" t="s">
        <v>119</v>
      </c>
      <c r="G52" s="457">
        <f>J15</f>
        <v>97.120224875268988</v>
      </c>
      <c r="I52" s="314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286"/>
      <c r="B53" s="286"/>
      <c r="C53" s="286"/>
      <c r="D53" s="316"/>
      <c r="E53" s="222" t="s">
        <v>72</v>
      </c>
      <c r="F53" s="222" t="s">
        <v>121</v>
      </c>
      <c r="G53" s="457">
        <f>K15</f>
        <v>7.3181406347510043</v>
      </c>
      <c r="I53" s="314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286"/>
      <c r="B54" s="286"/>
      <c r="C54" s="286"/>
      <c r="D54" s="316"/>
      <c r="E54" s="222" t="s">
        <v>125</v>
      </c>
      <c r="F54" s="222" t="s">
        <v>115</v>
      </c>
      <c r="G54" s="457">
        <f>E13</f>
        <v>32.618470356450494</v>
      </c>
      <c r="I54" s="314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286"/>
      <c r="B55" s="286"/>
      <c r="C55" s="286"/>
      <c r="D55" s="316"/>
      <c r="E55" s="222" t="s">
        <v>125</v>
      </c>
      <c r="F55" s="222" t="s">
        <v>95</v>
      </c>
      <c r="G55" s="457">
        <f>F13</f>
        <v>43.668495295062229</v>
      </c>
      <c r="I55" s="314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286"/>
      <c r="B56" s="286"/>
      <c r="C56" s="286"/>
      <c r="D56" s="316"/>
      <c r="E56" s="222" t="s">
        <v>125</v>
      </c>
      <c r="F56" s="222" t="s">
        <v>116</v>
      </c>
      <c r="G56" s="457">
        <f>G13</f>
        <v>125.76022161386187</v>
      </c>
      <c r="I56" s="314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125</v>
      </c>
      <c r="F57" s="222" t="s">
        <v>103</v>
      </c>
      <c r="G57" s="457">
        <f>H13</f>
        <v>347.89557639544029</v>
      </c>
      <c r="I57" s="314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316"/>
      <c r="E58" s="222" t="s">
        <v>125</v>
      </c>
      <c r="F58" s="222" t="s">
        <v>117</v>
      </c>
      <c r="G58" s="457">
        <f>I13</f>
        <v>139.83601449652642</v>
      </c>
      <c r="I58" s="314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316"/>
      <c r="E59" s="222" t="s">
        <v>125</v>
      </c>
      <c r="F59" s="222" t="s">
        <v>119</v>
      </c>
      <c r="G59" s="457">
        <f>J13</f>
        <v>26.086507140161917</v>
      </c>
      <c r="I59" s="314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316"/>
      <c r="E60" s="222" t="s">
        <v>125</v>
      </c>
      <c r="F60" s="222" t="s">
        <v>121</v>
      </c>
      <c r="G60" s="457">
        <f>K13</f>
        <v>125.13471470249678</v>
      </c>
      <c r="I60" s="314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316"/>
      <c r="E61" s="222" t="s">
        <v>76</v>
      </c>
      <c r="F61" s="222" t="s">
        <v>115</v>
      </c>
      <c r="G61" s="457">
        <f>E25</f>
        <v>0.16291787728285387</v>
      </c>
      <c r="I61" s="314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76</v>
      </c>
      <c r="F62" s="222" t="s">
        <v>95</v>
      </c>
      <c r="G62" s="457">
        <f>F25</f>
        <v>0.4508761744496726</v>
      </c>
      <c r="I62" s="314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316"/>
      <c r="E63" s="222" t="s">
        <v>76</v>
      </c>
      <c r="F63" s="222" t="s">
        <v>116</v>
      </c>
      <c r="G63" s="457">
        <f>G25</f>
        <v>0.72569467455600101</v>
      </c>
      <c r="I63" s="314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76</v>
      </c>
      <c r="F64" s="222" t="s">
        <v>103</v>
      </c>
      <c r="G64" s="457">
        <f>H25</f>
        <v>1.1236318607467737</v>
      </c>
      <c r="I64" s="314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316"/>
      <c r="E65" s="222" t="s">
        <v>76</v>
      </c>
      <c r="F65" s="222" t="s">
        <v>117</v>
      </c>
      <c r="G65" s="457">
        <f>I25</f>
        <v>0.46632897952234648</v>
      </c>
      <c r="I65" s="314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76</v>
      </c>
      <c r="F66" s="222" t="s">
        <v>119</v>
      </c>
      <c r="G66" s="457">
        <f>J25</f>
        <v>2.2030431945189921</v>
      </c>
      <c r="I66" s="314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316"/>
      <c r="E67" s="222" t="s">
        <v>76</v>
      </c>
      <c r="F67" s="222" t="s">
        <v>121</v>
      </c>
      <c r="G67" s="457">
        <f>K25</f>
        <v>0.16750723892335945</v>
      </c>
      <c r="I67" s="314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316"/>
      <c r="E68" s="222" t="s">
        <v>71</v>
      </c>
      <c r="F68" s="222" t="s">
        <v>115</v>
      </c>
      <c r="G68" s="457">
        <f>E11</f>
        <v>4.2927245603371746</v>
      </c>
      <c r="I68" s="314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71</v>
      </c>
      <c r="F69" s="222" t="s">
        <v>95</v>
      </c>
      <c r="G69" s="457">
        <f>F11</f>
        <v>8.6585265038447652</v>
      </c>
      <c r="I69" s="314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316"/>
      <c r="E70" s="222" t="s">
        <v>71</v>
      </c>
      <c r="F70" s="222" t="s">
        <v>116</v>
      </c>
      <c r="G70" s="457">
        <f>G11</f>
        <v>4.4834082285619727</v>
      </c>
      <c r="I70" s="314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71</v>
      </c>
      <c r="F71" s="222" t="s">
        <v>103</v>
      </c>
      <c r="G71" s="457">
        <f>H11</f>
        <v>27.940243711473546</v>
      </c>
      <c r="I71" s="314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316"/>
      <c r="E72" s="222" t="s">
        <v>71</v>
      </c>
      <c r="F72" s="222" t="s">
        <v>117</v>
      </c>
      <c r="G72" s="457">
        <f>I11</f>
        <v>23.712844779062795</v>
      </c>
      <c r="I72" s="314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71</v>
      </c>
      <c r="F73" s="222" t="s">
        <v>119</v>
      </c>
      <c r="G73" s="457">
        <f>J11</f>
        <v>39.058705840732763</v>
      </c>
      <c r="I73" s="314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316"/>
      <c r="E74" s="222" t="s">
        <v>71</v>
      </c>
      <c r="F74" s="222" t="s">
        <v>121</v>
      </c>
      <c r="G74" s="457">
        <f>K11</f>
        <v>25.853546375986969</v>
      </c>
      <c r="I74" s="314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316"/>
      <c r="E75" s="222" t="s">
        <v>372</v>
      </c>
      <c r="F75" s="222" t="s">
        <v>115</v>
      </c>
      <c r="G75" s="457">
        <f>E21</f>
        <v>61.778599773178307</v>
      </c>
      <c r="I75" s="314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372</v>
      </c>
      <c r="F76" s="222" t="s">
        <v>95</v>
      </c>
      <c r="G76" s="457">
        <f>F21</f>
        <v>17.792985798785594</v>
      </c>
      <c r="I76" s="314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316"/>
      <c r="E77" s="222" t="s">
        <v>372</v>
      </c>
      <c r="F77" s="222" t="s">
        <v>116</v>
      </c>
      <c r="G77" s="457">
        <f>G21</f>
        <v>127.14670859316006</v>
      </c>
      <c r="I77" s="314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372</v>
      </c>
      <c r="F78" s="222" t="s">
        <v>103</v>
      </c>
      <c r="G78" s="457">
        <f>H21</f>
        <v>33.715487699199315</v>
      </c>
      <c r="I78" s="314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316"/>
      <c r="E79" s="222" t="s">
        <v>372</v>
      </c>
      <c r="F79" s="222" t="s">
        <v>117</v>
      </c>
      <c r="G79" s="457">
        <f>I21</f>
        <v>20.076214741132819</v>
      </c>
      <c r="I79" s="314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372</v>
      </c>
      <c r="F80" s="222" t="s">
        <v>119</v>
      </c>
      <c r="G80" s="457">
        <f>J21</f>
        <v>140.4769807592929</v>
      </c>
      <c r="I80" s="314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316"/>
      <c r="E81" s="222" t="s">
        <v>372</v>
      </c>
      <c r="F81" s="222" t="s">
        <v>121</v>
      </c>
      <c r="G81" s="457">
        <f>K21</f>
        <v>39.013022635250941</v>
      </c>
      <c r="I81" s="314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316"/>
      <c r="E82" s="222" t="s">
        <v>123</v>
      </c>
      <c r="F82" s="222" t="s">
        <v>115</v>
      </c>
      <c r="G82" s="457">
        <f>E5</f>
        <v>6.0703702192644569</v>
      </c>
      <c r="I82" s="314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123</v>
      </c>
      <c r="F83" s="222" t="s">
        <v>95</v>
      </c>
      <c r="G83" s="457">
        <f>F5</f>
        <v>4.6709860235780285</v>
      </c>
      <c r="I83" s="314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316"/>
      <c r="E84" s="222" t="s">
        <v>123</v>
      </c>
      <c r="F84" s="222" t="s">
        <v>116</v>
      </c>
      <c r="G84" s="457">
        <f>G5</f>
        <v>4.7938458745761254</v>
      </c>
      <c r="I84" s="314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123</v>
      </c>
      <c r="F85" s="222" t="s">
        <v>103</v>
      </c>
      <c r="G85" s="457">
        <f>H5</f>
        <v>54.146302111789808</v>
      </c>
      <c r="I85" s="314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316"/>
      <c r="E86" s="222" t="s">
        <v>123</v>
      </c>
      <c r="F86" s="222" t="s">
        <v>117</v>
      </c>
      <c r="G86" s="457">
        <f>I5</f>
        <v>24.429518952132277</v>
      </c>
      <c r="I86" s="314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123</v>
      </c>
      <c r="F87" s="222" t="s">
        <v>119</v>
      </c>
      <c r="G87" s="457">
        <f>J5</f>
        <v>92.745852475636781</v>
      </c>
      <c r="I87" s="314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316"/>
      <c r="E88" s="222" t="s">
        <v>123</v>
      </c>
      <c r="F88" s="222" t="s">
        <v>121</v>
      </c>
      <c r="G88" s="457">
        <f>K5</f>
        <v>25.143124343022517</v>
      </c>
      <c r="I88" s="314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316"/>
      <c r="E89" s="222" t="s">
        <v>114</v>
      </c>
      <c r="F89" s="222" t="s">
        <v>115</v>
      </c>
      <c r="G89" s="457">
        <f>E7</f>
        <v>201.24549326079836</v>
      </c>
      <c r="I89" s="314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114</v>
      </c>
      <c r="F90" s="222" t="s">
        <v>95</v>
      </c>
      <c r="G90" s="457">
        <f>F7</f>
        <v>29.023102965181295</v>
      </c>
      <c r="I90" s="314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316"/>
      <c r="E91" s="222" t="s">
        <v>114</v>
      </c>
      <c r="F91" s="222" t="s">
        <v>116</v>
      </c>
      <c r="G91" s="457">
        <f>G7</f>
        <v>85.974179449160786</v>
      </c>
      <c r="I91" s="314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114</v>
      </c>
      <c r="F92" s="222" t="s">
        <v>103</v>
      </c>
      <c r="G92" s="457">
        <f>H7</f>
        <v>152.05174080854863</v>
      </c>
      <c r="I92" s="314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316"/>
      <c r="E93" s="222" t="s">
        <v>114</v>
      </c>
      <c r="F93" s="222" t="s">
        <v>117</v>
      </c>
      <c r="G93" s="457">
        <f>I7</f>
        <v>42.274421402734397</v>
      </c>
      <c r="I93" s="314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114</v>
      </c>
      <c r="F94" s="222" t="s">
        <v>119</v>
      </c>
      <c r="G94" s="457">
        <f>J7</f>
        <v>265.96115316000493</v>
      </c>
      <c r="I94" s="314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316"/>
      <c r="E95" s="222" t="s">
        <v>114</v>
      </c>
      <c r="F95" s="222" t="s">
        <v>121</v>
      </c>
      <c r="G95" s="457">
        <f>K7</f>
        <v>58.169908953571706</v>
      </c>
      <c r="I95" s="314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316"/>
      <c r="E96" s="222" t="s">
        <v>66</v>
      </c>
      <c r="F96" s="222" t="s">
        <v>115</v>
      </c>
      <c r="G96" s="457">
        <f>E17</f>
        <v>34.789165895987175</v>
      </c>
      <c r="I96" s="314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66</v>
      </c>
      <c r="F97" s="222" t="s">
        <v>95</v>
      </c>
      <c r="G97" s="457">
        <f>F17</f>
        <v>57.307907870717081</v>
      </c>
      <c r="I97" s="314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316"/>
      <c r="E98" s="222" t="s">
        <v>66</v>
      </c>
      <c r="F98" s="222" t="s">
        <v>116</v>
      </c>
      <c r="G98" s="457">
        <f>G17</f>
        <v>114.60415308122359</v>
      </c>
      <c r="I98" s="314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66</v>
      </c>
      <c r="F99" s="222" t="s">
        <v>103</v>
      </c>
      <c r="G99" s="457">
        <f>H17</f>
        <v>163.13429028804072</v>
      </c>
      <c r="I99" s="314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316"/>
      <c r="E100" s="222" t="s">
        <v>66</v>
      </c>
      <c r="F100" s="222" t="s">
        <v>117</v>
      </c>
      <c r="G100" s="457">
        <f>I17</f>
        <v>44.747473886158673</v>
      </c>
      <c r="I100" s="314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66</v>
      </c>
      <c r="F101" s="222" t="s">
        <v>119</v>
      </c>
      <c r="G101" s="457">
        <f>J17</f>
        <v>675.36381803926361</v>
      </c>
      <c r="I101" s="314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316"/>
      <c r="E102" s="222" t="s">
        <v>66</v>
      </c>
      <c r="F102" s="222" t="s">
        <v>121</v>
      </c>
      <c r="G102" s="457">
        <f>K17</f>
        <v>40.053190938609085</v>
      </c>
      <c r="I102" s="314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316"/>
      <c r="E103" s="222" t="s">
        <v>65</v>
      </c>
      <c r="F103" s="222" t="s">
        <v>115</v>
      </c>
      <c r="G103" s="457">
        <f>E23</f>
        <v>199.03427413961154</v>
      </c>
      <c r="I103" s="314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65</v>
      </c>
      <c r="F104" s="222" t="s">
        <v>95</v>
      </c>
      <c r="G104" s="457">
        <f>F23</f>
        <v>185.39394058389166</v>
      </c>
      <c r="I104" s="314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316"/>
      <c r="E105" s="222" t="s">
        <v>65</v>
      </c>
      <c r="F105" s="222" t="s">
        <v>116</v>
      </c>
      <c r="G105" s="457">
        <f>G23</f>
        <v>558.21865772735237</v>
      </c>
      <c r="I105" s="314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65</v>
      </c>
      <c r="F106" s="222" t="s">
        <v>103</v>
      </c>
      <c r="G106" s="457">
        <f>H23</f>
        <v>376.5673056332829</v>
      </c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65</v>
      </c>
      <c r="F107" s="222" t="s">
        <v>117</v>
      </c>
      <c r="G107" s="457">
        <f>I23</f>
        <v>91.229518435226225</v>
      </c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22" t="s">
        <v>65</v>
      </c>
      <c r="F108" s="222" t="s">
        <v>119</v>
      </c>
      <c r="G108" s="457">
        <f>J23</f>
        <v>1053.3376380635095</v>
      </c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65</v>
      </c>
      <c r="F109" s="222" t="s">
        <v>121</v>
      </c>
      <c r="G109" s="457">
        <f>K23</f>
        <v>203.21866541712583</v>
      </c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339">
        <f>SUM(G27:G151)</f>
        <v>7384.8999999999978</v>
      </c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329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59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CONSUMPTION!N5</f>
        <v>0.10769729197775513</v>
      </c>
      <c r="F4" s="318">
        <f>CONSUMPTION!N53</f>
        <v>5.1264125343161507E-2</v>
      </c>
      <c r="G4" s="318">
        <f>CONSUMPTION!N74</f>
        <v>6.7475232692115646E-3</v>
      </c>
      <c r="H4" s="318">
        <f>CONSUMPTION!N82</f>
        <v>0.55634425522689457</v>
      </c>
      <c r="I4" s="318">
        <f>CONSUMPTION!N137</f>
        <v>2.8695243361484556E-2</v>
      </c>
      <c r="J4" s="318">
        <f>CONSUMPTION!N143</f>
        <v>0.1147614860141138</v>
      </c>
      <c r="K4" s="318">
        <f>CONSUMPTION!N162</f>
        <v>0.13449007480737896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22.831825899284087</v>
      </c>
      <c r="F5" s="320">
        <f t="shared" si="1"/>
        <v>10.86799457275024</v>
      </c>
      <c r="G5" s="320">
        <f t="shared" si="1"/>
        <v>1.4304749330728517</v>
      </c>
      <c r="H5" s="320">
        <f t="shared" si="1"/>
        <v>117.94498210810166</v>
      </c>
      <c r="I5" s="320">
        <f t="shared" si="1"/>
        <v>6.083391592634726</v>
      </c>
      <c r="J5" s="320">
        <f t="shared" si="1"/>
        <v>24.329435034992127</v>
      </c>
      <c r="K5" s="320">
        <f t="shared" si="1"/>
        <v>28.511895859164341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71</v>
      </c>
      <c r="B6" s="314">
        <v>134</v>
      </c>
      <c r="C6" s="317">
        <f>B6/$B$3</f>
        <v>1.8145133989627481E-2</v>
      </c>
      <c r="D6" s="316"/>
      <c r="E6" s="318">
        <f>CONSUMPTION!S5</f>
        <v>0.12097923595003215</v>
      </c>
      <c r="F6" s="318">
        <f>CONSUMPTION!S53</f>
        <v>0.14510881064831266</v>
      </c>
      <c r="G6" s="318">
        <f>CONSUMPTION!S74</f>
        <v>4.3476351499714553E-3</v>
      </c>
      <c r="H6" s="318">
        <f>CONSUMPTION!S82</f>
        <v>0.36863075442847948</v>
      </c>
      <c r="I6" s="318">
        <f>CONSUMPTION!S137</f>
        <v>3.8773399978441481E-2</v>
      </c>
      <c r="J6" s="318">
        <f>CONSUMPTION!S143</f>
        <v>9.9452653095444377E-2</v>
      </c>
      <c r="K6" s="318">
        <f>CONSUMPTION!S162</f>
        <v>0.22270751074931833</v>
      </c>
      <c r="L6" s="286"/>
      <c r="M6" s="319">
        <f t="shared" si="0"/>
        <v>0.99999999999999978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16.21121761730431</v>
      </c>
      <c r="F7" s="320">
        <f t="shared" si="2"/>
        <v>19.444580626873897</v>
      </c>
      <c r="G7" s="320">
        <f t="shared" si="2"/>
        <v>0.58258311009617503</v>
      </c>
      <c r="H7" s="320">
        <f t="shared" si="2"/>
        <v>49.396521093416247</v>
      </c>
      <c r="I7" s="320">
        <f t="shared" si="2"/>
        <v>5.1956355971111581</v>
      </c>
      <c r="J7" s="320">
        <f t="shared" si="2"/>
        <v>13.326655514789547</v>
      </c>
      <c r="K7" s="320">
        <f t="shared" si="2"/>
        <v>29.842806440408655</v>
      </c>
      <c r="L7" s="286"/>
      <c r="M7" s="320">
        <f t="shared" si="0"/>
        <v>134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137</v>
      </c>
      <c r="B8" s="314">
        <v>834.7</v>
      </c>
      <c r="C8" s="317">
        <f>B8/$B$3</f>
        <v>0.11302793538165716</v>
      </c>
      <c r="D8" s="316"/>
      <c r="E8" s="318">
        <f>CONSUMPTION!X5</f>
        <v>0.46306911946080215</v>
      </c>
      <c r="F8" s="318">
        <f>CONSUMPTION!X53</f>
        <v>4.5213982547871762E-2</v>
      </c>
      <c r="G8" s="318">
        <f>CONSUMPTION!X74</f>
        <v>1.8183643020789304E-2</v>
      </c>
      <c r="H8" s="318">
        <f>CONSUMPTION!X82</f>
        <v>0.30140338890143475</v>
      </c>
      <c r="I8" s="318">
        <f>CONSUMPTION!X137</f>
        <v>1.2955918031742723E-2</v>
      </c>
      <c r="J8" s="318">
        <f>CONSUMPTION!X143</f>
        <v>7.122714981384011E-2</v>
      </c>
      <c r="K8" s="318">
        <f>CONSUMPTION!X162</f>
        <v>8.7946798223519265E-2</v>
      </c>
      <c r="L8" s="286"/>
      <c r="M8" s="319">
        <f t="shared" si="0"/>
        <v>1.0000000000000002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386.52379401393159</v>
      </c>
      <c r="F9" s="320">
        <f t="shared" si="3"/>
        <v>37.740111232708564</v>
      </c>
      <c r="G9" s="320">
        <f t="shared" si="3"/>
        <v>15.177886829452833</v>
      </c>
      <c r="H9" s="320">
        <f t="shared" si="3"/>
        <v>251.5814087160276</v>
      </c>
      <c r="I9" s="320">
        <f t="shared" si="3"/>
        <v>10.814304781095652</v>
      </c>
      <c r="J9" s="320">
        <f t="shared" si="3"/>
        <v>59.453301949612346</v>
      </c>
      <c r="K9" s="320">
        <f t="shared" si="3"/>
        <v>73.40919247717153</v>
      </c>
      <c r="L9" s="286"/>
      <c r="M9" s="320">
        <f t="shared" si="0"/>
        <v>834.7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66</v>
      </c>
      <c r="B10" s="314">
        <v>1130</v>
      </c>
      <c r="C10" s="317">
        <f>B10/$B$3</f>
        <v>0.1530149358826795</v>
      </c>
      <c r="D10" s="316"/>
      <c r="E10" s="318">
        <f>CONSUMPTION!AH5</f>
        <v>0.11988732969927827</v>
      </c>
      <c r="F10" s="318">
        <f>CONSUMPTION!AH53</f>
        <v>0.14149171391667945</v>
      </c>
      <c r="G10" s="318">
        <f>CONSUMPTION!AH74</f>
        <v>1.9251734932901336E-2</v>
      </c>
      <c r="H10" s="318">
        <f>CONSUMPTION!AH82</f>
        <v>0.49354407933623773</v>
      </c>
      <c r="I10" s="318">
        <f>CONSUMPTION!AH137</f>
        <v>1.5688463699584786E-2</v>
      </c>
      <c r="J10" s="318">
        <f>CONSUMPTION!AH143</f>
        <v>0.11558192313024951</v>
      </c>
      <c r="K10" s="318">
        <f>CONSUMPTION!AH162</f>
        <v>9.4554755285068987E-2</v>
      </c>
      <c r="L10" s="286"/>
      <c r="M10" s="319">
        <f t="shared" si="0"/>
        <v>1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135.47268256018444</v>
      </c>
      <c r="F11" s="320">
        <f t="shared" si="4"/>
        <v>159.88563672584777</v>
      </c>
      <c r="G11" s="320">
        <f t="shared" si="4"/>
        <v>21.754460474178508</v>
      </c>
      <c r="H11" s="320">
        <f t="shared" si="4"/>
        <v>557.70480964994863</v>
      </c>
      <c r="I11" s="320">
        <f t="shared" si="4"/>
        <v>17.727963980530809</v>
      </c>
      <c r="J11" s="320">
        <f t="shared" si="4"/>
        <v>130.60757313718196</v>
      </c>
      <c r="K11" s="320">
        <f t="shared" si="4"/>
        <v>106.84687347212795</v>
      </c>
      <c r="L11" s="286"/>
      <c r="M11" s="320">
        <f t="shared" si="0"/>
        <v>1130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140</v>
      </c>
      <c r="B12" s="314">
        <v>82.9</v>
      </c>
      <c r="C12" s="317">
        <f>B12/$B$3</f>
        <v>1.1225609012985957E-2</v>
      </c>
      <c r="D12" s="316"/>
      <c r="E12" s="318">
        <f>CONSUMPTION!I5</f>
        <v>5.9538439208476471E-2</v>
      </c>
      <c r="F12" s="318">
        <f>CONSUMPTION!I53</f>
        <v>9.8195365039431035E-2</v>
      </c>
      <c r="G12" s="318">
        <f>CONSUMPTION!I74</f>
        <v>1.1069717935071846E-2</v>
      </c>
      <c r="H12" s="318">
        <f>CONSUMPTION!I82</f>
        <v>0.49235086361217284</v>
      </c>
      <c r="I12" s="318">
        <f>CONSUMPTION!I137</f>
        <v>2.7664618510813293E-2</v>
      </c>
      <c r="J12" s="318">
        <f>CONSUMPTION!I143</f>
        <v>0.13816827132420528</v>
      </c>
      <c r="K12" s="318">
        <f>CONSUMPTION!I162</f>
        <v>0.17301272436982923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4.9357366103826994</v>
      </c>
      <c r="F13" s="320">
        <f t="shared" si="5"/>
        <v>8.1403957617688327</v>
      </c>
      <c r="G13" s="320">
        <f t="shared" si="5"/>
        <v>0.91767961681745613</v>
      </c>
      <c r="H13" s="320">
        <f t="shared" si="5"/>
        <v>40.815886593449129</v>
      </c>
      <c r="I13" s="320">
        <f t="shared" si="5"/>
        <v>2.2933968745464219</v>
      </c>
      <c r="J13" s="320">
        <f t="shared" si="5"/>
        <v>11.454149692776619</v>
      </c>
      <c r="K13" s="320">
        <f t="shared" si="5"/>
        <v>14.342754850258844</v>
      </c>
      <c r="L13" s="286"/>
      <c r="M13" s="320">
        <f t="shared" si="0"/>
        <v>82.9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125</v>
      </c>
      <c r="B14" s="314">
        <v>841</v>
      </c>
      <c r="C14" s="317">
        <f>B14/$B$3</f>
        <v>0.11388102750206501</v>
      </c>
      <c r="D14" s="316"/>
      <c r="E14" s="318">
        <f>CONSUMPTION!D5</f>
        <v>9.2485318110099982E-2</v>
      </c>
      <c r="F14" s="318">
        <f>CONSUMPTION!D53</f>
        <v>6.784718307548683E-2</v>
      </c>
      <c r="G14" s="318">
        <f>CONSUMPTION!D74</f>
        <v>1.6702607098011493E-2</v>
      </c>
      <c r="H14" s="318">
        <f>CONSUMPTION!D82</f>
        <v>0.6362971513107073</v>
      </c>
      <c r="I14" s="318">
        <f>CONSUMPTION!D137</f>
        <v>2.6352538348887632E-2</v>
      </c>
      <c r="J14" s="318">
        <f>CONSUMPTION!D143</f>
        <v>2.8806032027249101E-2</v>
      </c>
      <c r="K14" s="318">
        <f>CONSUMPTION!D162</f>
        <v>0.13150917002955764</v>
      </c>
      <c r="L14" s="286"/>
      <c r="M14" s="319">
        <f t="shared" si="0"/>
        <v>0.99999999999999989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77.78015253059408</v>
      </c>
      <c r="F15" s="320">
        <f t="shared" si="6"/>
        <v>57.059480966484422</v>
      </c>
      <c r="G15" s="320">
        <f t="shared" si="6"/>
        <v>14.046892569427666</v>
      </c>
      <c r="H15" s="320">
        <f t="shared" si="6"/>
        <v>535.12590425230485</v>
      </c>
      <c r="I15" s="320">
        <f t="shared" si="6"/>
        <v>22.1624847514145</v>
      </c>
      <c r="J15" s="320">
        <f t="shared" si="6"/>
        <v>24.225872934916495</v>
      </c>
      <c r="K15" s="320">
        <f t="shared" si="6"/>
        <v>110.59921199485798</v>
      </c>
      <c r="L15" s="286"/>
      <c r="M15" s="320">
        <f t="shared" si="0"/>
        <v>841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72</v>
      </c>
      <c r="B16" s="314">
        <v>155</v>
      </c>
      <c r="C16" s="317">
        <f>B16/$B$3</f>
        <v>2.0988774390987012E-2</v>
      </c>
      <c r="D16" s="316"/>
      <c r="E16" s="318">
        <f>CONSUMPTION!AC5</f>
        <v>0.19893633870443383</v>
      </c>
      <c r="F16" s="318">
        <f>CONSUMPTION!AC53</f>
        <v>8.1716862699332274E-2</v>
      </c>
      <c r="G16" s="318">
        <f>CONSUMPTION!AC74</f>
        <v>1.4904595583638283E-2</v>
      </c>
      <c r="H16" s="318">
        <f>CONSUMPTION!AC82</f>
        <v>0.37195218525712104</v>
      </c>
      <c r="I16" s="318">
        <f>CONSUMPTION!AC137</f>
        <v>1.8676591949184328E-2</v>
      </c>
      <c r="J16" s="318">
        <f>CONSUMPTION!AC143</f>
        <v>0.22281870243325019</v>
      </c>
      <c r="K16" s="318">
        <f>CONSUMPTION!AC162</f>
        <v>9.0994723373039987E-2</v>
      </c>
      <c r="L16" s="286"/>
      <c r="M16" s="319">
        <f t="shared" si="0"/>
        <v>1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30.835132499187246</v>
      </c>
      <c r="F17" s="320">
        <f t="shared" si="7"/>
        <v>12.666113718396502</v>
      </c>
      <c r="G17" s="320">
        <f t="shared" si="7"/>
        <v>2.310212315463934</v>
      </c>
      <c r="H17" s="320">
        <f t="shared" si="7"/>
        <v>57.652588714853763</v>
      </c>
      <c r="I17" s="320">
        <f t="shared" si="7"/>
        <v>2.8948717521235707</v>
      </c>
      <c r="J17" s="320">
        <f t="shared" si="7"/>
        <v>34.536898877153781</v>
      </c>
      <c r="K17" s="320">
        <f t="shared" si="7"/>
        <v>14.104182122821198</v>
      </c>
      <c r="L17" s="286"/>
      <c r="M17" s="320">
        <f t="shared" si="0"/>
        <v>155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CONSUMPTION!AM5</f>
        <v>0.22060035690363433</v>
      </c>
      <c r="F18" s="318">
        <f>CONSUMPTION!AM53</f>
        <v>0.12861793012679648</v>
      </c>
      <c r="G18" s="318">
        <f>CONSUMPTION!AM74</f>
        <v>1.4286217912667728E-2</v>
      </c>
      <c r="H18" s="318">
        <f>CONSUMPTION!AM82</f>
        <v>0.39618401857376206</v>
      </c>
      <c r="I18" s="318">
        <f>CONSUMPTION!AM137</f>
        <v>1.4460808589861316E-2</v>
      </c>
      <c r="J18" s="318">
        <f>CONSUMPTION!AM143</f>
        <v>7.8457524942124865E-2</v>
      </c>
      <c r="K18" s="318">
        <f>CONSUMPTION!AM162</f>
        <v>0.14739314295115322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194.79011514590911</v>
      </c>
      <c r="F19" s="320">
        <f t="shared" si="8"/>
        <v>113.56963230196129</v>
      </c>
      <c r="G19" s="320">
        <f t="shared" si="8"/>
        <v>12.614730416885603</v>
      </c>
      <c r="H19" s="320">
        <f t="shared" si="8"/>
        <v>349.83048840063191</v>
      </c>
      <c r="I19" s="320">
        <f t="shared" si="8"/>
        <v>12.768893984847542</v>
      </c>
      <c r="J19" s="320">
        <f t="shared" si="8"/>
        <v>69.277994523896254</v>
      </c>
      <c r="K19" s="320">
        <f t="shared" si="8"/>
        <v>130.14814522586829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CONSUMPTION!AR5</f>
        <v>0.44023328210584395</v>
      </c>
      <c r="F20" s="318">
        <f>CONSUMPTION!AR53</f>
        <v>9.8404066674547833E-2</v>
      </c>
      <c r="G20" s="318">
        <f>CONSUMPTION!AR74</f>
        <v>3.5504590771170748E-2</v>
      </c>
      <c r="H20" s="318">
        <f>CONSUMPTION!AR82</f>
        <v>0.1559601213697443</v>
      </c>
      <c r="I20" s="318">
        <f>CONSUMPTION!AR137</f>
        <v>1.9482208298853297E-2</v>
      </c>
      <c r="J20" s="318">
        <f>CONSUMPTION!AR143</f>
        <v>9.5842692201599869E-2</v>
      </c>
      <c r="K20" s="318">
        <f>CONSUMPTION!AR162</f>
        <v>0.15457303857824015</v>
      </c>
      <c r="L20" s="286"/>
      <c r="M20" s="319">
        <f t="shared" si="0"/>
        <v>1.0000000000000002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193.70264412657133</v>
      </c>
      <c r="F21" s="320">
        <f t="shared" si="9"/>
        <v>43.297789336801046</v>
      </c>
      <c r="G21" s="320">
        <f t="shared" si="9"/>
        <v>15.622019939315129</v>
      </c>
      <c r="H21" s="320">
        <f t="shared" si="9"/>
        <v>68.622453402687498</v>
      </c>
      <c r="I21" s="320">
        <f t="shared" si="9"/>
        <v>8.5721716514954505</v>
      </c>
      <c r="J21" s="320">
        <f t="shared" si="9"/>
        <v>42.170784568703944</v>
      </c>
      <c r="K21" s="320">
        <f t="shared" si="9"/>
        <v>68.012136974425658</v>
      </c>
      <c r="L21" s="286"/>
      <c r="M21" s="320">
        <f t="shared" si="0"/>
        <v>440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CONSUMPTION!AW5</f>
        <v>0.25008019803881254</v>
      </c>
      <c r="F22" s="318">
        <f>CONSUMPTION!AW53</f>
        <v>0.12699669701157523</v>
      </c>
      <c r="G22" s="318">
        <f>CONSUMPTION!AW74</f>
        <v>3.889733667581588E-2</v>
      </c>
      <c r="H22" s="318">
        <f>CONSUMPTION!AW82</f>
        <v>0.31827733207701447</v>
      </c>
      <c r="I22" s="318">
        <f>CONSUMPTION!AW137</f>
        <v>1.0354796123706822E-2</v>
      </c>
      <c r="J22" s="318">
        <f>CONSUMPTION!AW143</f>
        <v>0.11883640021560982</v>
      </c>
      <c r="K22" s="318">
        <f>CONSUMPTION!AW162</f>
        <v>0.13655723985746529</v>
      </c>
      <c r="L22" s="286"/>
      <c r="M22" s="319">
        <f t="shared" si="0"/>
        <v>1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666.9638881695131</v>
      </c>
      <c r="F23" s="320">
        <f t="shared" si="10"/>
        <v>338.70019092987116</v>
      </c>
      <c r="G23" s="320">
        <f t="shared" si="10"/>
        <v>103.73919691440095</v>
      </c>
      <c r="H23" s="320">
        <f t="shared" si="10"/>
        <v>848.84564464939763</v>
      </c>
      <c r="I23" s="320">
        <f t="shared" si="10"/>
        <v>27.616241261926096</v>
      </c>
      <c r="J23" s="320">
        <f t="shared" si="10"/>
        <v>316.93667937503136</v>
      </c>
      <c r="K23" s="320">
        <f t="shared" si="10"/>
        <v>364.1981586998599</v>
      </c>
      <c r="L23" s="286"/>
      <c r="M23" s="320">
        <f t="shared" si="0"/>
        <v>2667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CONSUMPTION!BB5</f>
        <v>9.8180893939944072E-2</v>
      </c>
      <c r="F24" s="318">
        <f>CONSUMPTION!BB53</f>
        <v>0.15801895356014667</v>
      </c>
      <c r="G24" s="318">
        <f>CONSUMPTION!BB74</f>
        <v>1.6157728477542571E-2</v>
      </c>
      <c r="H24" s="318">
        <f>CONSUMPTION!BB82</f>
        <v>0.4838967357757526</v>
      </c>
      <c r="I24" s="318">
        <f>CONSUMPTION!BB137</f>
        <v>2.5017247013543444E-2</v>
      </c>
      <c r="J24" s="318">
        <f>CONSUMPTION!BB143</f>
        <v>0.15594931193493333</v>
      </c>
      <c r="K24" s="318">
        <f>CONSUMPTION!BB162</f>
        <v>6.2779129298137309E-2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0.52035873788170361</v>
      </c>
      <c r="F25" s="320">
        <f t="shared" si="11"/>
        <v>0.83750045386877736</v>
      </c>
      <c r="G25" s="320">
        <f t="shared" si="11"/>
        <v>8.5635960930975627E-2</v>
      </c>
      <c r="H25" s="320">
        <f t="shared" si="11"/>
        <v>2.5646526996114885</v>
      </c>
      <c r="I25" s="320">
        <f t="shared" si="11"/>
        <v>0.13259140917178025</v>
      </c>
      <c r="J25" s="320">
        <f t="shared" si="11"/>
        <v>0.82653135325514659</v>
      </c>
      <c r="K25" s="320">
        <f t="shared" si="11"/>
        <v>0.33272938528012774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E27" s="285" t="s">
        <v>328</v>
      </c>
      <c r="F27" s="286"/>
      <c r="G27" s="286"/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E28" s="287" t="s">
        <v>108</v>
      </c>
      <c r="F28" s="287" t="s">
        <v>109</v>
      </c>
      <c r="G28" s="287" t="s">
        <v>110</v>
      </c>
      <c r="H28" s="312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E29" s="222" t="s">
        <v>123</v>
      </c>
      <c r="F29" s="222" t="s">
        <v>115</v>
      </c>
      <c r="G29" s="457">
        <f>E5</f>
        <v>22.831825899284087</v>
      </c>
      <c r="H29" s="463">
        <f>SUM(G29:G35)</f>
        <v>212</v>
      </c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E30" s="222" t="s">
        <v>123</v>
      </c>
      <c r="F30" s="222" t="s">
        <v>95</v>
      </c>
      <c r="G30" s="457">
        <f>F5</f>
        <v>10.86799457275024</v>
      </c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E31" s="222" t="s">
        <v>123</v>
      </c>
      <c r="F31" s="222" t="s">
        <v>116</v>
      </c>
      <c r="G31" s="457">
        <f>G5</f>
        <v>1.4304749330728517</v>
      </c>
      <c r="H31" s="286"/>
      <c r="I31" s="286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22" t="s">
        <v>123</v>
      </c>
      <c r="F32" s="222" t="s">
        <v>103</v>
      </c>
      <c r="G32" s="457">
        <f>H5</f>
        <v>117.94498210810166</v>
      </c>
      <c r="H32" s="320"/>
      <c r="I32" s="320"/>
      <c r="J32" s="320"/>
      <c r="K32" s="320"/>
      <c r="L32" s="286"/>
      <c r="M32" s="321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22" t="s">
        <v>123</v>
      </c>
      <c r="F33" s="222" t="s">
        <v>117</v>
      </c>
      <c r="G33" s="457">
        <f>I5</f>
        <v>6.083391592634726</v>
      </c>
      <c r="H33" s="286"/>
      <c r="I33" s="286"/>
      <c r="J33" s="286"/>
      <c r="K33" s="286"/>
      <c r="L33" s="286"/>
      <c r="M33" s="321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123</v>
      </c>
      <c r="F34" s="222" t="s">
        <v>119</v>
      </c>
      <c r="G34" s="457">
        <f>J5</f>
        <v>24.329435034992127</v>
      </c>
      <c r="H34" s="320"/>
      <c r="I34" s="320"/>
      <c r="J34" s="320"/>
      <c r="K34" s="320"/>
      <c r="L34" s="286"/>
      <c r="M34" s="321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123</v>
      </c>
      <c r="F35" s="222" t="s">
        <v>121</v>
      </c>
      <c r="G35" s="457">
        <f>K5</f>
        <v>28.511895859164341</v>
      </c>
      <c r="H35" s="286"/>
      <c r="I35" s="286"/>
      <c r="J35" s="286"/>
      <c r="K35" s="286"/>
      <c r="L35" s="286"/>
      <c r="M35" s="321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114</v>
      </c>
      <c r="F36" s="222" t="s">
        <v>115</v>
      </c>
      <c r="G36" s="457">
        <f>E9</f>
        <v>386.52379401393159</v>
      </c>
      <c r="H36" s="463">
        <f>SUM(G36:G42)</f>
        <v>834.7</v>
      </c>
      <c r="I36" s="320"/>
      <c r="J36" s="320"/>
      <c r="K36" s="320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114</v>
      </c>
      <c r="F37" s="222" t="s">
        <v>95</v>
      </c>
      <c r="G37" s="457">
        <f>F9</f>
        <v>37.740111232708564</v>
      </c>
      <c r="H37" s="286"/>
      <c r="I37" s="286"/>
      <c r="J37" s="286"/>
      <c r="K37" s="286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114</v>
      </c>
      <c r="F38" s="222" t="s">
        <v>116</v>
      </c>
      <c r="G38" s="457">
        <f>G9</f>
        <v>15.177886829452833</v>
      </c>
      <c r="H38" s="320"/>
      <c r="I38" s="320"/>
      <c r="J38" s="320"/>
      <c r="K38" s="320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114</v>
      </c>
      <c r="F39" s="222" t="s">
        <v>103</v>
      </c>
      <c r="G39" s="457">
        <f>H9</f>
        <v>251.5814087160276</v>
      </c>
      <c r="H39" s="286"/>
      <c r="I39" s="286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114</v>
      </c>
      <c r="F40" s="222" t="s">
        <v>117</v>
      </c>
      <c r="G40" s="457">
        <f>I9</f>
        <v>10.814304781095652</v>
      </c>
      <c r="H40" s="320"/>
      <c r="I40" s="320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114</v>
      </c>
      <c r="F41" s="222" t="s">
        <v>119</v>
      </c>
      <c r="G41" s="457">
        <f>J9</f>
        <v>59.453301949612346</v>
      </c>
      <c r="H41" s="286"/>
      <c r="I41" s="286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114</v>
      </c>
      <c r="F42" s="222" t="s">
        <v>121</v>
      </c>
      <c r="G42" s="457">
        <f>K9</f>
        <v>73.40919247717153</v>
      </c>
      <c r="H42" s="320"/>
      <c r="I42" s="320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140</v>
      </c>
      <c r="F43" s="222" t="s">
        <v>115</v>
      </c>
      <c r="G43" s="457">
        <f>E13</f>
        <v>4.9357366103826994</v>
      </c>
      <c r="H43" s="463">
        <f>SUM(G43:G49)</f>
        <v>82.9</v>
      </c>
      <c r="I43" s="286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140</v>
      </c>
      <c r="F44" s="222" t="s">
        <v>95</v>
      </c>
      <c r="G44" s="457">
        <f>F13</f>
        <v>8.1403957617688327</v>
      </c>
      <c r="H44" s="320"/>
      <c r="I44" s="320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140</v>
      </c>
      <c r="F45" s="222" t="s">
        <v>116</v>
      </c>
      <c r="G45" s="457">
        <f>G13</f>
        <v>0.91767961681745613</v>
      </c>
      <c r="H45" s="286"/>
      <c r="I45" s="286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140</v>
      </c>
      <c r="F46" s="222" t="s">
        <v>103</v>
      </c>
      <c r="G46" s="457">
        <f>H13</f>
        <v>40.815886593449129</v>
      </c>
      <c r="H46" s="320"/>
      <c r="I46" s="320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140</v>
      </c>
      <c r="F47" s="222" t="s">
        <v>117</v>
      </c>
      <c r="G47" s="457">
        <f>I13</f>
        <v>2.2933968745464219</v>
      </c>
      <c r="H47" s="286"/>
      <c r="I47" s="286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140</v>
      </c>
      <c r="F48" s="222" t="s">
        <v>119</v>
      </c>
      <c r="G48" s="457">
        <f>J13</f>
        <v>11.454149692776619</v>
      </c>
      <c r="H48" s="320"/>
      <c r="I48" s="320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140</v>
      </c>
      <c r="F49" s="222" t="s">
        <v>121</v>
      </c>
      <c r="G49" s="457">
        <f>K13</f>
        <v>14.342754850258844</v>
      </c>
      <c r="H49" s="286"/>
      <c r="I49" s="286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71</v>
      </c>
      <c r="F50" s="222" t="s">
        <v>115</v>
      </c>
      <c r="G50" s="457">
        <f>E7</f>
        <v>16.21121761730431</v>
      </c>
      <c r="H50" s="463">
        <f>SUM(G50:G56)</f>
        <v>134</v>
      </c>
      <c r="I50" s="320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71</v>
      </c>
      <c r="F51" s="222" t="s">
        <v>95</v>
      </c>
      <c r="G51" s="457">
        <f>F7</f>
        <v>19.444580626873897</v>
      </c>
      <c r="H51" s="286"/>
      <c r="I51" s="286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 ht="15">
      <c r="A52" s="286"/>
      <c r="B52" s="286"/>
      <c r="C52" s="286"/>
      <c r="D52" s="316"/>
      <c r="E52" s="222" t="s">
        <v>71</v>
      </c>
      <c r="F52" s="222" t="s">
        <v>116</v>
      </c>
      <c r="G52" s="457">
        <f>G7</f>
        <v>0.58258311009617503</v>
      </c>
      <c r="H52" s="320"/>
      <c r="I52" s="320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 ht="15">
      <c r="A53" s="286"/>
      <c r="B53" s="286"/>
      <c r="C53" s="286"/>
      <c r="D53" s="316"/>
      <c r="E53" s="222" t="s">
        <v>71</v>
      </c>
      <c r="F53" s="222" t="s">
        <v>103</v>
      </c>
      <c r="G53" s="457">
        <f>H7</f>
        <v>49.396521093416247</v>
      </c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 ht="15">
      <c r="A54" s="286"/>
      <c r="B54" s="286"/>
      <c r="C54" s="286"/>
      <c r="D54" s="316"/>
      <c r="E54" s="222" t="s">
        <v>71</v>
      </c>
      <c r="F54" s="222" t="s">
        <v>117</v>
      </c>
      <c r="G54" s="457">
        <f>I7</f>
        <v>5.1956355971111581</v>
      </c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 ht="15">
      <c r="A55" s="286"/>
      <c r="B55" s="286"/>
      <c r="C55" s="286"/>
      <c r="D55" s="316"/>
      <c r="E55" s="222" t="s">
        <v>71</v>
      </c>
      <c r="F55" s="222" t="s">
        <v>119</v>
      </c>
      <c r="G55" s="457">
        <f>J7</f>
        <v>13.326655514789547</v>
      </c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 ht="15">
      <c r="A56" s="286"/>
      <c r="B56" s="286"/>
      <c r="C56" s="286"/>
      <c r="D56" s="316"/>
      <c r="E56" s="222" t="s">
        <v>71</v>
      </c>
      <c r="F56" s="222" t="s">
        <v>121</v>
      </c>
      <c r="G56" s="457">
        <f>K7</f>
        <v>29.842806440408655</v>
      </c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125</v>
      </c>
      <c r="F57" s="222" t="s">
        <v>115</v>
      </c>
      <c r="G57" s="457">
        <f>E15</f>
        <v>77.78015253059408</v>
      </c>
      <c r="H57" s="463">
        <f>SUM(G57:G63)</f>
        <v>841</v>
      </c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 ht="15">
      <c r="A58" s="286"/>
      <c r="B58" s="286"/>
      <c r="C58" s="286"/>
      <c r="D58" s="316"/>
      <c r="E58" s="222" t="s">
        <v>125</v>
      </c>
      <c r="F58" s="222" t="s">
        <v>95</v>
      </c>
      <c r="G58" s="457">
        <f>F15</f>
        <v>57.059480966484422</v>
      </c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 ht="15">
      <c r="A59" s="286"/>
      <c r="B59" s="286"/>
      <c r="C59" s="286"/>
      <c r="D59" s="316"/>
      <c r="E59" s="222" t="s">
        <v>125</v>
      </c>
      <c r="F59" s="222" t="s">
        <v>116</v>
      </c>
      <c r="G59" s="457">
        <f>G15</f>
        <v>14.046892569427666</v>
      </c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E60" s="222" t="s">
        <v>125</v>
      </c>
      <c r="F60" s="222" t="s">
        <v>103</v>
      </c>
      <c r="G60" s="457">
        <f>H15</f>
        <v>535.12590425230485</v>
      </c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E61" s="222" t="s">
        <v>125</v>
      </c>
      <c r="F61" s="222" t="s">
        <v>117</v>
      </c>
      <c r="G61" s="457">
        <f>I15</f>
        <v>22.1624847514145</v>
      </c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 ht="15">
      <c r="A62" s="286"/>
      <c r="B62" s="286"/>
      <c r="C62" s="286"/>
      <c r="D62" s="316"/>
      <c r="E62" s="222" t="s">
        <v>125</v>
      </c>
      <c r="F62" s="222" t="s">
        <v>119</v>
      </c>
      <c r="G62" s="457">
        <f>J15</f>
        <v>24.225872934916495</v>
      </c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E63" s="222" t="s">
        <v>125</v>
      </c>
      <c r="F63" s="222" t="s">
        <v>121</v>
      </c>
      <c r="G63" s="457">
        <f>K15</f>
        <v>110.59921199485798</v>
      </c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72</v>
      </c>
      <c r="F64" s="222" t="s">
        <v>115</v>
      </c>
      <c r="G64" s="457">
        <f>E17</f>
        <v>30.835132499187246</v>
      </c>
      <c r="H64" s="463">
        <f>SUM(G64:G70)</f>
        <v>155</v>
      </c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E65" s="222" t="s">
        <v>72</v>
      </c>
      <c r="F65" s="222" t="s">
        <v>95</v>
      </c>
      <c r="G65" s="457">
        <f>F17</f>
        <v>12.666113718396502</v>
      </c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 ht="15">
      <c r="A66" s="286"/>
      <c r="B66" s="286"/>
      <c r="C66" s="286"/>
      <c r="D66" s="316"/>
      <c r="E66" s="222" t="s">
        <v>72</v>
      </c>
      <c r="F66" s="222" t="s">
        <v>116</v>
      </c>
      <c r="G66" s="457">
        <f>G17</f>
        <v>2.310212315463934</v>
      </c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E67" s="222" t="s">
        <v>72</v>
      </c>
      <c r="F67" s="222" t="s">
        <v>103</v>
      </c>
      <c r="G67" s="457">
        <f>H17</f>
        <v>57.652588714853763</v>
      </c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E68" s="222" t="s">
        <v>72</v>
      </c>
      <c r="F68" s="222" t="s">
        <v>117</v>
      </c>
      <c r="G68" s="457">
        <f>I17</f>
        <v>2.8948717521235707</v>
      </c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 ht="15">
      <c r="A69" s="286"/>
      <c r="B69" s="286"/>
      <c r="C69" s="286"/>
      <c r="D69" s="316"/>
      <c r="E69" s="222" t="s">
        <v>72</v>
      </c>
      <c r="F69" s="222" t="s">
        <v>119</v>
      </c>
      <c r="G69" s="457">
        <f>J17</f>
        <v>34.536898877153781</v>
      </c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E70" s="222" t="s">
        <v>72</v>
      </c>
      <c r="F70" s="222" t="s">
        <v>121</v>
      </c>
      <c r="G70" s="457">
        <f>K17</f>
        <v>14.104182122821198</v>
      </c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66</v>
      </c>
      <c r="F71" s="222" t="s">
        <v>115</v>
      </c>
      <c r="G71" s="457">
        <f>E11</f>
        <v>135.47268256018444</v>
      </c>
      <c r="H71" s="463">
        <f>SUM(G71:G77)</f>
        <v>1130</v>
      </c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E72" s="222" t="s">
        <v>66</v>
      </c>
      <c r="F72" s="222" t="s">
        <v>95</v>
      </c>
      <c r="G72" s="457">
        <f>F11</f>
        <v>159.88563672584777</v>
      </c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 ht="15">
      <c r="A73" s="286"/>
      <c r="B73" s="286"/>
      <c r="C73" s="286"/>
      <c r="D73" s="316"/>
      <c r="E73" s="222" t="s">
        <v>66</v>
      </c>
      <c r="F73" s="222" t="s">
        <v>116</v>
      </c>
      <c r="G73" s="457">
        <f>G11</f>
        <v>21.754460474178508</v>
      </c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E74" s="222" t="s">
        <v>66</v>
      </c>
      <c r="F74" s="222" t="s">
        <v>103</v>
      </c>
      <c r="G74" s="457">
        <f>H11</f>
        <v>557.70480964994863</v>
      </c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E75" s="222" t="s">
        <v>66</v>
      </c>
      <c r="F75" s="222" t="s">
        <v>117</v>
      </c>
      <c r="G75" s="457">
        <f>I11</f>
        <v>17.727963980530809</v>
      </c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 ht="15">
      <c r="A76" s="286"/>
      <c r="B76" s="286"/>
      <c r="C76" s="286"/>
      <c r="D76" s="316"/>
      <c r="E76" s="222" t="s">
        <v>66</v>
      </c>
      <c r="F76" s="222" t="s">
        <v>119</v>
      </c>
      <c r="G76" s="457">
        <f>J11</f>
        <v>130.60757313718196</v>
      </c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E77" s="222" t="s">
        <v>66</v>
      </c>
      <c r="F77" s="222" t="s">
        <v>121</v>
      </c>
      <c r="G77" s="457">
        <f>K11</f>
        <v>106.84687347212795</v>
      </c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67</v>
      </c>
      <c r="F78" s="222" t="s">
        <v>115</v>
      </c>
      <c r="G78" s="457">
        <f>E19</f>
        <v>194.79011514590911</v>
      </c>
      <c r="H78" s="463">
        <f>SUM(G78:G84)</f>
        <v>883</v>
      </c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E79" s="222" t="s">
        <v>67</v>
      </c>
      <c r="F79" s="222" t="s">
        <v>95</v>
      </c>
      <c r="G79" s="457">
        <f>F19</f>
        <v>113.56963230196129</v>
      </c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 ht="15">
      <c r="A80" s="286"/>
      <c r="B80" s="286"/>
      <c r="C80" s="286"/>
      <c r="D80" s="316"/>
      <c r="E80" s="222" t="s">
        <v>67</v>
      </c>
      <c r="F80" s="222" t="s">
        <v>116</v>
      </c>
      <c r="G80" s="457">
        <f>G19</f>
        <v>12.614730416885603</v>
      </c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E81" s="222" t="s">
        <v>67</v>
      </c>
      <c r="F81" s="222" t="s">
        <v>103</v>
      </c>
      <c r="G81" s="457">
        <f>H19</f>
        <v>349.83048840063191</v>
      </c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E82" s="222" t="s">
        <v>67</v>
      </c>
      <c r="F82" s="222" t="s">
        <v>117</v>
      </c>
      <c r="G82" s="457">
        <f>I19</f>
        <v>12.768893984847542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 ht="15">
      <c r="A83" s="286"/>
      <c r="B83" s="286"/>
      <c r="C83" s="286"/>
      <c r="D83" s="316"/>
      <c r="E83" s="222" t="s">
        <v>67</v>
      </c>
      <c r="F83" s="222" t="s">
        <v>119</v>
      </c>
      <c r="G83" s="457">
        <f>J19</f>
        <v>69.277994523896254</v>
      </c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E84" s="222" t="s">
        <v>67</v>
      </c>
      <c r="F84" s="222" t="s">
        <v>121</v>
      </c>
      <c r="G84" s="457">
        <f>K19</f>
        <v>130.14814522586829</v>
      </c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141</v>
      </c>
      <c r="F85" s="222" t="s">
        <v>115</v>
      </c>
      <c r="G85" s="457">
        <f>E21</f>
        <v>193.70264412657133</v>
      </c>
      <c r="H85" s="463">
        <f>SUM(G85:G91)</f>
        <v>440</v>
      </c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E86" s="222" t="s">
        <v>141</v>
      </c>
      <c r="F86" s="222" t="s">
        <v>95</v>
      </c>
      <c r="G86" s="457">
        <f>F21</f>
        <v>43.297789336801046</v>
      </c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 ht="15">
      <c r="A87" s="286"/>
      <c r="B87" s="286"/>
      <c r="C87" s="286"/>
      <c r="D87" s="316"/>
      <c r="E87" s="222" t="s">
        <v>141</v>
      </c>
      <c r="F87" s="222" t="s">
        <v>116</v>
      </c>
      <c r="G87" s="457">
        <f>G21</f>
        <v>15.622019939315129</v>
      </c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E88" s="222" t="s">
        <v>141</v>
      </c>
      <c r="F88" s="222" t="s">
        <v>103</v>
      </c>
      <c r="G88" s="457">
        <f>H21</f>
        <v>68.622453402687498</v>
      </c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E89" s="222" t="s">
        <v>141</v>
      </c>
      <c r="F89" s="222" t="s">
        <v>117</v>
      </c>
      <c r="G89" s="457">
        <f>I21</f>
        <v>8.5721716514954505</v>
      </c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 ht="15">
      <c r="A90" s="286"/>
      <c r="B90" s="286"/>
      <c r="C90" s="286"/>
      <c r="D90" s="316"/>
      <c r="E90" s="222" t="s">
        <v>141</v>
      </c>
      <c r="F90" s="222" t="s">
        <v>119</v>
      </c>
      <c r="G90" s="457">
        <f>J21</f>
        <v>42.170784568703944</v>
      </c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E91" s="222" t="s">
        <v>141</v>
      </c>
      <c r="F91" s="222" t="s">
        <v>121</v>
      </c>
      <c r="G91" s="457">
        <f>K21</f>
        <v>68.012136974425658</v>
      </c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65</v>
      </c>
      <c r="F92" s="222" t="s">
        <v>115</v>
      </c>
      <c r="G92" s="457">
        <f>E23</f>
        <v>666.9638881695131</v>
      </c>
      <c r="H92" s="463">
        <f>SUM(G92:G98)</f>
        <v>2667</v>
      </c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E93" s="222" t="s">
        <v>65</v>
      </c>
      <c r="F93" s="222" t="s">
        <v>95</v>
      </c>
      <c r="G93" s="457">
        <f>F23</f>
        <v>338.70019092987116</v>
      </c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 ht="15">
      <c r="A94" s="286"/>
      <c r="B94" s="286"/>
      <c r="C94" s="286"/>
      <c r="D94" s="316"/>
      <c r="E94" s="222" t="s">
        <v>65</v>
      </c>
      <c r="F94" s="222" t="s">
        <v>116</v>
      </c>
      <c r="G94" s="457">
        <f>G23</f>
        <v>103.73919691440095</v>
      </c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E95" s="222" t="s">
        <v>65</v>
      </c>
      <c r="F95" s="222" t="s">
        <v>103</v>
      </c>
      <c r="G95" s="457">
        <f>H23</f>
        <v>848.84564464939763</v>
      </c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E96" s="222" t="s">
        <v>65</v>
      </c>
      <c r="F96" s="222" t="s">
        <v>117</v>
      </c>
      <c r="G96" s="457">
        <f>I23</f>
        <v>27.616241261926096</v>
      </c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 ht="15">
      <c r="A97" s="286"/>
      <c r="B97" s="286"/>
      <c r="C97" s="286"/>
      <c r="D97" s="316"/>
      <c r="E97" s="222" t="s">
        <v>65</v>
      </c>
      <c r="F97" s="222" t="s">
        <v>119</v>
      </c>
      <c r="G97" s="457">
        <f>J23</f>
        <v>316.93667937503136</v>
      </c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E98" s="222" t="s">
        <v>65</v>
      </c>
      <c r="F98" s="222" t="s">
        <v>121</v>
      </c>
      <c r="G98" s="457">
        <f>K23</f>
        <v>364.1981586998599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76</v>
      </c>
      <c r="F99" s="222" t="s">
        <v>115</v>
      </c>
      <c r="G99" s="457">
        <f>E25</f>
        <v>0.52035873788170361</v>
      </c>
      <c r="H99" s="463">
        <f>SUM(G99:G105)</f>
        <v>5.3</v>
      </c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E100" s="222" t="s">
        <v>76</v>
      </c>
      <c r="F100" s="222" t="s">
        <v>95</v>
      </c>
      <c r="G100" s="457">
        <f>F25</f>
        <v>0.83750045386877736</v>
      </c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 ht="15">
      <c r="A101" s="286"/>
      <c r="B101" s="286"/>
      <c r="C101" s="286"/>
      <c r="D101" s="316"/>
      <c r="E101" s="222" t="s">
        <v>76</v>
      </c>
      <c r="F101" s="222" t="s">
        <v>116</v>
      </c>
      <c r="G101" s="457">
        <f>G25</f>
        <v>8.5635960930975627E-2</v>
      </c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E102" s="222" t="s">
        <v>76</v>
      </c>
      <c r="F102" s="222" t="s">
        <v>103</v>
      </c>
      <c r="G102" s="457">
        <f>H25</f>
        <v>2.5646526996114885</v>
      </c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E103" s="222" t="s">
        <v>76</v>
      </c>
      <c r="F103" s="222" t="s">
        <v>117</v>
      </c>
      <c r="G103" s="457">
        <f>I25</f>
        <v>0.13259140917178025</v>
      </c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 ht="15">
      <c r="A104" s="286"/>
      <c r="B104" s="286"/>
      <c r="C104" s="286"/>
      <c r="D104" s="316"/>
      <c r="E104" s="222" t="s">
        <v>76</v>
      </c>
      <c r="F104" s="222" t="s">
        <v>119</v>
      </c>
      <c r="G104" s="457">
        <f>J25</f>
        <v>0.82653135325514659</v>
      </c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E105" s="222" t="s">
        <v>76</v>
      </c>
      <c r="F105" s="222" t="s">
        <v>121</v>
      </c>
      <c r="G105" s="457">
        <f>K25</f>
        <v>0.33272938528012774</v>
      </c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86"/>
      <c r="F107" s="286"/>
      <c r="G107" s="473">
        <f>SUM(G29:G105)</f>
        <v>7384.8999999999987</v>
      </c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86"/>
      <c r="F109" s="286"/>
      <c r="G109" s="286"/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L16" sqref="L16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382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59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2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CONSUMPTION!M7</f>
        <v>2.4797147643760582E-2</v>
      </c>
      <c r="F4" s="318">
        <f>CONSUMPTION!M55</f>
        <v>2.3836761507792677E-2</v>
      </c>
      <c r="G4" s="318">
        <f>CONSUMPTION!M76</f>
        <v>1.4826153977905284E-2</v>
      </c>
      <c r="H4" s="318">
        <f>CONSUMPTION!M84</f>
        <v>6.1711869329964787E-2</v>
      </c>
      <c r="I4" s="318">
        <f>CONSUMPTION!M139</f>
        <v>7.8307286300213372E-2</v>
      </c>
      <c r="J4" s="318">
        <f>CONSUMPTION!M145</f>
        <v>6.0097125895008624E-2</v>
      </c>
      <c r="K4" s="318">
        <f>CONSUMPTION!M164</f>
        <v>5.1101943800912424E-2</v>
      </c>
      <c r="L4" s="286"/>
      <c r="M4" s="319">
        <f t="shared" ref="M4:M25" si="0">SUM(E4:K4)</f>
        <v>0.31467828845555773</v>
      </c>
      <c r="N4" s="286"/>
      <c r="O4" s="285" t="s">
        <v>383</v>
      </c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5.2569953004772429</v>
      </c>
      <c r="F5" s="320">
        <f t="shared" si="1"/>
        <v>5.0533934396520479</v>
      </c>
      <c r="G5" s="320">
        <f t="shared" si="1"/>
        <v>3.1431446433159205</v>
      </c>
      <c r="H5" s="320">
        <f t="shared" si="1"/>
        <v>13.082916297952535</v>
      </c>
      <c r="I5" s="320">
        <f t="shared" si="1"/>
        <v>16.601144695645235</v>
      </c>
      <c r="J5" s="320">
        <f t="shared" si="1"/>
        <v>12.740590689741829</v>
      </c>
      <c r="K5" s="320">
        <f t="shared" si="1"/>
        <v>10.833612085793433</v>
      </c>
      <c r="L5" s="286"/>
      <c r="M5" s="320">
        <f t="shared" si="0"/>
        <v>66.711797152578242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CONSUMPTION!W7</f>
        <v>0.26912465709861255</v>
      </c>
      <c r="F6" s="318">
        <f>CONSUMPTION!W55</f>
        <v>5.3066101848495834E-2</v>
      </c>
      <c r="G6" s="318">
        <f>CONSUMPTION!W76</f>
        <v>0.10084996146270446</v>
      </c>
      <c r="H6" s="318">
        <f>CONSUMPTION!W84</f>
        <v>8.4388632571586852E-2</v>
      </c>
      <c r="I6" s="318">
        <f>CONSUMPTION!W139</f>
        <v>8.9242386976261842E-2</v>
      </c>
      <c r="J6" s="318">
        <f>CONSUMPTION!W145</f>
        <v>9.4148592159258915E-2</v>
      </c>
      <c r="K6" s="318">
        <f>CONSUMPTION!W164</f>
        <v>8.4348612423628455E-2</v>
      </c>
      <c r="L6" s="286"/>
      <c r="M6" s="319">
        <f t="shared" si="0"/>
        <v>0.77516894454054885</v>
      </c>
      <c r="N6" s="286"/>
      <c r="O6" s="285" t="s">
        <v>384</v>
      </c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224.63835128021191</v>
      </c>
      <c r="F7" s="320">
        <f t="shared" si="2"/>
        <v>44.294275212939475</v>
      </c>
      <c r="G7" s="320">
        <f t="shared" si="2"/>
        <v>84.179462832919413</v>
      </c>
      <c r="H7" s="320">
        <f t="shared" si="2"/>
        <v>70.439191607503545</v>
      </c>
      <c r="I7" s="320">
        <f t="shared" si="2"/>
        <v>74.490620409085764</v>
      </c>
      <c r="J7" s="320">
        <f t="shared" si="2"/>
        <v>78.585829875333417</v>
      </c>
      <c r="K7" s="320">
        <f t="shared" si="2"/>
        <v>70.405786790002679</v>
      </c>
      <c r="L7" s="286"/>
      <c r="M7" s="320">
        <f t="shared" si="0"/>
        <v>647.03351800799612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CONSUMPTION!H7</f>
        <v>3.4510279890540775E-3</v>
      </c>
      <c r="F8" s="318">
        <f>CONSUMPTION!H55</f>
        <v>1.1494200797390358E-2</v>
      </c>
      <c r="G8" s="318">
        <f>CONSUMPTION!H76</f>
        <v>6.1231480688533017E-3</v>
      </c>
      <c r="H8" s="318">
        <f>CONSUMPTION!H84</f>
        <v>1.3748454778197344E-2</v>
      </c>
      <c r="I8" s="318">
        <f>CONSUMPTION!H139</f>
        <v>1.9005138500196098E-2</v>
      </c>
      <c r="J8" s="318">
        <f>CONSUMPTION!H145</f>
        <v>1.8214613275913311E-2</v>
      </c>
      <c r="K8" s="318">
        <f>CONSUMPTION!H164</f>
        <v>1.6549288278790715E-2</v>
      </c>
      <c r="L8" s="286"/>
      <c r="M8" s="319">
        <f t="shared" si="0"/>
        <v>8.8585871688395212E-2</v>
      </c>
      <c r="N8" s="286"/>
      <c r="O8" s="285" t="s">
        <v>385</v>
      </c>
      <c r="P8" s="285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0.28609022029258302</v>
      </c>
      <c r="F9" s="320">
        <f t="shared" si="3"/>
        <v>0.95286924610366075</v>
      </c>
      <c r="G9" s="320">
        <f t="shared" si="3"/>
        <v>0.50760897490793877</v>
      </c>
      <c r="H9" s="320">
        <f t="shared" si="3"/>
        <v>1.1397469011125598</v>
      </c>
      <c r="I9" s="320">
        <f t="shared" si="3"/>
        <v>1.5755259816662566</v>
      </c>
      <c r="J9" s="320">
        <f t="shared" si="3"/>
        <v>1.5099914405732136</v>
      </c>
      <c r="K9" s="320">
        <f t="shared" si="3"/>
        <v>1.3719359983117503</v>
      </c>
      <c r="L9" s="286"/>
      <c r="M9" s="320">
        <f t="shared" si="0"/>
        <v>7.3437687629679624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CONSUMPTION!R7</f>
        <v>1.6996018389778274E-2</v>
      </c>
      <c r="F10" s="318">
        <f>CONSUMPTION!R55</f>
        <v>4.1168675244653861E-2</v>
      </c>
      <c r="G10" s="318">
        <f>CONSUMPTION!R76</f>
        <v>5.8287659501584316E-3</v>
      </c>
      <c r="H10" s="318">
        <f>CONSUMPTION!R84</f>
        <v>2.4949168113377052E-2</v>
      </c>
      <c r="I10" s="318">
        <f>CONSUMPTION!R139</f>
        <v>6.4560302593181018E-2</v>
      </c>
      <c r="J10" s="318">
        <f>CONSUMPTION!R145</f>
        <v>3.1777031396895902E-2</v>
      </c>
      <c r="K10" s="318">
        <f>CONSUMPTION!R164</f>
        <v>5.1632298509175688E-2</v>
      </c>
      <c r="L10" s="286"/>
      <c r="M10" s="319">
        <f t="shared" si="0"/>
        <v>0.23691226019722025</v>
      </c>
      <c r="N10" s="286"/>
      <c r="O10" s="285" t="s">
        <v>386</v>
      </c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2.2774664642302889</v>
      </c>
      <c r="F11" s="320">
        <f t="shared" si="4"/>
        <v>5.5166024827836173</v>
      </c>
      <c r="G11" s="320">
        <f t="shared" si="4"/>
        <v>0.78105463732122982</v>
      </c>
      <c r="H11" s="320">
        <f t="shared" si="4"/>
        <v>3.3431885271925248</v>
      </c>
      <c r="I11" s="320">
        <f t="shared" si="4"/>
        <v>8.6510805474862558</v>
      </c>
      <c r="J11" s="320">
        <f t="shared" si="4"/>
        <v>4.2581222071840505</v>
      </c>
      <c r="K11" s="320">
        <f t="shared" si="4"/>
        <v>6.9187280002295424</v>
      </c>
      <c r="L11" s="286"/>
      <c r="M11" s="320">
        <f t="shared" si="0"/>
        <v>31.746242866427512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CONSUMPTION!C7</f>
        <v>8.6957716634313856E-2</v>
      </c>
      <c r="F12" s="318">
        <f>CONSUMPTION!C55</f>
        <v>0.12882611453425152</v>
      </c>
      <c r="G12" s="318">
        <f>CONSUMPTION!C76</f>
        <v>0.14986726042647941</v>
      </c>
      <c r="H12" s="318">
        <f>CONSUMPTION!C84</f>
        <v>0.2882195667299392</v>
      </c>
      <c r="I12" s="318">
        <f>CONSUMPTION!C139</f>
        <v>0.29366561858102941</v>
      </c>
      <c r="J12" s="318">
        <f>CONSUMPTION!C145</f>
        <v>6.1599809166878204E-2</v>
      </c>
      <c r="K12" s="318">
        <f>CONSUMPTION!C164</f>
        <v>0.20405235424732671</v>
      </c>
      <c r="L12" s="286"/>
      <c r="M12" s="319">
        <f t="shared" si="0"/>
        <v>1.2131884403202182</v>
      </c>
      <c r="N12" s="286"/>
      <c r="O12" s="285" t="s">
        <v>387</v>
      </c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73.131439689457949</v>
      </c>
      <c r="F13" s="320">
        <f t="shared" si="5"/>
        <v>108.34276232330554</v>
      </c>
      <c r="G13" s="320">
        <f t="shared" si="5"/>
        <v>126.03836601866918</v>
      </c>
      <c r="H13" s="320">
        <f t="shared" si="5"/>
        <v>242.39265561987887</v>
      </c>
      <c r="I13" s="320">
        <f t="shared" si="5"/>
        <v>246.97278522664573</v>
      </c>
      <c r="J13" s="320">
        <f t="shared" si="5"/>
        <v>51.805439509344566</v>
      </c>
      <c r="K13" s="320">
        <f t="shared" si="5"/>
        <v>171.60802992200175</v>
      </c>
      <c r="L13" s="286"/>
      <c r="M13" s="320">
        <f t="shared" si="0"/>
        <v>1020.2914783093034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CONSUMPTION!AB7</f>
        <v>2.6770285375841234E-2</v>
      </c>
      <c r="F14" s="318">
        <f>CONSUMPTION!AB55</f>
        <v>2.220686843059079E-2</v>
      </c>
      <c r="G14" s="318">
        <f>CONSUMPTION!AB76</f>
        <v>1.9140190117324655E-2</v>
      </c>
      <c r="H14" s="318">
        <f>CONSUMPTION!AB84</f>
        <v>2.411316089896446E-2</v>
      </c>
      <c r="I14" s="318">
        <f>CONSUMPTION!AB139</f>
        <v>2.9787347191108333E-2</v>
      </c>
      <c r="J14" s="318">
        <f>CONSUMPTION!AB145</f>
        <v>6.8194777346475652E-2</v>
      </c>
      <c r="K14" s="318">
        <f>CONSUMPTION!AB164</f>
        <v>2.0207162287615148E-2</v>
      </c>
      <c r="L14" s="286"/>
      <c r="M14" s="319">
        <f t="shared" si="0"/>
        <v>0.21041979164792027</v>
      </c>
      <c r="N14" s="286"/>
      <c r="O14" s="285" t="s">
        <v>388</v>
      </c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4.149394233255391</v>
      </c>
      <c r="F15" s="320">
        <f t="shared" si="6"/>
        <v>3.4420646067415723</v>
      </c>
      <c r="G15" s="320">
        <f t="shared" si="6"/>
        <v>2.9667294681853216</v>
      </c>
      <c r="H15" s="320">
        <f t="shared" si="6"/>
        <v>3.7375399393394915</v>
      </c>
      <c r="I15" s="320">
        <f t="shared" si="6"/>
        <v>4.6170388146217913</v>
      </c>
      <c r="J15" s="320">
        <f t="shared" si="6"/>
        <v>10.570190488703727</v>
      </c>
      <c r="K15" s="320">
        <f t="shared" si="6"/>
        <v>3.132110154580348</v>
      </c>
      <c r="L15" s="286"/>
      <c r="M15" s="320">
        <f t="shared" si="0"/>
        <v>32.615067705427641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CONSUMPTION!AG7</f>
        <v>9.2145195566665727E-2</v>
      </c>
      <c r="F16" s="318">
        <f>CONSUMPTION!AG55</f>
        <v>0.21961761507792676</v>
      </c>
      <c r="G16" s="318">
        <f>CONSUMPTION!AG76</f>
        <v>0.14120707373469213</v>
      </c>
      <c r="H16" s="318">
        <f>CONSUMPTION!AG84</f>
        <v>0.18274836696231347</v>
      </c>
      <c r="I16" s="318">
        <f>CONSUMPTION!AG139</f>
        <v>0.14291412123669672</v>
      </c>
      <c r="J16" s="318">
        <f>CONSUMPTION!AG145</f>
        <v>0.2020458433203943</v>
      </c>
      <c r="K16" s="318">
        <f>CONSUMPTION!AG164</f>
        <v>0.11993143337384264</v>
      </c>
      <c r="L16" s="286"/>
      <c r="M16" s="319">
        <f t="shared" si="0"/>
        <v>1.1006096492725319</v>
      </c>
      <c r="N16" s="286"/>
      <c r="O16" s="285" t="s">
        <v>389</v>
      </c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104.12407099033227</v>
      </c>
      <c r="F17" s="320">
        <f t="shared" si="7"/>
        <v>248.16790503805726</v>
      </c>
      <c r="G17" s="320">
        <f t="shared" si="7"/>
        <v>159.56399332020212</v>
      </c>
      <c r="H17" s="320">
        <f t="shared" si="7"/>
        <v>206.50565466741423</v>
      </c>
      <c r="I17" s="320">
        <f t="shared" si="7"/>
        <v>161.4929569974673</v>
      </c>
      <c r="J17" s="320">
        <f t="shared" si="7"/>
        <v>228.31180295204555</v>
      </c>
      <c r="K17" s="320">
        <f t="shared" si="7"/>
        <v>135.52251971244218</v>
      </c>
      <c r="L17" s="286"/>
      <c r="M17" s="320">
        <f t="shared" si="0"/>
        <v>1243.6889036779608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CONSUMPTION!AL7</f>
        <v>0.14740426944827861</v>
      </c>
      <c r="F18" s="318">
        <f>CONSUMPTION!AL55</f>
        <v>0.17355699528814789</v>
      </c>
      <c r="G18" s="318">
        <f>CONSUMPTION!AL76</f>
        <v>9.1097884730667142E-2</v>
      </c>
      <c r="H18" s="318">
        <f>CONSUMPTION!AL84</f>
        <v>0.12753487303849717</v>
      </c>
      <c r="I18" s="318">
        <f>CONSUMPTION!AL139</f>
        <v>0.11452274434465841</v>
      </c>
      <c r="J18" s="318">
        <f>CONSUMPTION!AL145</f>
        <v>0.11923370806869484</v>
      </c>
      <c r="K18" s="318">
        <f>CONSUMPTION!AL164</f>
        <v>0.16252919033440114</v>
      </c>
      <c r="L18" s="286"/>
      <c r="M18" s="319">
        <f t="shared" si="0"/>
        <v>0.93587966525334521</v>
      </c>
      <c r="N18" s="286"/>
      <c r="O18" s="285" t="s">
        <v>390</v>
      </c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130.15796992283001</v>
      </c>
      <c r="F19" s="320">
        <f t="shared" si="8"/>
        <v>153.25082683943458</v>
      </c>
      <c r="G19" s="320">
        <f t="shared" si="8"/>
        <v>80.439432217179089</v>
      </c>
      <c r="H19" s="320">
        <f t="shared" si="8"/>
        <v>112.613292892993</v>
      </c>
      <c r="I19" s="320">
        <f t="shared" si="8"/>
        <v>101.12358325633338</v>
      </c>
      <c r="J19" s="320">
        <f t="shared" si="8"/>
        <v>105.28336422465755</v>
      </c>
      <c r="K19" s="320">
        <f t="shared" si="8"/>
        <v>143.51327506527619</v>
      </c>
      <c r="L19" s="286"/>
      <c r="M19" s="320">
        <f t="shared" si="0"/>
        <v>826.38174441870387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CONSUMPTION!AQ7</f>
        <v>3.1329590840333446E-2</v>
      </c>
      <c r="F20" s="318">
        <f>CONSUMPTION!AQ55</f>
        <v>1.4142352301558535E-2</v>
      </c>
      <c r="G20" s="318">
        <f>CONSUMPTION!AQ76</f>
        <v>2.4112571722188919E-2</v>
      </c>
      <c r="H20" s="318">
        <f>CONSUMPTION!AQ84</f>
        <v>5.3470416179738859E-3</v>
      </c>
      <c r="I20" s="318">
        <f>CONSUMPTION!AQ139</f>
        <v>1.6432564663338495E-2</v>
      </c>
      <c r="J20" s="318">
        <f>CONSUMPTION!AQ145</f>
        <v>1.5512844880480551E-2</v>
      </c>
      <c r="K20" s="318">
        <f>CONSUMPTION!AQ164</f>
        <v>1.8153310459279769E-2</v>
      </c>
      <c r="L20" s="286"/>
      <c r="M20" s="319">
        <f t="shared" si="0"/>
        <v>0.12503027648515361</v>
      </c>
      <c r="N20" s="286"/>
      <c r="O20" s="285" t="s">
        <v>391</v>
      </c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13.785019969746717</v>
      </c>
      <c r="F21" s="320">
        <f t="shared" si="9"/>
        <v>6.2226350126857559</v>
      </c>
      <c r="G21" s="320">
        <f t="shared" si="9"/>
        <v>10.609531557763125</v>
      </c>
      <c r="H21" s="320">
        <f t="shared" si="9"/>
        <v>2.3526983119085099</v>
      </c>
      <c r="I21" s="320">
        <f t="shared" si="9"/>
        <v>7.2303284518689379</v>
      </c>
      <c r="J21" s="320">
        <f t="shared" si="9"/>
        <v>6.8256517474114426</v>
      </c>
      <c r="K21" s="320">
        <f t="shared" si="9"/>
        <v>7.9874566020830988</v>
      </c>
      <c r="L21" s="286"/>
      <c r="M21" s="320">
        <f t="shared" si="0"/>
        <v>55.013321653467585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CONSUMPTION!AV7</f>
        <v>0.29950750078381461</v>
      </c>
      <c r="F22" s="318">
        <f>CONSUMPTION!AV55</f>
        <v>0.30715499275099672</v>
      </c>
      <c r="G22" s="318">
        <f>CONSUMPTION!AV76</f>
        <v>0.44456517084867692</v>
      </c>
      <c r="H22" s="318">
        <f>CONSUMPTION!AV84</f>
        <v>0.18363787431520498</v>
      </c>
      <c r="I22" s="318">
        <f>CONSUMPTION!AV139</f>
        <v>0.14698237753684365</v>
      </c>
      <c r="J22" s="318">
        <f>CONSUMPTION!AV145</f>
        <v>0.32369685597329362</v>
      </c>
      <c r="K22" s="318">
        <f>CONSUMPTION!AV164</f>
        <v>0.26989408640616652</v>
      </c>
      <c r="L22" s="286"/>
      <c r="M22" s="319">
        <f t="shared" si="0"/>
        <v>1.9754388586149969</v>
      </c>
      <c r="N22" s="286"/>
      <c r="O22" s="285" t="s">
        <v>392</v>
      </c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798.78650459043354</v>
      </c>
      <c r="F23" s="320">
        <f t="shared" si="10"/>
        <v>819.18236566690825</v>
      </c>
      <c r="G23" s="320">
        <f t="shared" si="10"/>
        <v>1185.6553106534213</v>
      </c>
      <c r="H23" s="320">
        <f t="shared" si="10"/>
        <v>489.76221079865167</v>
      </c>
      <c r="I23" s="320">
        <f t="shared" si="10"/>
        <v>392.00200089076202</v>
      </c>
      <c r="J23" s="320">
        <f t="shared" si="10"/>
        <v>863.29951488077404</v>
      </c>
      <c r="K23" s="320">
        <f t="shared" si="10"/>
        <v>719.80752844524613</v>
      </c>
      <c r="L23" s="286"/>
      <c r="M23" s="320">
        <f t="shared" si="0"/>
        <v>5268.4954359261974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CONSUMPTION!BA7</f>
        <v>1.5165902295469242E-3</v>
      </c>
      <c r="F24" s="318">
        <f>CONSUMPTION!BA55</f>
        <v>4.9293222181949975E-3</v>
      </c>
      <c r="G24" s="318">
        <f>CONSUMPTION!BA76</f>
        <v>2.381818960349405E-3</v>
      </c>
      <c r="H24" s="318">
        <f>CONSUMPTION!BA84</f>
        <v>3.6009916439808977E-3</v>
      </c>
      <c r="I24" s="318">
        <f>CONSUMPTION!BA139</f>
        <v>4.5801120764725825E-3</v>
      </c>
      <c r="J24" s="318">
        <f>CONSUMPTION!BA145</f>
        <v>5.4787985167061891E-3</v>
      </c>
      <c r="K24" s="318">
        <f>CONSUMPTION!BA164</f>
        <v>1.6003198788606904E-3</v>
      </c>
      <c r="L24" s="286"/>
      <c r="M24" s="319">
        <f t="shared" si="0"/>
        <v>2.4087953524111687E-2</v>
      </c>
      <c r="N24" s="286"/>
      <c r="O24" s="285" t="s">
        <v>393</v>
      </c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8.0379282165986971E-3</v>
      </c>
      <c r="F25" s="320">
        <f t="shared" si="11"/>
        <v>2.6125407756433485E-2</v>
      </c>
      <c r="G25" s="320">
        <f t="shared" si="11"/>
        <v>1.2623640489851847E-2</v>
      </c>
      <c r="H25" s="320">
        <f t="shared" si="11"/>
        <v>1.9085255713098756E-2</v>
      </c>
      <c r="I25" s="320">
        <f t="shared" si="11"/>
        <v>2.4274594005304687E-2</v>
      </c>
      <c r="J25" s="320">
        <f t="shared" si="11"/>
        <v>2.9037632138542803E-2</v>
      </c>
      <c r="K25" s="320">
        <f t="shared" si="11"/>
        <v>8.4816953579616595E-3</v>
      </c>
      <c r="L25" s="286"/>
      <c r="M25" s="320">
        <f t="shared" si="0"/>
        <v>0.12766615367779194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E27" s="458">
        <f t="shared" ref="E27:K27" si="12">SUM(E4+E6+E8+E10+E12+E14+E16+E18+E20+E22+E24)</f>
        <v>0.99999999999999989</v>
      </c>
      <c r="F27" s="458">
        <f t="shared" si="12"/>
        <v>1</v>
      </c>
      <c r="G27" s="458">
        <f t="shared" si="12"/>
        <v>1.0000000000000002</v>
      </c>
      <c r="H27" s="458">
        <f t="shared" si="12"/>
        <v>1</v>
      </c>
      <c r="I27" s="458">
        <f t="shared" si="12"/>
        <v>0.99999999999999989</v>
      </c>
      <c r="J27" s="458">
        <f t="shared" si="12"/>
        <v>1</v>
      </c>
      <c r="K27" s="458">
        <f t="shared" si="12"/>
        <v>1</v>
      </c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I31" s="286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85" t="s">
        <v>328</v>
      </c>
      <c r="F32" s="286"/>
      <c r="G32" s="286"/>
      <c r="H32" s="286"/>
      <c r="I32" s="320"/>
      <c r="J32" s="285" t="s">
        <v>328</v>
      </c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87" t="s">
        <v>108</v>
      </c>
      <c r="F33" s="287" t="s">
        <v>109</v>
      </c>
      <c r="G33" s="287" t="s">
        <v>110</v>
      </c>
      <c r="H33" s="312"/>
      <c r="I33" s="286"/>
      <c r="J33" s="287" t="s">
        <v>108</v>
      </c>
      <c r="K33" s="287" t="s">
        <v>109</v>
      </c>
      <c r="L33" s="287" t="s">
        <v>110</v>
      </c>
      <c r="M33" s="312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123</v>
      </c>
      <c r="F34" s="222" t="s">
        <v>115</v>
      </c>
      <c r="G34" s="457">
        <f>E5</f>
        <v>5.2569953004772429</v>
      </c>
      <c r="H34" s="463">
        <f>SUM(G34:G40)</f>
        <v>66.711797152578242</v>
      </c>
      <c r="I34" s="320"/>
      <c r="J34" s="222" t="s">
        <v>123</v>
      </c>
      <c r="K34" s="222" t="s">
        <v>115</v>
      </c>
      <c r="L34" s="474">
        <f>E4</f>
        <v>2.4797147643760582E-2</v>
      </c>
      <c r="M34" s="475">
        <f>SUM(L34:L40)</f>
        <v>0.31467828845555773</v>
      </c>
      <c r="N34" s="286"/>
      <c r="O34" s="285" t="s">
        <v>394</v>
      </c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123</v>
      </c>
      <c r="F35" s="222" t="s">
        <v>95</v>
      </c>
      <c r="G35" s="457">
        <f>F5</f>
        <v>5.0533934396520479</v>
      </c>
      <c r="H35" s="286"/>
      <c r="I35" s="286"/>
      <c r="J35" s="222" t="s">
        <v>123</v>
      </c>
      <c r="K35" s="222" t="s">
        <v>95</v>
      </c>
      <c r="L35" s="474">
        <f>F4</f>
        <v>2.3836761507792677E-2</v>
      </c>
      <c r="M35" s="286"/>
      <c r="N35" s="286"/>
      <c r="O35" s="285" t="s">
        <v>395</v>
      </c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123</v>
      </c>
      <c r="F36" s="222" t="s">
        <v>116</v>
      </c>
      <c r="G36" s="457">
        <f>G5</f>
        <v>3.1431446433159205</v>
      </c>
      <c r="H36" s="286"/>
      <c r="I36" s="320"/>
      <c r="J36" s="222" t="s">
        <v>123</v>
      </c>
      <c r="K36" s="222" t="s">
        <v>116</v>
      </c>
      <c r="L36" s="474">
        <f>G4</f>
        <v>1.4826153977905284E-2</v>
      </c>
      <c r="M36" s="286"/>
      <c r="N36" s="286"/>
      <c r="O36" s="285" t="s">
        <v>396</v>
      </c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123</v>
      </c>
      <c r="F37" s="222" t="s">
        <v>103</v>
      </c>
      <c r="G37" s="457">
        <f>H5</f>
        <v>13.082916297952535</v>
      </c>
      <c r="H37" s="320"/>
      <c r="I37" s="286"/>
      <c r="J37" s="222" t="s">
        <v>123</v>
      </c>
      <c r="K37" s="222" t="s">
        <v>103</v>
      </c>
      <c r="L37" s="474">
        <f>H4</f>
        <v>6.1711869329964787E-2</v>
      </c>
      <c r="M37" s="320"/>
      <c r="N37" s="285"/>
      <c r="O37" s="285" t="s">
        <v>385</v>
      </c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123</v>
      </c>
      <c r="F38" s="222" t="s">
        <v>117</v>
      </c>
      <c r="G38" s="457">
        <f>I5</f>
        <v>16.601144695645235</v>
      </c>
      <c r="H38" s="286"/>
      <c r="I38" s="320"/>
      <c r="J38" s="222" t="s">
        <v>123</v>
      </c>
      <c r="K38" s="222" t="s">
        <v>117</v>
      </c>
      <c r="L38" s="474">
        <f>I4</f>
        <v>7.8307286300213372E-2</v>
      </c>
      <c r="M38" s="286"/>
      <c r="N38" s="286"/>
      <c r="O38" s="285" t="s">
        <v>397</v>
      </c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123</v>
      </c>
      <c r="F39" s="222" t="s">
        <v>119</v>
      </c>
      <c r="G39" s="457">
        <f>J5</f>
        <v>12.740590689741829</v>
      </c>
      <c r="H39" s="320"/>
      <c r="I39" s="286"/>
      <c r="J39" s="222" t="s">
        <v>123</v>
      </c>
      <c r="K39" s="222" t="s">
        <v>119</v>
      </c>
      <c r="L39" s="474">
        <f>J4</f>
        <v>6.0097125895008624E-2</v>
      </c>
      <c r="M39" s="320"/>
      <c r="N39" s="286"/>
      <c r="O39" s="285" t="s">
        <v>398</v>
      </c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123</v>
      </c>
      <c r="F40" s="222" t="s">
        <v>121</v>
      </c>
      <c r="G40" s="457">
        <f>K5</f>
        <v>10.833612085793433</v>
      </c>
      <c r="H40" s="286"/>
      <c r="I40" s="320"/>
      <c r="J40" s="222" t="s">
        <v>123</v>
      </c>
      <c r="K40" s="222" t="s">
        <v>121</v>
      </c>
      <c r="L40" s="474">
        <f>K4</f>
        <v>5.1101943800912424E-2</v>
      </c>
      <c r="M40" s="286"/>
      <c r="N40" s="286"/>
      <c r="O40" s="285" t="s">
        <v>399</v>
      </c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114</v>
      </c>
      <c r="F41" s="222" t="s">
        <v>115</v>
      </c>
      <c r="G41" s="457">
        <f>E7</f>
        <v>224.63835128021191</v>
      </c>
      <c r="H41" s="463">
        <f>SUM(G41:G47)</f>
        <v>647.03351800799612</v>
      </c>
      <c r="I41" s="286"/>
      <c r="J41" s="222" t="s">
        <v>114</v>
      </c>
      <c r="K41" s="222" t="s">
        <v>115</v>
      </c>
      <c r="L41" s="474">
        <f>E6</f>
        <v>0.26912465709861255</v>
      </c>
      <c r="M41" s="475">
        <f>SUM(L41:L47)</f>
        <v>0.77516894454054885</v>
      </c>
      <c r="N41" s="286"/>
      <c r="O41" s="285" t="s">
        <v>394</v>
      </c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114</v>
      </c>
      <c r="F42" s="222" t="s">
        <v>95</v>
      </c>
      <c r="G42" s="457">
        <f>F7</f>
        <v>44.294275212939475</v>
      </c>
      <c r="H42" s="286"/>
      <c r="I42" s="320"/>
      <c r="J42" s="222" t="s">
        <v>114</v>
      </c>
      <c r="K42" s="222" t="s">
        <v>95</v>
      </c>
      <c r="L42" s="474">
        <f>F6</f>
        <v>5.3066101848495834E-2</v>
      </c>
      <c r="M42" s="286"/>
      <c r="N42" s="286"/>
      <c r="O42" s="285" t="s">
        <v>395</v>
      </c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114</v>
      </c>
      <c r="F43" s="222" t="s">
        <v>116</v>
      </c>
      <c r="G43" s="457">
        <f>G7</f>
        <v>84.179462832919413</v>
      </c>
      <c r="H43" s="320"/>
      <c r="I43" s="286"/>
      <c r="J43" s="222" t="s">
        <v>114</v>
      </c>
      <c r="K43" s="222" t="s">
        <v>116</v>
      </c>
      <c r="L43" s="474">
        <f>G6</f>
        <v>0.10084996146270446</v>
      </c>
      <c r="M43" s="320"/>
      <c r="N43" s="286"/>
      <c r="O43" s="285" t="s">
        <v>396</v>
      </c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114</v>
      </c>
      <c r="F44" s="222" t="s">
        <v>103</v>
      </c>
      <c r="G44" s="457">
        <f>H7</f>
        <v>70.439191607503545</v>
      </c>
      <c r="H44" s="286"/>
      <c r="I44" s="320"/>
      <c r="J44" s="222" t="s">
        <v>114</v>
      </c>
      <c r="K44" s="222" t="s">
        <v>103</v>
      </c>
      <c r="L44" s="474">
        <f>H6</f>
        <v>8.4388632571586852E-2</v>
      </c>
      <c r="M44" s="286"/>
      <c r="N44" s="286"/>
      <c r="O44" s="285" t="s">
        <v>385</v>
      </c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114</v>
      </c>
      <c r="F45" s="222" t="s">
        <v>117</v>
      </c>
      <c r="G45" s="457">
        <f>I7</f>
        <v>74.490620409085764</v>
      </c>
      <c r="H45" s="320"/>
      <c r="I45" s="286"/>
      <c r="J45" s="222" t="s">
        <v>114</v>
      </c>
      <c r="K45" s="222" t="s">
        <v>117</v>
      </c>
      <c r="L45" s="474">
        <f>I6</f>
        <v>8.9242386976261842E-2</v>
      </c>
      <c r="M45" s="320"/>
      <c r="N45" s="286"/>
      <c r="O45" s="285" t="s">
        <v>397</v>
      </c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114</v>
      </c>
      <c r="F46" s="222" t="s">
        <v>119</v>
      </c>
      <c r="G46" s="457">
        <f>J7</f>
        <v>78.585829875333417</v>
      </c>
      <c r="H46" s="286"/>
      <c r="I46" s="320"/>
      <c r="J46" s="222" t="s">
        <v>114</v>
      </c>
      <c r="K46" s="222" t="s">
        <v>119</v>
      </c>
      <c r="L46" s="474">
        <f>J6</f>
        <v>9.4148592159258915E-2</v>
      </c>
      <c r="M46" s="286"/>
      <c r="N46" s="286"/>
      <c r="O46" s="285" t="s">
        <v>398</v>
      </c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114</v>
      </c>
      <c r="F47" s="222" t="s">
        <v>121</v>
      </c>
      <c r="G47" s="457">
        <f>K7</f>
        <v>70.405786790002679</v>
      </c>
      <c r="H47" s="320"/>
      <c r="I47" s="286"/>
      <c r="J47" s="222" t="s">
        <v>114</v>
      </c>
      <c r="K47" s="222" t="s">
        <v>121</v>
      </c>
      <c r="L47" s="474">
        <f>K6</f>
        <v>8.4348612423628455E-2</v>
      </c>
      <c r="M47" s="320"/>
      <c r="N47" s="286"/>
      <c r="O47" s="285" t="s">
        <v>399</v>
      </c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140</v>
      </c>
      <c r="F48" s="222" t="s">
        <v>115</v>
      </c>
      <c r="G48" s="457">
        <f>E9</f>
        <v>0.28609022029258302</v>
      </c>
      <c r="H48" s="463">
        <f>SUM(G48:G54)</f>
        <v>7.3437687629679624</v>
      </c>
      <c r="I48" s="320"/>
      <c r="J48" s="222" t="s">
        <v>140</v>
      </c>
      <c r="K48" s="222" t="s">
        <v>115</v>
      </c>
      <c r="L48" s="474">
        <f>E8</f>
        <v>3.4510279890540775E-3</v>
      </c>
      <c r="M48" s="475">
        <f>SUM(L48:L54)</f>
        <v>8.8585871688395212E-2</v>
      </c>
      <c r="N48" s="286"/>
      <c r="O48" s="285" t="s">
        <v>394</v>
      </c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140</v>
      </c>
      <c r="F49" s="222" t="s">
        <v>95</v>
      </c>
      <c r="G49" s="457">
        <f>F9</f>
        <v>0.95286924610366075</v>
      </c>
      <c r="H49" s="320"/>
      <c r="I49" s="286"/>
      <c r="J49" s="222" t="s">
        <v>140</v>
      </c>
      <c r="K49" s="222" t="s">
        <v>95</v>
      </c>
      <c r="L49" s="474">
        <f>F8</f>
        <v>1.1494200797390358E-2</v>
      </c>
      <c r="M49" s="320"/>
      <c r="N49" s="286"/>
      <c r="O49" s="285" t="s">
        <v>395</v>
      </c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140</v>
      </c>
      <c r="F50" s="222" t="s">
        <v>116</v>
      </c>
      <c r="G50" s="457">
        <f>G9</f>
        <v>0.50760897490793877</v>
      </c>
      <c r="H50" s="286"/>
      <c r="I50" s="320"/>
      <c r="J50" s="222" t="s">
        <v>140</v>
      </c>
      <c r="K50" s="222" t="s">
        <v>116</v>
      </c>
      <c r="L50" s="474">
        <f>G8</f>
        <v>6.1231480688533017E-3</v>
      </c>
      <c r="M50" s="286"/>
      <c r="N50" s="286"/>
      <c r="O50" s="285" t="s">
        <v>396</v>
      </c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140</v>
      </c>
      <c r="F51" s="222" t="s">
        <v>103</v>
      </c>
      <c r="G51" s="457">
        <f>H9</f>
        <v>1.1397469011125598</v>
      </c>
      <c r="H51" s="320"/>
      <c r="I51" s="286"/>
      <c r="J51" s="222" t="s">
        <v>140</v>
      </c>
      <c r="K51" s="222" t="s">
        <v>103</v>
      </c>
      <c r="L51" s="474">
        <f>H8</f>
        <v>1.3748454778197344E-2</v>
      </c>
      <c r="M51" s="320"/>
      <c r="N51" s="286"/>
      <c r="O51" s="285" t="s">
        <v>385</v>
      </c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 ht="15">
      <c r="A52" s="286"/>
      <c r="B52" s="286"/>
      <c r="C52" s="286"/>
      <c r="D52" s="316"/>
      <c r="E52" s="222" t="s">
        <v>140</v>
      </c>
      <c r="F52" s="222" t="s">
        <v>117</v>
      </c>
      <c r="G52" s="457">
        <f>I9</f>
        <v>1.5755259816662566</v>
      </c>
      <c r="H52" s="286"/>
      <c r="I52" s="320"/>
      <c r="J52" s="222" t="s">
        <v>140</v>
      </c>
      <c r="K52" s="222" t="s">
        <v>117</v>
      </c>
      <c r="L52" s="474">
        <f>I8</f>
        <v>1.9005138500196098E-2</v>
      </c>
      <c r="M52" s="286"/>
      <c r="N52" s="286"/>
      <c r="O52" s="285" t="s">
        <v>397</v>
      </c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 ht="15">
      <c r="A53" s="286"/>
      <c r="B53" s="286"/>
      <c r="C53" s="286"/>
      <c r="D53" s="316"/>
      <c r="E53" s="222" t="s">
        <v>140</v>
      </c>
      <c r="F53" s="222" t="s">
        <v>119</v>
      </c>
      <c r="G53" s="457">
        <f>J9</f>
        <v>1.5099914405732136</v>
      </c>
      <c r="H53" s="320"/>
      <c r="J53" s="222" t="s">
        <v>140</v>
      </c>
      <c r="K53" s="222" t="s">
        <v>119</v>
      </c>
      <c r="L53" s="474">
        <f>J8</f>
        <v>1.8214613275913311E-2</v>
      </c>
      <c r="M53" s="320"/>
      <c r="N53" s="286"/>
      <c r="O53" s="285" t="s">
        <v>398</v>
      </c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 ht="15">
      <c r="A54" s="286"/>
      <c r="B54" s="286"/>
      <c r="C54" s="286"/>
      <c r="D54" s="316"/>
      <c r="E54" s="222" t="s">
        <v>140</v>
      </c>
      <c r="F54" s="222" t="s">
        <v>121</v>
      </c>
      <c r="G54" s="457">
        <f>K9</f>
        <v>1.3719359983117503</v>
      </c>
      <c r="H54" s="286"/>
      <c r="J54" s="222" t="s">
        <v>140</v>
      </c>
      <c r="K54" s="222" t="s">
        <v>121</v>
      </c>
      <c r="L54" s="474">
        <f>K8</f>
        <v>1.6549288278790715E-2</v>
      </c>
      <c r="M54" s="286"/>
      <c r="N54" s="286"/>
      <c r="O54" s="285" t="s">
        <v>399</v>
      </c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286"/>
      <c r="B55" s="286"/>
      <c r="C55" s="286"/>
      <c r="D55" s="316"/>
      <c r="E55" s="222" t="s">
        <v>71</v>
      </c>
      <c r="F55" s="222" t="s">
        <v>115</v>
      </c>
      <c r="G55" s="457">
        <f>E11</f>
        <v>2.2774664642302889</v>
      </c>
      <c r="H55" s="463">
        <f>SUM(G55:G61)</f>
        <v>31.746242866427512</v>
      </c>
      <c r="J55" s="222" t="s">
        <v>71</v>
      </c>
      <c r="K55" s="222" t="s">
        <v>115</v>
      </c>
      <c r="L55" s="474">
        <f>E10</f>
        <v>1.6996018389778274E-2</v>
      </c>
      <c r="M55" s="475">
        <f>SUM(L55:L61)</f>
        <v>0.23691226019722025</v>
      </c>
      <c r="N55" s="286"/>
      <c r="O55" s="285" t="s">
        <v>394</v>
      </c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 ht="15">
      <c r="A56" s="286"/>
      <c r="B56" s="286"/>
      <c r="C56" s="286"/>
      <c r="D56" s="316"/>
      <c r="E56" s="222" t="s">
        <v>71</v>
      </c>
      <c r="F56" s="222" t="s">
        <v>95</v>
      </c>
      <c r="G56" s="457">
        <f>F11</f>
        <v>5.5166024827836173</v>
      </c>
      <c r="H56" s="286"/>
      <c r="J56" s="222" t="s">
        <v>71</v>
      </c>
      <c r="K56" s="222" t="s">
        <v>95</v>
      </c>
      <c r="L56" s="474">
        <f>F10</f>
        <v>4.1168675244653861E-2</v>
      </c>
      <c r="M56" s="286"/>
      <c r="N56" s="286"/>
      <c r="O56" s="285" t="s">
        <v>395</v>
      </c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 ht="15">
      <c r="A57" s="286"/>
      <c r="B57" s="286"/>
      <c r="C57" s="286"/>
      <c r="D57" s="316"/>
      <c r="E57" s="222" t="s">
        <v>71</v>
      </c>
      <c r="F57" s="222" t="s">
        <v>116</v>
      </c>
      <c r="G57" s="457">
        <f>G11</f>
        <v>0.78105463732122982</v>
      </c>
      <c r="H57" s="320"/>
      <c r="J57" s="222" t="s">
        <v>71</v>
      </c>
      <c r="K57" s="222" t="s">
        <v>116</v>
      </c>
      <c r="L57" s="474">
        <f>G10</f>
        <v>5.8287659501584316E-3</v>
      </c>
      <c r="M57" s="320"/>
      <c r="N57" s="286"/>
      <c r="O57" s="285" t="s">
        <v>396</v>
      </c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 ht="15">
      <c r="A58" s="286"/>
      <c r="B58" s="286"/>
      <c r="C58" s="286"/>
      <c r="D58" s="316"/>
      <c r="E58" s="222" t="s">
        <v>71</v>
      </c>
      <c r="F58" s="222" t="s">
        <v>103</v>
      </c>
      <c r="G58" s="457">
        <f>H11</f>
        <v>3.3431885271925248</v>
      </c>
      <c r="J58" s="222" t="s">
        <v>71</v>
      </c>
      <c r="K58" s="222" t="s">
        <v>103</v>
      </c>
      <c r="L58" s="474">
        <f>H10</f>
        <v>2.4949168113377052E-2</v>
      </c>
      <c r="N58" s="286"/>
      <c r="O58" s="285" t="s">
        <v>385</v>
      </c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 ht="15">
      <c r="A59" s="286"/>
      <c r="B59" s="286"/>
      <c r="C59" s="286"/>
      <c r="D59" s="316"/>
      <c r="E59" s="222" t="s">
        <v>71</v>
      </c>
      <c r="F59" s="222" t="s">
        <v>117</v>
      </c>
      <c r="G59" s="457">
        <f>I11</f>
        <v>8.6510805474862558</v>
      </c>
      <c r="J59" s="222" t="s">
        <v>71</v>
      </c>
      <c r="K59" s="222" t="s">
        <v>117</v>
      </c>
      <c r="L59" s="474">
        <f>I10</f>
        <v>6.4560302593181018E-2</v>
      </c>
      <c r="N59" s="286"/>
      <c r="O59" s="285" t="s">
        <v>397</v>
      </c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E60" s="222" t="s">
        <v>71</v>
      </c>
      <c r="F60" s="222" t="s">
        <v>119</v>
      </c>
      <c r="G60" s="457">
        <f>J11</f>
        <v>4.2581222071840505</v>
      </c>
      <c r="J60" s="222" t="s">
        <v>71</v>
      </c>
      <c r="K60" s="222" t="s">
        <v>119</v>
      </c>
      <c r="L60" s="474">
        <f>J10</f>
        <v>3.1777031396895902E-2</v>
      </c>
      <c r="N60" s="286"/>
      <c r="O60" s="285" t="s">
        <v>398</v>
      </c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E61" s="222" t="s">
        <v>71</v>
      </c>
      <c r="F61" s="222" t="s">
        <v>121</v>
      </c>
      <c r="G61" s="457">
        <f>K11</f>
        <v>6.9187280002295424</v>
      </c>
      <c r="J61" s="222" t="s">
        <v>71</v>
      </c>
      <c r="K61" s="222" t="s">
        <v>121</v>
      </c>
      <c r="L61" s="474">
        <f>K10</f>
        <v>5.1632298509175688E-2</v>
      </c>
      <c r="N61" s="286"/>
      <c r="O61" s="285" t="s">
        <v>399</v>
      </c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125</v>
      </c>
      <c r="F62" s="222" t="s">
        <v>115</v>
      </c>
      <c r="G62" s="457">
        <f>E13</f>
        <v>73.131439689457949</v>
      </c>
      <c r="H62" s="463">
        <f>SUM(G62:G68)</f>
        <v>1020.2914783093034</v>
      </c>
      <c r="J62" s="222" t="s">
        <v>125</v>
      </c>
      <c r="K62" s="222" t="s">
        <v>115</v>
      </c>
      <c r="L62" s="474">
        <f>E12</f>
        <v>8.6957716634313856E-2</v>
      </c>
      <c r="M62" s="475">
        <f>SUM(L62:L68)</f>
        <v>1.2131884403202182</v>
      </c>
      <c r="N62" s="286"/>
      <c r="O62" s="285" t="s">
        <v>394</v>
      </c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E63" s="222" t="s">
        <v>125</v>
      </c>
      <c r="F63" s="222" t="s">
        <v>95</v>
      </c>
      <c r="G63" s="457">
        <f>F13</f>
        <v>108.34276232330554</v>
      </c>
      <c r="J63" s="222" t="s">
        <v>125</v>
      </c>
      <c r="K63" s="222" t="s">
        <v>95</v>
      </c>
      <c r="L63" s="474">
        <f>F12</f>
        <v>0.12882611453425152</v>
      </c>
      <c r="N63" s="286"/>
      <c r="O63" s="285" t="s">
        <v>395</v>
      </c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 ht="15">
      <c r="A64" s="286"/>
      <c r="B64" s="286"/>
      <c r="C64" s="286"/>
      <c r="D64" s="316"/>
      <c r="E64" s="222" t="s">
        <v>125</v>
      </c>
      <c r="F64" s="222" t="s">
        <v>116</v>
      </c>
      <c r="G64" s="457">
        <f>G13</f>
        <v>126.03836601866918</v>
      </c>
      <c r="J64" s="222" t="s">
        <v>125</v>
      </c>
      <c r="K64" s="222" t="s">
        <v>116</v>
      </c>
      <c r="L64" s="474">
        <f>G12</f>
        <v>0.14986726042647941</v>
      </c>
      <c r="N64" s="286"/>
      <c r="O64" s="285" t="s">
        <v>396</v>
      </c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E65" s="222" t="s">
        <v>125</v>
      </c>
      <c r="F65" s="222" t="s">
        <v>103</v>
      </c>
      <c r="G65" s="457">
        <f>H13</f>
        <v>242.39265561987887</v>
      </c>
      <c r="J65" s="222" t="s">
        <v>125</v>
      </c>
      <c r="K65" s="222" t="s">
        <v>103</v>
      </c>
      <c r="L65" s="474">
        <f>H12</f>
        <v>0.2882195667299392</v>
      </c>
      <c r="N65" s="286"/>
      <c r="O65" s="285" t="s">
        <v>385</v>
      </c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 ht="15">
      <c r="A66" s="286"/>
      <c r="B66" s="286"/>
      <c r="C66" s="286"/>
      <c r="D66" s="316"/>
      <c r="E66" s="222" t="s">
        <v>125</v>
      </c>
      <c r="F66" s="222" t="s">
        <v>117</v>
      </c>
      <c r="G66" s="457">
        <f>I13</f>
        <v>246.97278522664573</v>
      </c>
      <c r="J66" s="222" t="s">
        <v>125</v>
      </c>
      <c r="K66" s="222" t="s">
        <v>117</v>
      </c>
      <c r="L66" s="474">
        <f>I12</f>
        <v>0.29366561858102941</v>
      </c>
      <c r="N66" s="286"/>
      <c r="O66" s="285" t="s">
        <v>397</v>
      </c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E67" s="222" t="s">
        <v>125</v>
      </c>
      <c r="F67" s="222" t="s">
        <v>119</v>
      </c>
      <c r="G67" s="457">
        <f>J13</f>
        <v>51.805439509344566</v>
      </c>
      <c r="J67" s="222" t="s">
        <v>125</v>
      </c>
      <c r="K67" s="222" t="s">
        <v>119</v>
      </c>
      <c r="L67" s="474">
        <f>J12</f>
        <v>6.1599809166878204E-2</v>
      </c>
      <c r="N67" s="286"/>
      <c r="O67" s="285" t="s">
        <v>398</v>
      </c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E68" s="222" t="s">
        <v>125</v>
      </c>
      <c r="F68" s="222" t="s">
        <v>121</v>
      </c>
      <c r="G68" s="457">
        <f>K13</f>
        <v>171.60802992200175</v>
      </c>
      <c r="J68" s="222" t="s">
        <v>125</v>
      </c>
      <c r="K68" s="222" t="s">
        <v>121</v>
      </c>
      <c r="L68" s="474">
        <f>K12</f>
        <v>0.20405235424732671</v>
      </c>
      <c r="N68" s="286"/>
      <c r="O68" s="285" t="s">
        <v>399</v>
      </c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72</v>
      </c>
      <c r="F69" s="222" t="s">
        <v>115</v>
      </c>
      <c r="G69" s="457">
        <f>E15</f>
        <v>4.149394233255391</v>
      </c>
      <c r="H69" s="463">
        <f>SUM(G69:G75)</f>
        <v>32.615067705427641</v>
      </c>
      <c r="J69" s="222" t="s">
        <v>72</v>
      </c>
      <c r="K69" s="222" t="s">
        <v>115</v>
      </c>
      <c r="L69" s="474">
        <f>E14</f>
        <v>2.6770285375841234E-2</v>
      </c>
      <c r="M69" s="475">
        <f>SUM(L69:L75)</f>
        <v>0.21041979164792027</v>
      </c>
      <c r="N69" s="286"/>
      <c r="O69" s="285" t="s">
        <v>394</v>
      </c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E70" s="222" t="s">
        <v>72</v>
      </c>
      <c r="F70" s="222" t="s">
        <v>95</v>
      </c>
      <c r="G70" s="457">
        <f>F15</f>
        <v>3.4420646067415723</v>
      </c>
      <c r="J70" s="222" t="s">
        <v>72</v>
      </c>
      <c r="K70" s="222" t="s">
        <v>95</v>
      </c>
      <c r="L70" s="474">
        <f>F14</f>
        <v>2.220686843059079E-2</v>
      </c>
      <c r="N70" s="286"/>
      <c r="O70" s="285" t="s">
        <v>395</v>
      </c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 ht="15">
      <c r="A71" s="286"/>
      <c r="B71" s="286"/>
      <c r="C71" s="286"/>
      <c r="D71" s="316"/>
      <c r="E71" s="222" t="s">
        <v>72</v>
      </c>
      <c r="F71" s="222" t="s">
        <v>116</v>
      </c>
      <c r="G71" s="457">
        <f>G15</f>
        <v>2.9667294681853216</v>
      </c>
      <c r="J71" s="222" t="s">
        <v>72</v>
      </c>
      <c r="K71" s="222" t="s">
        <v>116</v>
      </c>
      <c r="L71" s="474">
        <f>G14</f>
        <v>1.9140190117324655E-2</v>
      </c>
      <c r="N71" s="286"/>
      <c r="O71" s="285" t="s">
        <v>396</v>
      </c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E72" s="222" t="s">
        <v>72</v>
      </c>
      <c r="F72" s="222" t="s">
        <v>103</v>
      </c>
      <c r="G72" s="457">
        <f>H15</f>
        <v>3.7375399393394915</v>
      </c>
      <c r="J72" s="222" t="s">
        <v>72</v>
      </c>
      <c r="K72" s="222" t="s">
        <v>103</v>
      </c>
      <c r="L72" s="474">
        <f>H14</f>
        <v>2.411316089896446E-2</v>
      </c>
      <c r="N72" s="286"/>
      <c r="O72" s="285" t="s">
        <v>385</v>
      </c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 ht="15">
      <c r="A73" s="286"/>
      <c r="B73" s="286"/>
      <c r="C73" s="286"/>
      <c r="D73" s="316"/>
      <c r="E73" s="222" t="s">
        <v>72</v>
      </c>
      <c r="F73" s="222" t="s">
        <v>117</v>
      </c>
      <c r="G73" s="457">
        <f>I15</f>
        <v>4.6170388146217913</v>
      </c>
      <c r="J73" s="222" t="s">
        <v>72</v>
      </c>
      <c r="K73" s="222" t="s">
        <v>117</v>
      </c>
      <c r="L73" s="474">
        <f>I14</f>
        <v>2.9787347191108333E-2</v>
      </c>
      <c r="N73" s="286"/>
      <c r="O73" s="285" t="s">
        <v>397</v>
      </c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E74" s="222" t="s">
        <v>72</v>
      </c>
      <c r="F74" s="222" t="s">
        <v>119</v>
      </c>
      <c r="G74" s="457">
        <f>J15</f>
        <v>10.570190488703727</v>
      </c>
      <c r="J74" s="222" t="s">
        <v>72</v>
      </c>
      <c r="K74" s="222" t="s">
        <v>119</v>
      </c>
      <c r="L74" s="474">
        <f>J14</f>
        <v>6.8194777346475652E-2</v>
      </c>
      <c r="N74" s="286"/>
      <c r="O74" s="285" t="s">
        <v>398</v>
      </c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E75" s="222" t="s">
        <v>72</v>
      </c>
      <c r="F75" s="222" t="s">
        <v>121</v>
      </c>
      <c r="G75" s="457">
        <f>K15</f>
        <v>3.132110154580348</v>
      </c>
      <c r="J75" s="222" t="s">
        <v>72</v>
      </c>
      <c r="K75" s="222" t="s">
        <v>121</v>
      </c>
      <c r="L75" s="474">
        <f>K14</f>
        <v>2.0207162287615148E-2</v>
      </c>
      <c r="N75" s="286"/>
      <c r="O75" s="285" t="s">
        <v>399</v>
      </c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66</v>
      </c>
      <c r="F76" s="222" t="s">
        <v>115</v>
      </c>
      <c r="G76" s="457">
        <f>E17</f>
        <v>104.12407099033227</v>
      </c>
      <c r="H76" s="463">
        <f>SUM(G76:G82)</f>
        <v>1243.6889036779608</v>
      </c>
      <c r="J76" s="222" t="s">
        <v>66</v>
      </c>
      <c r="K76" s="222" t="s">
        <v>115</v>
      </c>
      <c r="L76" s="474">
        <f>E16</f>
        <v>9.2145195566665727E-2</v>
      </c>
      <c r="M76" s="475">
        <f>SUM(L76:L82)</f>
        <v>1.1006096492725319</v>
      </c>
      <c r="N76" s="286"/>
      <c r="O76" s="285" t="s">
        <v>394</v>
      </c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E77" s="222" t="s">
        <v>66</v>
      </c>
      <c r="F77" s="222" t="s">
        <v>95</v>
      </c>
      <c r="G77" s="457">
        <f>F17</f>
        <v>248.16790503805726</v>
      </c>
      <c r="J77" s="222" t="s">
        <v>66</v>
      </c>
      <c r="K77" s="222" t="s">
        <v>95</v>
      </c>
      <c r="L77" s="474">
        <f>F16</f>
        <v>0.21961761507792676</v>
      </c>
      <c r="N77" s="286"/>
      <c r="O77" s="285" t="s">
        <v>395</v>
      </c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 ht="15">
      <c r="A78" s="286"/>
      <c r="B78" s="286"/>
      <c r="C78" s="286"/>
      <c r="D78" s="316"/>
      <c r="E78" s="222" t="s">
        <v>66</v>
      </c>
      <c r="F78" s="222" t="s">
        <v>116</v>
      </c>
      <c r="G78" s="457">
        <f>G17</f>
        <v>159.56399332020212</v>
      </c>
      <c r="J78" s="222" t="s">
        <v>66</v>
      </c>
      <c r="K78" s="222" t="s">
        <v>116</v>
      </c>
      <c r="L78" s="474">
        <f>G16</f>
        <v>0.14120707373469213</v>
      </c>
      <c r="N78" s="286"/>
      <c r="O78" s="285" t="s">
        <v>396</v>
      </c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E79" s="222" t="s">
        <v>66</v>
      </c>
      <c r="F79" s="222" t="s">
        <v>103</v>
      </c>
      <c r="G79" s="457">
        <f>H17</f>
        <v>206.50565466741423</v>
      </c>
      <c r="J79" s="222" t="s">
        <v>66</v>
      </c>
      <c r="K79" s="222" t="s">
        <v>103</v>
      </c>
      <c r="L79" s="474">
        <f>H16</f>
        <v>0.18274836696231347</v>
      </c>
      <c r="N79" s="286"/>
      <c r="O79" s="285" t="s">
        <v>385</v>
      </c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 ht="15">
      <c r="A80" s="286"/>
      <c r="B80" s="286"/>
      <c r="C80" s="286"/>
      <c r="D80" s="316"/>
      <c r="E80" s="222" t="s">
        <v>66</v>
      </c>
      <c r="F80" s="222" t="s">
        <v>117</v>
      </c>
      <c r="G80" s="457">
        <f>I17</f>
        <v>161.4929569974673</v>
      </c>
      <c r="J80" s="222" t="s">
        <v>66</v>
      </c>
      <c r="K80" s="222" t="s">
        <v>117</v>
      </c>
      <c r="L80" s="474">
        <f>I16</f>
        <v>0.14291412123669672</v>
      </c>
      <c r="N80" s="286"/>
      <c r="O80" s="285" t="s">
        <v>397</v>
      </c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E81" s="222" t="s">
        <v>66</v>
      </c>
      <c r="F81" s="222" t="s">
        <v>119</v>
      </c>
      <c r="G81" s="457">
        <f>J17</f>
        <v>228.31180295204555</v>
      </c>
      <c r="J81" s="222" t="s">
        <v>66</v>
      </c>
      <c r="K81" s="222" t="s">
        <v>119</v>
      </c>
      <c r="L81" s="474">
        <f>J16</f>
        <v>0.2020458433203943</v>
      </c>
      <c r="N81" s="286"/>
      <c r="O81" s="285" t="s">
        <v>398</v>
      </c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E82" s="222" t="s">
        <v>66</v>
      </c>
      <c r="F82" s="222" t="s">
        <v>121</v>
      </c>
      <c r="G82" s="457">
        <f>K17</f>
        <v>135.52251971244218</v>
      </c>
      <c r="J82" s="222" t="s">
        <v>66</v>
      </c>
      <c r="K82" s="222" t="s">
        <v>121</v>
      </c>
      <c r="L82" s="474">
        <f>K16</f>
        <v>0.11993143337384264</v>
      </c>
      <c r="N82" s="286"/>
      <c r="O82" s="285" t="s">
        <v>399</v>
      </c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67</v>
      </c>
      <c r="F83" s="222" t="s">
        <v>115</v>
      </c>
      <c r="G83" s="457">
        <f>E19</f>
        <v>130.15796992283001</v>
      </c>
      <c r="H83" s="463">
        <f>SUM(G83:G89)</f>
        <v>826.38174441870387</v>
      </c>
      <c r="J83" s="222" t="s">
        <v>67</v>
      </c>
      <c r="K83" s="222" t="s">
        <v>115</v>
      </c>
      <c r="L83" s="474">
        <f>E18</f>
        <v>0.14740426944827861</v>
      </c>
      <c r="M83" s="475">
        <f>SUM(L83:L89)</f>
        <v>0.93587966525334521</v>
      </c>
      <c r="N83" s="286"/>
      <c r="O83" s="285" t="s">
        <v>394</v>
      </c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E84" s="222" t="s">
        <v>67</v>
      </c>
      <c r="F84" s="222" t="s">
        <v>95</v>
      </c>
      <c r="G84" s="457">
        <f>F19</f>
        <v>153.25082683943458</v>
      </c>
      <c r="J84" s="222" t="s">
        <v>67</v>
      </c>
      <c r="K84" s="222" t="s">
        <v>95</v>
      </c>
      <c r="L84" s="474">
        <f>F18</f>
        <v>0.17355699528814789</v>
      </c>
      <c r="N84" s="286"/>
      <c r="O84" s="285" t="s">
        <v>395</v>
      </c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 ht="15">
      <c r="A85" s="286"/>
      <c r="B85" s="286"/>
      <c r="C85" s="286"/>
      <c r="D85" s="316"/>
      <c r="E85" s="222" t="s">
        <v>67</v>
      </c>
      <c r="F85" s="222" t="s">
        <v>116</v>
      </c>
      <c r="G85" s="457">
        <f>G19</f>
        <v>80.439432217179089</v>
      </c>
      <c r="J85" s="222" t="s">
        <v>67</v>
      </c>
      <c r="K85" s="222" t="s">
        <v>116</v>
      </c>
      <c r="L85" s="474">
        <f>G18</f>
        <v>9.1097884730667142E-2</v>
      </c>
      <c r="N85" s="286"/>
      <c r="O85" s="285" t="s">
        <v>396</v>
      </c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E86" s="222" t="s">
        <v>67</v>
      </c>
      <c r="F86" s="222" t="s">
        <v>103</v>
      </c>
      <c r="G86" s="457">
        <f>H19</f>
        <v>112.613292892993</v>
      </c>
      <c r="J86" s="222" t="s">
        <v>67</v>
      </c>
      <c r="K86" s="222" t="s">
        <v>103</v>
      </c>
      <c r="L86" s="474">
        <f>H18</f>
        <v>0.12753487303849717</v>
      </c>
      <c r="N86" s="286"/>
      <c r="O86" s="285" t="s">
        <v>385</v>
      </c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 ht="15">
      <c r="A87" s="286"/>
      <c r="B87" s="286"/>
      <c r="C87" s="286"/>
      <c r="D87" s="316"/>
      <c r="E87" s="222" t="s">
        <v>67</v>
      </c>
      <c r="F87" s="222" t="s">
        <v>117</v>
      </c>
      <c r="G87" s="457">
        <f>I19</f>
        <v>101.12358325633338</v>
      </c>
      <c r="J87" s="222" t="s">
        <v>67</v>
      </c>
      <c r="K87" s="222" t="s">
        <v>117</v>
      </c>
      <c r="L87" s="474">
        <f>I18</f>
        <v>0.11452274434465841</v>
      </c>
      <c r="N87" s="286"/>
      <c r="O87" s="285" t="s">
        <v>397</v>
      </c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E88" s="222" t="s">
        <v>67</v>
      </c>
      <c r="F88" s="222" t="s">
        <v>119</v>
      </c>
      <c r="G88" s="457">
        <f>J19</f>
        <v>105.28336422465755</v>
      </c>
      <c r="J88" s="222" t="s">
        <v>67</v>
      </c>
      <c r="K88" s="222" t="s">
        <v>119</v>
      </c>
      <c r="L88" s="474">
        <f>J18</f>
        <v>0.11923370806869484</v>
      </c>
      <c r="N88" s="286"/>
      <c r="O88" s="285" t="s">
        <v>398</v>
      </c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E89" s="222" t="s">
        <v>67</v>
      </c>
      <c r="F89" s="222" t="s">
        <v>121</v>
      </c>
      <c r="G89" s="457">
        <f>K19</f>
        <v>143.51327506527619</v>
      </c>
      <c r="J89" s="222" t="s">
        <v>67</v>
      </c>
      <c r="K89" s="222" t="s">
        <v>121</v>
      </c>
      <c r="L89" s="474">
        <f>K18</f>
        <v>0.16252919033440114</v>
      </c>
      <c r="N89" s="286"/>
      <c r="O89" s="285" t="s">
        <v>399</v>
      </c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141</v>
      </c>
      <c r="F90" s="222" t="s">
        <v>115</v>
      </c>
      <c r="G90" s="457">
        <f>E21</f>
        <v>13.785019969746717</v>
      </c>
      <c r="H90" s="463">
        <f>SUM(G90:G96)</f>
        <v>55.013321653467585</v>
      </c>
      <c r="J90" s="222" t="s">
        <v>141</v>
      </c>
      <c r="K90" s="222" t="s">
        <v>115</v>
      </c>
      <c r="L90" s="474">
        <f>E20</f>
        <v>3.1329590840333446E-2</v>
      </c>
      <c r="M90" s="475">
        <f>SUM(L90:L96)</f>
        <v>0.12503027648515361</v>
      </c>
      <c r="N90" s="286"/>
      <c r="O90" s="285" t="s">
        <v>394</v>
      </c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E91" s="222" t="s">
        <v>141</v>
      </c>
      <c r="F91" s="222" t="s">
        <v>95</v>
      </c>
      <c r="G91" s="457">
        <f>F21</f>
        <v>6.2226350126857559</v>
      </c>
      <c r="J91" s="222" t="s">
        <v>141</v>
      </c>
      <c r="K91" s="222" t="s">
        <v>95</v>
      </c>
      <c r="L91" s="474">
        <f>F20</f>
        <v>1.4142352301558535E-2</v>
      </c>
      <c r="N91" s="286"/>
      <c r="O91" s="285" t="s">
        <v>395</v>
      </c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 ht="15">
      <c r="A92" s="286"/>
      <c r="B92" s="286"/>
      <c r="C92" s="286"/>
      <c r="D92" s="316"/>
      <c r="E92" s="222" t="s">
        <v>141</v>
      </c>
      <c r="F92" s="222" t="s">
        <v>116</v>
      </c>
      <c r="G92" s="457">
        <f>G21</f>
        <v>10.609531557763125</v>
      </c>
      <c r="J92" s="222" t="s">
        <v>141</v>
      </c>
      <c r="K92" s="222" t="s">
        <v>116</v>
      </c>
      <c r="L92" s="474">
        <f>G20</f>
        <v>2.4112571722188919E-2</v>
      </c>
      <c r="N92" s="286"/>
      <c r="O92" s="285" t="s">
        <v>396</v>
      </c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E93" s="222" t="s">
        <v>141</v>
      </c>
      <c r="F93" s="222" t="s">
        <v>103</v>
      </c>
      <c r="G93" s="457">
        <f>H21</f>
        <v>2.3526983119085099</v>
      </c>
      <c r="J93" s="222" t="s">
        <v>141</v>
      </c>
      <c r="K93" s="222" t="s">
        <v>103</v>
      </c>
      <c r="L93" s="474">
        <f>H20</f>
        <v>5.3470416179738859E-3</v>
      </c>
      <c r="N93" s="286"/>
      <c r="O93" s="285" t="s">
        <v>385</v>
      </c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 ht="15">
      <c r="A94" s="286"/>
      <c r="B94" s="286"/>
      <c r="C94" s="286"/>
      <c r="D94" s="316"/>
      <c r="E94" s="222" t="s">
        <v>141</v>
      </c>
      <c r="F94" s="222" t="s">
        <v>117</v>
      </c>
      <c r="G94" s="457">
        <f>I21</f>
        <v>7.2303284518689379</v>
      </c>
      <c r="J94" s="222" t="s">
        <v>141</v>
      </c>
      <c r="K94" s="222" t="s">
        <v>117</v>
      </c>
      <c r="L94" s="474">
        <f>I20</f>
        <v>1.6432564663338495E-2</v>
      </c>
      <c r="N94" s="286"/>
      <c r="O94" s="285" t="s">
        <v>397</v>
      </c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E95" s="222" t="s">
        <v>141</v>
      </c>
      <c r="F95" s="222" t="s">
        <v>119</v>
      </c>
      <c r="G95" s="457">
        <f>J21</f>
        <v>6.8256517474114426</v>
      </c>
      <c r="J95" s="222" t="s">
        <v>141</v>
      </c>
      <c r="K95" s="222" t="s">
        <v>119</v>
      </c>
      <c r="L95" s="474">
        <f>J20</f>
        <v>1.5512844880480551E-2</v>
      </c>
      <c r="N95" s="286"/>
      <c r="O95" s="285" t="s">
        <v>398</v>
      </c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E96" s="222" t="s">
        <v>141</v>
      </c>
      <c r="F96" s="222" t="s">
        <v>121</v>
      </c>
      <c r="G96" s="457">
        <f>K21</f>
        <v>7.9874566020830988</v>
      </c>
      <c r="J96" s="222" t="s">
        <v>141</v>
      </c>
      <c r="K96" s="222" t="s">
        <v>121</v>
      </c>
      <c r="L96" s="474">
        <f>K20</f>
        <v>1.8153310459279769E-2</v>
      </c>
      <c r="N96" s="286"/>
      <c r="O96" s="285" t="s">
        <v>399</v>
      </c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65</v>
      </c>
      <c r="F97" s="222" t="s">
        <v>115</v>
      </c>
      <c r="G97" s="457">
        <f>E23</f>
        <v>798.78650459043354</v>
      </c>
      <c r="H97" s="463">
        <f>SUM(G97:G103)</f>
        <v>5268.4954359261974</v>
      </c>
      <c r="J97" s="222" t="s">
        <v>65</v>
      </c>
      <c r="K97" s="222" t="s">
        <v>115</v>
      </c>
      <c r="L97" s="474">
        <f>E22</f>
        <v>0.29950750078381461</v>
      </c>
      <c r="M97" s="475">
        <f>SUM(L97:L103)</f>
        <v>1.9754388586149969</v>
      </c>
      <c r="N97" s="286"/>
      <c r="O97" s="285" t="s">
        <v>394</v>
      </c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E98" s="222" t="s">
        <v>65</v>
      </c>
      <c r="F98" s="222" t="s">
        <v>95</v>
      </c>
      <c r="G98" s="457">
        <f>F23</f>
        <v>819.18236566690825</v>
      </c>
      <c r="J98" s="222" t="s">
        <v>65</v>
      </c>
      <c r="K98" s="222" t="s">
        <v>95</v>
      </c>
      <c r="L98" s="474">
        <f>F22</f>
        <v>0.30715499275099672</v>
      </c>
      <c r="N98" s="286"/>
      <c r="O98" s="285" t="s">
        <v>395</v>
      </c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 ht="15">
      <c r="A99" s="286"/>
      <c r="B99" s="286"/>
      <c r="C99" s="286"/>
      <c r="D99" s="316"/>
      <c r="E99" s="222" t="s">
        <v>65</v>
      </c>
      <c r="F99" s="222" t="s">
        <v>116</v>
      </c>
      <c r="G99" s="457">
        <f>G23</f>
        <v>1185.6553106534213</v>
      </c>
      <c r="J99" s="222" t="s">
        <v>65</v>
      </c>
      <c r="K99" s="222" t="s">
        <v>116</v>
      </c>
      <c r="L99" s="474">
        <f>G22</f>
        <v>0.44456517084867692</v>
      </c>
      <c r="N99" s="286"/>
      <c r="O99" s="285" t="s">
        <v>396</v>
      </c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E100" s="222" t="s">
        <v>65</v>
      </c>
      <c r="F100" s="222" t="s">
        <v>103</v>
      </c>
      <c r="G100" s="457">
        <f>H23</f>
        <v>489.76221079865167</v>
      </c>
      <c r="J100" s="222" t="s">
        <v>65</v>
      </c>
      <c r="K100" s="222" t="s">
        <v>103</v>
      </c>
      <c r="L100" s="474">
        <f>H22</f>
        <v>0.18363787431520498</v>
      </c>
      <c r="N100" s="286"/>
      <c r="O100" s="285" t="s">
        <v>385</v>
      </c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 ht="15">
      <c r="A101" s="286"/>
      <c r="B101" s="286"/>
      <c r="C101" s="286"/>
      <c r="D101" s="316"/>
      <c r="E101" s="222" t="s">
        <v>65</v>
      </c>
      <c r="F101" s="222" t="s">
        <v>117</v>
      </c>
      <c r="G101" s="457">
        <f>I23</f>
        <v>392.00200089076202</v>
      </c>
      <c r="J101" s="222" t="s">
        <v>65</v>
      </c>
      <c r="K101" s="222" t="s">
        <v>117</v>
      </c>
      <c r="L101" s="474">
        <f>I22</f>
        <v>0.14698237753684365</v>
      </c>
      <c r="N101" s="286"/>
      <c r="O101" s="285" t="s">
        <v>397</v>
      </c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E102" s="222" t="s">
        <v>65</v>
      </c>
      <c r="F102" s="222" t="s">
        <v>119</v>
      </c>
      <c r="G102" s="457">
        <f>J23</f>
        <v>863.29951488077404</v>
      </c>
      <c r="J102" s="222" t="s">
        <v>65</v>
      </c>
      <c r="K102" s="222" t="s">
        <v>119</v>
      </c>
      <c r="L102" s="474">
        <f>J22</f>
        <v>0.32369685597329362</v>
      </c>
      <c r="N102" s="286"/>
      <c r="O102" s="285" t="s">
        <v>398</v>
      </c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E103" s="222" t="s">
        <v>65</v>
      </c>
      <c r="F103" s="222" t="s">
        <v>121</v>
      </c>
      <c r="G103" s="457">
        <f>K23</f>
        <v>719.80752844524613</v>
      </c>
      <c r="J103" s="222" t="s">
        <v>65</v>
      </c>
      <c r="K103" s="222" t="s">
        <v>121</v>
      </c>
      <c r="L103" s="474">
        <f>K22</f>
        <v>0.26989408640616652</v>
      </c>
      <c r="N103" s="286"/>
      <c r="O103" s="285" t="s">
        <v>399</v>
      </c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76</v>
      </c>
      <c r="F104" s="222" t="s">
        <v>115</v>
      </c>
      <c r="G104" s="457">
        <f>E25</f>
        <v>8.0379282165986971E-3</v>
      </c>
      <c r="H104" s="463">
        <f>SUM(G104:G110)</f>
        <v>0.12766615367779194</v>
      </c>
      <c r="J104" s="222" t="s">
        <v>76</v>
      </c>
      <c r="K104" s="222" t="s">
        <v>115</v>
      </c>
      <c r="L104" s="474">
        <f>E24</f>
        <v>1.5165902295469242E-3</v>
      </c>
      <c r="M104" s="475">
        <f>SUM(L104:L110)</f>
        <v>2.4087953524111687E-2</v>
      </c>
      <c r="N104" s="286"/>
      <c r="O104" s="285" t="s">
        <v>394</v>
      </c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E105" s="222" t="s">
        <v>76</v>
      </c>
      <c r="F105" s="222" t="s">
        <v>95</v>
      </c>
      <c r="G105" s="457">
        <f>F25</f>
        <v>2.6125407756433485E-2</v>
      </c>
      <c r="J105" s="222" t="s">
        <v>76</v>
      </c>
      <c r="K105" s="222" t="s">
        <v>95</v>
      </c>
      <c r="L105" s="474">
        <f>F24</f>
        <v>4.9293222181949975E-3</v>
      </c>
      <c r="N105" s="286"/>
      <c r="O105" s="285" t="s">
        <v>395</v>
      </c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76</v>
      </c>
      <c r="F106" s="222" t="s">
        <v>116</v>
      </c>
      <c r="G106" s="457">
        <f>G25</f>
        <v>1.2623640489851847E-2</v>
      </c>
      <c r="J106" s="222" t="s">
        <v>76</v>
      </c>
      <c r="K106" s="222" t="s">
        <v>116</v>
      </c>
      <c r="L106" s="474">
        <f>G24</f>
        <v>2.381818960349405E-3</v>
      </c>
      <c r="N106" s="286"/>
      <c r="O106" s="285" t="s">
        <v>396</v>
      </c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76</v>
      </c>
      <c r="F107" s="222" t="s">
        <v>103</v>
      </c>
      <c r="G107" s="457">
        <f>H25</f>
        <v>1.9085255713098756E-2</v>
      </c>
      <c r="I107" s="286"/>
      <c r="J107" s="222" t="s">
        <v>76</v>
      </c>
      <c r="K107" s="222" t="s">
        <v>103</v>
      </c>
      <c r="L107" s="474">
        <f>H24</f>
        <v>3.6009916439808977E-3</v>
      </c>
      <c r="N107" s="286"/>
      <c r="O107" s="285" t="s">
        <v>385</v>
      </c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22" t="s">
        <v>76</v>
      </c>
      <c r="F108" s="222" t="s">
        <v>117</v>
      </c>
      <c r="G108" s="457">
        <f>I25</f>
        <v>2.4274594005304687E-2</v>
      </c>
      <c r="I108" s="286"/>
      <c r="J108" s="222" t="s">
        <v>76</v>
      </c>
      <c r="K108" s="222" t="s">
        <v>117</v>
      </c>
      <c r="L108" s="474">
        <f>I24</f>
        <v>4.5801120764725825E-3</v>
      </c>
      <c r="N108" s="286"/>
      <c r="O108" s="285" t="s">
        <v>397</v>
      </c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76</v>
      </c>
      <c r="F109" s="222" t="s">
        <v>119</v>
      </c>
      <c r="G109" s="457">
        <f>J25</f>
        <v>2.9037632138542803E-2</v>
      </c>
      <c r="I109" s="286"/>
      <c r="J109" s="222" t="s">
        <v>76</v>
      </c>
      <c r="K109" s="222" t="s">
        <v>119</v>
      </c>
      <c r="L109" s="474">
        <f>J24</f>
        <v>5.4787985167061891E-3</v>
      </c>
      <c r="N109" s="286"/>
      <c r="O109" s="285" t="s">
        <v>398</v>
      </c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E110" s="222" t="s">
        <v>76</v>
      </c>
      <c r="F110" s="222" t="s">
        <v>121</v>
      </c>
      <c r="G110" s="457">
        <f>K25</f>
        <v>8.4816953579616595E-3</v>
      </c>
      <c r="I110" s="286"/>
      <c r="J110" s="222" t="s">
        <v>76</v>
      </c>
      <c r="K110" s="222" t="s">
        <v>121</v>
      </c>
      <c r="L110" s="474">
        <f>K24</f>
        <v>1.6003198788606904E-3</v>
      </c>
      <c r="N110" s="286"/>
      <c r="O110" s="285" t="s">
        <v>399</v>
      </c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I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86"/>
      <c r="F112" s="286"/>
      <c r="G112" s="473">
        <f>SUM(G34:G110)</f>
        <v>9199.4489446347106</v>
      </c>
      <c r="H112" s="286"/>
      <c r="I112" s="286"/>
      <c r="J112" s="286"/>
      <c r="K112" s="286"/>
      <c r="L112" s="318">
        <f>SUM(L34:L110)</f>
        <v>7</v>
      </c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01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30" ht="15.75" customHeight="1">
      <c r="A1" s="286"/>
      <c r="B1" s="311"/>
      <c r="C1" s="312"/>
      <c r="D1" s="313"/>
      <c r="E1" s="315" t="s">
        <v>382</v>
      </c>
      <c r="F1" s="312"/>
      <c r="G1" s="314"/>
      <c r="H1" s="312"/>
      <c r="I1" s="314"/>
      <c r="J1" s="312"/>
      <c r="K1" s="312"/>
      <c r="L1" s="286"/>
      <c r="M1" s="286"/>
      <c r="N1" s="285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  <c r="AD1" s="286"/>
    </row>
    <row r="2" spans="1:30" ht="15.75" customHeight="1">
      <c r="A2" s="286"/>
      <c r="B2" s="459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2" t="s">
        <v>135</v>
      </c>
      <c r="J2" s="312" t="s">
        <v>101</v>
      </c>
      <c r="K2" s="312" t="s">
        <v>134</v>
      </c>
      <c r="L2" s="286"/>
      <c r="M2" s="286"/>
      <c r="N2" s="285" t="s">
        <v>22</v>
      </c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AD2" s="286"/>
    </row>
    <row r="3" spans="1:30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  <c r="AD3" s="286"/>
    </row>
    <row r="4" spans="1:30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CONSUMPTION!M7</f>
        <v>2.4797147643760582E-2</v>
      </c>
      <c r="F4" s="318">
        <f>CONSUMPTION!M55</f>
        <v>2.3836761507792677E-2</v>
      </c>
      <c r="G4" s="318">
        <f>CONSUMPTION!M76</f>
        <v>1.4826153977905284E-2</v>
      </c>
      <c r="H4" s="318">
        <f>CONSUMPTION!M84</f>
        <v>6.1711869329964787E-2</v>
      </c>
      <c r="I4" s="318">
        <f>CONSUMPTION!M139</f>
        <v>7.8307286300213372E-2</v>
      </c>
      <c r="J4" s="318">
        <f>CONSUMPTION!M145</f>
        <v>6.0097125895008624E-2</v>
      </c>
      <c r="K4" s="318">
        <f>CONSUMPTION!M164</f>
        <v>5.1101943800912424E-2</v>
      </c>
      <c r="L4" s="286"/>
      <c r="M4" s="286"/>
      <c r="N4" s="319">
        <f t="shared" ref="N4:N25" si="0">SUM(E4:K4)</f>
        <v>0.31467828845555773</v>
      </c>
      <c r="O4" s="286"/>
      <c r="P4" s="285" t="s">
        <v>383</v>
      </c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</row>
    <row r="5" spans="1:30" ht="15.75" customHeight="1">
      <c r="A5" s="314"/>
      <c r="B5" s="314"/>
      <c r="C5" s="317"/>
      <c r="D5" s="316"/>
      <c r="E5" s="320">
        <f t="shared" ref="E5:K5" si="1">$B4*E4</f>
        <v>5.2569953004772429</v>
      </c>
      <c r="F5" s="320">
        <f t="shared" si="1"/>
        <v>5.0533934396520479</v>
      </c>
      <c r="G5" s="320">
        <f t="shared" si="1"/>
        <v>3.1431446433159205</v>
      </c>
      <c r="H5" s="320">
        <f t="shared" si="1"/>
        <v>13.082916297952535</v>
      </c>
      <c r="I5" s="320">
        <f t="shared" si="1"/>
        <v>16.601144695645235</v>
      </c>
      <c r="J5" s="320">
        <f t="shared" si="1"/>
        <v>12.740590689741829</v>
      </c>
      <c r="K5" s="320">
        <f t="shared" si="1"/>
        <v>10.833612085793433</v>
      </c>
      <c r="L5" s="286"/>
      <c r="M5" s="286"/>
      <c r="N5" s="320">
        <f t="shared" si="0"/>
        <v>66.711797152578242</v>
      </c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</row>
    <row r="6" spans="1:30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CONSUMPTION!W7</f>
        <v>0.26912465709861255</v>
      </c>
      <c r="F6" s="318">
        <f>CONSUMPTION!W55</f>
        <v>5.3066101848495834E-2</v>
      </c>
      <c r="G6" s="318">
        <f>CONSUMPTION!W76</f>
        <v>0.10084996146270446</v>
      </c>
      <c r="H6" s="318">
        <f>CONSUMPTION!W84</f>
        <v>8.4388632571586852E-2</v>
      </c>
      <c r="I6" s="318">
        <f>CONSUMPTION!W139</f>
        <v>8.9242386976261842E-2</v>
      </c>
      <c r="J6" s="318">
        <f>CONSUMPTION!W145</f>
        <v>9.4148592159258915E-2</v>
      </c>
      <c r="K6" s="318">
        <f>CONSUMPTION!W164</f>
        <v>8.4348612423628455E-2</v>
      </c>
      <c r="L6" s="286"/>
      <c r="M6" s="286"/>
      <c r="N6" s="319">
        <f t="shared" si="0"/>
        <v>0.77516894454054885</v>
      </c>
      <c r="O6" s="286"/>
      <c r="P6" s="285" t="s">
        <v>384</v>
      </c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</row>
    <row r="7" spans="1:30" ht="15.75" customHeight="1">
      <c r="A7" s="314"/>
      <c r="B7" s="314"/>
      <c r="C7" s="317"/>
      <c r="D7" s="316"/>
      <c r="E7" s="320">
        <f t="shared" ref="E7:K7" si="2">$B6*E6</f>
        <v>224.63835128021191</v>
      </c>
      <c r="F7" s="320">
        <f t="shared" si="2"/>
        <v>44.294275212939475</v>
      </c>
      <c r="G7" s="320">
        <f t="shared" si="2"/>
        <v>84.179462832919413</v>
      </c>
      <c r="H7" s="320">
        <f t="shared" si="2"/>
        <v>70.439191607503545</v>
      </c>
      <c r="I7" s="320">
        <f t="shared" si="2"/>
        <v>74.490620409085764</v>
      </c>
      <c r="J7" s="320">
        <f t="shared" si="2"/>
        <v>78.585829875333417</v>
      </c>
      <c r="K7" s="320">
        <f t="shared" si="2"/>
        <v>70.405786790002679</v>
      </c>
      <c r="L7" s="286"/>
      <c r="M7" s="286"/>
      <c r="N7" s="320">
        <f t="shared" si="0"/>
        <v>647.03351800799612</v>
      </c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</row>
    <row r="8" spans="1:30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CONSUMPTION!H7</f>
        <v>3.4510279890540775E-3</v>
      </c>
      <c r="F8" s="318">
        <f>CONSUMPTION!H55</f>
        <v>1.1494200797390358E-2</v>
      </c>
      <c r="G8" s="318">
        <f>CONSUMPTION!H76</f>
        <v>6.1231480688533017E-3</v>
      </c>
      <c r="H8" s="318">
        <f>CONSUMPTION!H84</f>
        <v>1.3748454778197344E-2</v>
      </c>
      <c r="I8" s="318">
        <f>CONSUMPTION!H139</f>
        <v>1.9005138500196098E-2</v>
      </c>
      <c r="J8" s="318">
        <f>CONSUMPTION!H145</f>
        <v>1.8214613275913311E-2</v>
      </c>
      <c r="K8" s="318">
        <f>CONSUMPTION!H164</f>
        <v>1.6549288278790715E-2</v>
      </c>
      <c r="L8" s="286"/>
      <c r="M8" s="286"/>
      <c r="N8" s="319">
        <f t="shared" si="0"/>
        <v>8.8585871688395212E-2</v>
      </c>
      <c r="O8" s="286"/>
      <c r="P8" s="285" t="s">
        <v>385</v>
      </c>
      <c r="Q8" s="285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  <c r="AD8" s="286"/>
    </row>
    <row r="9" spans="1:30" ht="15.75" customHeight="1">
      <c r="A9" s="314"/>
      <c r="B9" s="314"/>
      <c r="C9" s="317"/>
      <c r="D9" s="316"/>
      <c r="E9" s="320">
        <f t="shared" ref="E9:K9" si="3">$B8*E8</f>
        <v>0.28609022029258302</v>
      </c>
      <c r="F9" s="320">
        <f t="shared" si="3"/>
        <v>0.95286924610366075</v>
      </c>
      <c r="G9" s="320">
        <f t="shared" si="3"/>
        <v>0.50760897490793877</v>
      </c>
      <c r="H9" s="320">
        <f t="shared" si="3"/>
        <v>1.1397469011125598</v>
      </c>
      <c r="I9" s="320">
        <f t="shared" si="3"/>
        <v>1.5755259816662566</v>
      </c>
      <c r="J9" s="320">
        <f t="shared" si="3"/>
        <v>1.5099914405732136</v>
      </c>
      <c r="K9" s="320">
        <f t="shared" si="3"/>
        <v>1.3719359983117503</v>
      </c>
      <c r="L9" s="286"/>
      <c r="M9" s="286"/>
      <c r="N9" s="320">
        <f t="shared" si="0"/>
        <v>7.3437687629679624</v>
      </c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</row>
    <row r="10" spans="1:30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CONSUMPTION!R7</f>
        <v>1.6996018389778274E-2</v>
      </c>
      <c r="F10" s="318">
        <f>CONSUMPTION!R55</f>
        <v>4.1168675244653861E-2</v>
      </c>
      <c r="G10" s="318">
        <f>CONSUMPTION!R76</f>
        <v>5.8287659501584316E-3</v>
      </c>
      <c r="H10" s="318">
        <f>CONSUMPTION!R84</f>
        <v>2.4949168113377052E-2</v>
      </c>
      <c r="I10" s="318">
        <f>CONSUMPTION!R139</f>
        <v>6.4560302593181018E-2</v>
      </c>
      <c r="J10" s="318">
        <f>CONSUMPTION!R145</f>
        <v>3.1777031396895902E-2</v>
      </c>
      <c r="K10" s="318">
        <f>CONSUMPTION!R164</f>
        <v>5.1632298509175688E-2</v>
      </c>
      <c r="L10" s="286"/>
      <c r="M10" s="286"/>
      <c r="N10" s="319">
        <f t="shared" si="0"/>
        <v>0.23691226019722025</v>
      </c>
      <c r="O10" s="286"/>
      <c r="P10" s="285" t="s">
        <v>386</v>
      </c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</row>
    <row r="11" spans="1:30" ht="15.75" customHeight="1">
      <c r="A11" s="314"/>
      <c r="B11" s="314"/>
      <c r="C11" s="317"/>
      <c r="D11" s="316"/>
      <c r="E11" s="320">
        <f t="shared" ref="E11:K11" si="4">$B10*E10</f>
        <v>2.2774664642302889</v>
      </c>
      <c r="F11" s="320">
        <f t="shared" si="4"/>
        <v>5.5166024827836173</v>
      </c>
      <c r="G11" s="320">
        <f t="shared" si="4"/>
        <v>0.78105463732122982</v>
      </c>
      <c r="H11" s="320">
        <f t="shared" si="4"/>
        <v>3.3431885271925248</v>
      </c>
      <c r="I11" s="320">
        <f t="shared" si="4"/>
        <v>8.6510805474862558</v>
      </c>
      <c r="J11" s="320">
        <f t="shared" si="4"/>
        <v>4.2581222071840505</v>
      </c>
      <c r="K11" s="320">
        <f t="shared" si="4"/>
        <v>6.9187280002295424</v>
      </c>
      <c r="L11" s="286"/>
      <c r="M11" s="286"/>
      <c r="N11" s="320">
        <f t="shared" si="0"/>
        <v>31.746242866427512</v>
      </c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</row>
    <row r="12" spans="1:30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CONSUMPTION!C7</f>
        <v>8.6957716634313856E-2</v>
      </c>
      <c r="F12" s="318">
        <f>CONSUMPTION!C55</f>
        <v>0.12882611453425152</v>
      </c>
      <c r="G12" s="318">
        <f>CONSUMPTION!C76</f>
        <v>0.14986726042647941</v>
      </c>
      <c r="H12" s="318">
        <f>CONSUMPTION!C84</f>
        <v>0.2882195667299392</v>
      </c>
      <c r="I12" s="318">
        <f>CONSUMPTION!C139</f>
        <v>0.29366561858102941</v>
      </c>
      <c r="J12" s="318">
        <f>CONSUMPTION!C145</f>
        <v>6.1599809166878204E-2</v>
      </c>
      <c r="K12" s="318">
        <f>CONSUMPTION!C164</f>
        <v>0.20405235424732671</v>
      </c>
      <c r="L12" s="286"/>
      <c r="M12" s="286"/>
      <c r="N12" s="319">
        <f t="shared" si="0"/>
        <v>1.2131884403202182</v>
      </c>
      <c r="O12" s="286"/>
      <c r="P12" s="285" t="s">
        <v>387</v>
      </c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</row>
    <row r="13" spans="1:30" ht="15.75" customHeight="1">
      <c r="A13" s="314"/>
      <c r="B13" s="314"/>
      <c r="C13" s="317"/>
      <c r="D13" s="316"/>
      <c r="E13" s="320">
        <f t="shared" ref="E13:K13" si="5">$B12*E12</f>
        <v>73.131439689457949</v>
      </c>
      <c r="F13" s="320">
        <f t="shared" si="5"/>
        <v>108.34276232330554</v>
      </c>
      <c r="G13" s="320">
        <f t="shared" si="5"/>
        <v>126.03836601866918</v>
      </c>
      <c r="H13" s="320">
        <f t="shared" si="5"/>
        <v>242.39265561987887</v>
      </c>
      <c r="I13" s="320">
        <f t="shared" si="5"/>
        <v>246.97278522664573</v>
      </c>
      <c r="J13" s="320">
        <f t="shared" si="5"/>
        <v>51.805439509344566</v>
      </c>
      <c r="K13" s="320">
        <f t="shared" si="5"/>
        <v>171.60802992200175</v>
      </c>
      <c r="L13" s="286"/>
      <c r="M13" s="286"/>
      <c r="N13" s="320">
        <f t="shared" si="0"/>
        <v>1020.2914783093034</v>
      </c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</row>
    <row r="14" spans="1:30" ht="15.75" customHeight="1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CONSUMPTION!AB7</f>
        <v>2.6770285375841234E-2</v>
      </c>
      <c r="F14" s="318">
        <f>CONSUMPTION!AB55</f>
        <v>2.220686843059079E-2</v>
      </c>
      <c r="G14" s="318">
        <f>CONSUMPTION!AB76</f>
        <v>1.9140190117324655E-2</v>
      </c>
      <c r="H14" s="318">
        <f>CONSUMPTION!AB84</f>
        <v>2.411316089896446E-2</v>
      </c>
      <c r="I14" s="318">
        <f>CONSUMPTION!AB139</f>
        <v>2.9787347191108333E-2</v>
      </c>
      <c r="J14" s="318">
        <f>CONSUMPTION!AB145</f>
        <v>6.8194777346475652E-2</v>
      </c>
      <c r="K14" s="318">
        <f>CONSUMPTION!AB164</f>
        <v>2.0207162287615148E-2</v>
      </c>
      <c r="L14" s="286"/>
      <c r="M14" s="286"/>
      <c r="N14" s="319">
        <f t="shared" si="0"/>
        <v>0.21041979164792027</v>
      </c>
      <c r="O14" s="286"/>
      <c r="P14" s="285" t="s">
        <v>388</v>
      </c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</row>
    <row r="15" spans="1:30" ht="15.75" customHeight="1">
      <c r="A15" s="314"/>
      <c r="B15" s="314"/>
      <c r="C15" s="317"/>
      <c r="D15" s="316"/>
      <c r="E15" s="320">
        <f t="shared" ref="E15:K15" si="6">$B14*E14</f>
        <v>4.149394233255391</v>
      </c>
      <c r="F15" s="320">
        <f t="shared" si="6"/>
        <v>3.4420646067415723</v>
      </c>
      <c r="G15" s="320">
        <f t="shared" si="6"/>
        <v>2.9667294681853216</v>
      </c>
      <c r="H15" s="320">
        <f t="shared" si="6"/>
        <v>3.7375399393394915</v>
      </c>
      <c r="I15" s="320">
        <f t="shared" si="6"/>
        <v>4.6170388146217913</v>
      </c>
      <c r="J15" s="320">
        <f t="shared" si="6"/>
        <v>10.570190488703727</v>
      </c>
      <c r="K15" s="320">
        <f t="shared" si="6"/>
        <v>3.132110154580348</v>
      </c>
      <c r="L15" s="286"/>
      <c r="M15" s="286"/>
      <c r="N15" s="320">
        <f t="shared" si="0"/>
        <v>32.615067705427641</v>
      </c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</row>
    <row r="16" spans="1:30" ht="15.75" customHeight="1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CONSUMPTION!AG7</f>
        <v>9.2145195566665727E-2</v>
      </c>
      <c r="F16" s="318">
        <f>CONSUMPTION!AG55</f>
        <v>0.21961761507792676</v>
      </c>
      <c r="G16" s="318">
        <f>CONSUMPTION!AG76</f>
        <v>0.14120707373469213</v>
      </c>
      <c r="H16" s="318">
        <f>CONSUMPTION!AG84</f>
        <v>0.18274836696231347</v>
      </c>
      <c r="I16" s="318">
        <f>CONSUMPTION!AG139</f>
        <v>0.14291412123669672</v>
      </c>
      <c r="J16" s="318">
        <f>CONSUMPTION!AG145</f>
        <v>0.2020458433203943</v>
      </c>
      <c r="K16" s="318">
        <f>CONSUMPTION!AG164</f>
        <v>0.11993143337384264</v>
      </c>
      <c r="L16" s="286"/>
      <c r="M16" s="286"/>
      <c r="N16" s="319">
        <f t="shared" si="0"/>
        <v>1.1006096492725319</v>
      </c>
      <c r="O16" s="286"/>
      <c r="P16" s="285" t="s">
        <v>389</v>
      </c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</row>
    <row r="17" spans="1:30" ht="15.75" customHeight="1">
      <c r="A17" s="314"/>
      <c r="B17" s="314"/>
      <c r="C17" s="317"/>
      <c r="D17" s="316"/>
      <c r="E17" s="320">
        <f t="shared" ref="E17:K17" si="7">$B16*E16</f>
        <v>104.12407099033227</v>
      </c>
      <c r="F17" s="320">
        <f t="shared" si="7"/>
        <v>248.16790503805726</v>
      </c>
      <c r="G17" s="320">
        <f t="shared" si="7"/>
        <v>159.56399332020212</v>
      </c>
      <c r="H17" s="320">
        <f t="shared" si="7"/>
        <v>206.50565466741423</v>
      </c>
      <c r="I17" s="320">
        <f t="shared" si="7"/>
        <v>161.4929569974673</v>
      </c>
      <c r="J17" s="320">
        <f t="shared" si="7"/>
        <v>228.31180295204555</v>
      </c>
      <c r="K17" s="320">
        <f t="shared" si="7"/>
        <v>135.52251971244218</v>
      </c>
      <c r="L17" s="286"/>
      <c r="M17" s="286"/>
      <c r="N17" s="320">
        <f t="shared" si="0"/>
        <v>1243.6889036779608</v>
      </c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</row>
    <row r="18" spans="1:30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CONSUMPTION!AL7</f>
        <v>0.14740426944827861</v>
      </c>
      <c r="F18" s="318">
        <f>CONSUMPTION!AL55</f>
        <v>0.17355699528814789</v>
      </c>
      <c r="G18" s="318">
        <f>CONSUMPTION!AL76</f>
        <v>9.1097884730667142E-2</v>
      </c>
      <c r="H18" s="318">
        <f>CONSUMPTION!AL84</f>
        <v>0.12753487303849717</v>
      </c>
      <c r="I18" s="318">
        <f>CONSUMPTION!AL139</f>
        <v>0.11452274434465841</v>
      </c>
      <c r="J18" s="318">
        <f>CONSUMPTION!AL145</f>
        <v>0.11923370806869484</v>
      </c>
      <c r="K18" s="318">
        <f>CONSUMPTION!AL164</f>
        <v>0.16252919033440114</v>
      </c>
      <c r="L18" s="286"/>
      <c r="M18" s="286"/>
      <c r="N18" s="319">
        <f t="shared" si="0"/>
        <v>0.93587966525334521</v>
      </c>
      <c r="O18" s="286"/>
      <c r="P18" s="285" t="s">
        <v>390</v>
      </c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</row>
    <row r="19" spans="1:30" ht="15.75" customHeight="1">
      <c r="A19" s="314"/>
      <c r="B19" s="314"/>
      <c r="C19" s="317"/>
      <c r="D19" s="316"/>
      <c r="E19" s="320">
        <f t="shared" ref="E19:K19" si="8">$B18*E18</f>
        <v>130.15796992283001</v>
      </c>
      <c r="F19" s="320">
        <f t="shared" si="8"/>
        <v>153.25082683943458</v>
      </c>
      <c r="G19" s="320">
        <f t="shared" si="8"/>
        <v>80.439432217179089</v>
      </c>
      <c r="H19" s="320">
        <f t="shared" si="8"/>
        <v>112.613292892993</v>
      </c>
      <c r="I19" s="320">
        <f t="shared" si="8"/>
        <v>101.12358325633338</v>
      </c>
      <c r="J19" s="320">
        <f t="shared" si="8"/>
        <v>105.28336422465755</v>
      </c>
      <c r="K19" s="320">
        <f t="shared" si="8"/>
        <v>143.51327506527619</v>
      </c>
      <c r="L19" s="286"/>
      <c r="M19" s="286"/>
      <c r="N19" s="320">
        <f t="shared" si="0"/>
        <v>826.38174441870387</v>
      </c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</row>
    <row r="20" spans="1:30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CONSUMPTION!AQ7</f>
        <v>3.1329590840333446E-2</v>
      </c>
      <c r="F20" s="318">
        <f>CONSUMPTION!AQ55</f>
        <v>1.4142352301558535E-2</v>
      </c>
      <c r="G20" s="318">
        <f>CONSUMPTION!AQ76</f>
        <v>2.4112571722188919E-2</v>
      </c>
      <c r="H20" s="318">
        <f>CONSUMPTION!AQ84</f>
        <v>5.3470416179738859E-3</v>
      </c>
      <c r="I20" s="318">
        <f>CONSUMPTION!AQ139</f>
        <v>1.6432564663338495E-2</v>
      </c>
      <c r="J20" s="318">
        <f>CONSUMPTION!AQ145</f>
        <v>1.5512844880480551E-2</v>
      </c>
      <c r="K20" s="318">
        <f>CONSUMPTION!AQ164</f>
        <v>1.8153310459279769E-2</v>
      </c>
      <c r="L20" s="286"/>
      <c r="M20" s="286"/>
      <c r="N20" s="319">
        <f t="shared" si="0"/>
        <v>0.12503027648515361</v>
      </c>
      <c r="O20" s="286"/>
      <c r="P20" s="285" t="s">
        <v>391</v>
      </c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  <c r="AD20" s="286"/>
    </row>
    <row r="21" spans="1:30" ht="15.75" customHeight="1">
      <c r="A21" s="314"/>
      <c r="B21" s="314"/>
      <c r="C21" s="317"/>
      <c r="D21" s="316"/>
      <c r="E21" s="320">
        <f t="shared" ref="E21:K21" si="9">$B20*E20</f>
        <v>13.785019969746717</v>
      </c>
      <c r="F21" s="320">
        <f t="shared" si="9"/>
        <v>6.2226350126857559</v>
      </c>
      <c r="G21" s="320">
        <f t="shared" si="9"/>
        <v>10.609531557763125</v>
      </c>
      <c r="H21" s="320">
        <f t="shared" si="9"/>
        <v>2.3526983119085099</v>
      </c>
      <c r="I21" s="320">
        <f t="shared" si="9"/>
        <v>7.2303284518689379</v>
      </c>
      <c r="J21" s="320">
        <f t="shared" si="9"/>
        <v>6.8256517474114426</v>
      </c>
      <c r="K21" s="320">
        <f t="shared" si="9"/>
        <v>7.9874566020830988</v>
      </c>
      <c r="L21" s="286"/>
      <c r="M21" s="286"/>
      <c r="N21" s="320">
        <f t="shared" si="0"/>
        <v>55.013321653467585</v>
      </c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</row>
    <row r="22" spans="1:30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CONSUMPTION!AV7</f>
        <v>0.29950750078381461</v>
      </c>
      <c r="F22" s="318">
        <f>CONSUMPTION!AV55</f>
        <v>0.30715499275099672</v>
      </c>
      <c r="G22" s="318">
        <f>CONSUMPTION!AV76</f>
        <v>0.44456517084867692</v>
      </c>
      <c r="H22" s="318">
        <f>CONSUMPTION!AV84</f>
        <v>0.18363787431520498</v>
      </c>
      <c r="I22" s="318">
        <f>CONSUMPTION!AV139</f>
        <v>0.14698237753684365</v>
      </c>
      <c r="J22" s="318">
        <f>CONSUMPTION!AV145</f>
        <v>0.32369685597329362</v>
      </c>
      <c r="K22" s="318">
        <f>CONSUMPTION!AV164</f>
        <v>0.26989408640616652</v>
      </c>
      <c r="L22" s="286"/>
      <c r="M22" s="286"/>
      <c r="N22" s="319">
        <f t="shared" si="0"/>
        <v>1.9754388586149969</v>
      </c>
      <c r="O22" s="286"/>
      <c r="P22" s="285" t="s">
        <v>392</v>
      </c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</row>
    <row r="23" spans="1:30" ht="15.75" customHeight="1">
      <c r="A23" s="314"/>
      <c r="B23" s="314"/>
      <c r="C23" s="317"/>
      <c r="D23" s="316"/>
      <c r="E23" s="320">
        <f t="shared" ref="E23:K23" si="10">$B22*E22</f>
        <v>798.78650459043354</v>
      </c>
      <c r="F23" s="320">
        <f t="shared" si="10"/>
        <v>819.18236566690825</v>
      </c>
      <c r="G23" s="320">
        <f t="shared" si="10"/>
        <v>1185.6553106534213</v>
      </c>
      <c r="H23" s="320">
        <f t="shared" si="10"/>
        <v>489.76221079865167</v>
      </c>
      <c r="I23" s="320">
        <f t="shared" si="10"/>
        <v>392.00200089076202</v>
      </c>
      <c r="J23" s="320">
        <f t="shared" si="10"/>
        <v>863.29951488077404</v>
      </c>
      <c r="K23" s="320">
        <f t="shared" si="10"/>
        <v>719.80752844524613</v>
      </c>
      <c r="L23" s="286"/>
      <c r="M23" s="286"/>
      <c r="N23" s="320">
        <f t="shared" si="0"/>
        <v>5268.4954359261974</v>
      </c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</row>
    <row r="24" spans="1:30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CONSUMPTION!BA7</f>
        <v>1.5165902295469242E-3</v>
      </c>
      <c r="F24" s="318">
        <f>CONSUMPTION!BA55</f>
        <v>4.9293222181949975E-3</v>
      </c>
      <c r="G24" s="318">
        <f>CONSUMPTION!BA76</f>
        <v>2.381818960349405E-3</v>
      </c>
      <c r="H24" s="318">
        <f>CONSUMPTION!BA84</f>
        <v>3.6009916439808977E-3</v>
      </c>
      <c r="I24" s="318">
        <f>CONSUMPTION!BA139</f>
        <v>4.5801120764725825E-3</v>
      </c>
      <c r="J24" s="318">
        <f>CONSUMPTION!BA145</f>
        <v>5.4787985167061891E-3</v>
      </c>
      <c r="K24" s="318">
        <f>CONSUMPTION!BA164</f>
        <v>1.6003198788606904E-3</v>
      </c>
      <c r="L24" s="286"/>
      <c r="M24" s="286"/>
      <c r="N24" s="319">
        <f t="shared" si="0"/>
        <v>2.4087953524111687E-2</v>
      </c>
      <c r="O24" s="286"/>
      <c r="P24" s="285" t="s">
        <v>393</v>
      </c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</row>
    <row r="25" spans="1:30" ht="15">
      <c r="A25" s="286"/>
      <c r="B25" s="286"/>
      <c r="C25" s="286"/>
      <c r="D25" s="316"/>
      <c r="E25" s="320">
        <f t="shared" ref="E25:K25" si="11">$B24*E24</f>
        <v>8.0379282165986971E-3</v>
      </c>
      <c r="F25" s="320">
        <f t="shared" si="11"/>
        <v>2.6125407756433485E-2</v>
      </c>
      <c r="G25" s="320">
        <f t="shared" si="11"/>
        <v>1.2623640489851847E-2</v>
      </c>
      <c r="H25" s="320">
        <f t="shared" si="11"/>
        <v>1.9085255713098756E-2</v>
      </c>
      <c r="I25" s="320">
        <f t="shared" si="11"/>
        <v>2.4274594005304687E-2</v>
      </c>
      <c r="J25" s="320">
        <f t="shared" si="11"/>
        <v>2.9037632138542803E-2</v>
      </c>
      <c r="K25" s="320">
        <f t="shared" si="11"/>
        <v>8.4816953579616595E-3</v>
      </c>
      <c r="L25" s="286"/>
      <c r="M25" s="286"/>
      <c r="N25" s="320">
        <f t="shared" si="0"/>
        <v>0.12766615367779194</v>
      </c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</row>
    <row r="26" spans="1:30" ht="15">
      <c r="A26" s="286"/>
      <c r="B26" s="321"/>
      <c r="C26" s="321"/>
      <c r="D26" s="322"/>
      <c r="F26" s="321"/>
      <c r="G26" s="321"/>
      <c r="H26" s="321"/>
      <c r="I26" s="321"/>
      <c r="J26" s="321"/>
      <c r="K26" s="321"/>
      <c r="L26" s="321"/>
      <c r="M26" s="321"/>
      <c r="N26" s="321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</row>
    <row r="27" spans="1:30" ht="15">
      <c r="A27" s="286"/>
      <c r="B27" s="321"/>
      <c r="C27" s="321"/>
      <c r="D27" s="322"/>
      <c r="E27" s="476">
        <f t="shared" ref="E27:K27" si="12">SUM(E3+E5+E7+E9+E11+E13+E15+E17+E19+E21+E23+E25)</f>
        <v>1356.6013405894846</v>
      </c>
      <c r="F27" s="476">
        <f t="shared" si="12"/>
        <v>1394.451825276368</v>
      </c>
      <c r="G27" s="476">
        <f t="shared" si="12"/>
        <v>1653.8972579643746</v>
      </c>
      <c r="H27" s="476">
        <f t="shared" si="12"/>
        <v>1145.3881808196602</v>
      </c>
      <c r="I27" s="476">
        <f t="shared" si="12"/>
        <v>1014.7813398655879</v>
      </c>
      <c r="J27" s="476">
        <f t="shared" si="12"/>
        <v>1363.2195356479078</v>
      </c>
      <c r="K27" s="476">
        <f t="shared" si="12"/>
        <v>1271.1094644713251</v>
      </c>
      <c r="L27" s="321"/>
      <c r="M27" s="321"/>
      <c r="N27" s="321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</row>
    <row r="28" spans="1:30" ht="15">
      <c r="A28" s="286"/>
      <c r="B28" s="286"/>
      <c r="C28" s="286"/>
      <c r="D28" s="316"/>
      <c r="E28" s="458">
        <f t="shared" ref="E28:K28" si="13">SUM(E4+E6+E8+E10+E12+E14+E16+E18+E20+E22+E24)</f>
        <v>0.99999999999999989</v>
      </c>
      <c r="F28" s="458">
        <f t="shared" si="13"/>
        <v>1</v>
      </c>
      <c r="G28" s="458">
        <f t="shared" si="13"/>
        <v>1.0000000000000002</v>
      </c>
      <c r="H28" s="458">
        <f t="shared" si="13"/>
        <v>1</v>
      </c>
      <c r="I28" s="458">
        <f t="shared" si="13"/>
        <v>0.99999999999999989</v>
      </c>
      <c r="J28" s="458">
        <f t="shared" si="13"/>
        <v>1</v>
      </c>
      <c r="K28" s="458">
        <f t="shared" si="13"/>
        <v>1</v>
      </c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</row>
    <row r="29" spans="1:30">
      <c r="A29" s="286"/>
      <c r="B29" s="311"/>
      <c r="C29" s="312"/>
      <c r="D29" s="313"/>
      <c r="I29" s="314"/>
      <c r="J29" s="312"/>
      <c r="K29" s="312"/>
      <c r="L29" s="286"/>
      <c r="M29" s="286"/>
      <c r="N29" s="285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>
      <c r="A30" s="286"/>
      <c r="B30" s="311"/>
      <c r="C30" s="312"/>
      <c r="D30" s="313"/>
      <c r="I30" s="314"/>
      <c r="J30" s="312"/>
      <c r="K30" s="312"/>
      <c r="L30" s="286"/>
      <c r="M30" s="286"/>
      <c r="N30" s="285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>
      <c r="A31" s="286"/>
      <c r="B31" s="311"/>
      <c r="C31" s="312"/>
      <c r="D31" s="31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>
      <c r="A32" s="314"/>
      <c r="B32" s="314"/>
      <c r="C32" s="317"/>
      <c r="D32" s="316"/>
      <c r="I32" s="286"/>
      <c r="J32" s="286"/>
      <c r="K32" s="286"/>
      <c r="L32" s="286"/>
      <c r="M32" s="286"/>
      <c r="N32" s="321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>
      <c r="A33" s="314"/>
      <c r="B33" s="314"/>
      <c r="C33" s="317"/>
      <c r="D33" s="316"/>
      <c r="E33" s="285" t="s">
        <v>328</v>
      </c>
      <c r="F33" s="286"/>
      <c r="G33" s="286"/>
      <c r="H33" s="286"/>
      <c r="I33" s="320"/>
      <c r="J33" s="285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>
      <c r="A34" s="314"/>
      <c r="B34" s="314"/>
      <c r="C34" s="317"/>
      <c r="D34" s="316"/>
      <c r="E34" s="287" t="s">
        <v>108</v>
      </c>
      <c r="F34" s="287" t="s">
        <v>109</v>
      </c>
      <c r="G34" s="287" t="s">
        <v>110</v>
      </c>
      <c r="H34" s="312"/>
      <c r="I34" s="286"/>
      <c r="J34" s="287"/>
      <c r="K34" s="287" t="s">
        <v>108</v>
      </c>
      <c r="L34" s="287"/>
      <c r="M34" s="287" t="s">
        <v>110</v>
      </c>
      <c r="N34" s="312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>
      <c r="A35" s="314"/>
      <c r="B35" s="314"/>
      <c r="C35" s="317"/>
      <c r="D35" s="316"/>
      <c r="E35" s="222" t="s">
        <v>123</v>
      </c>
      <c r="F35" s="222" t="s">
        <v>115</v>
      </c>
      <c r="G35" s="457">
        <f>E5</f>
        <v>5.2569953004772429</v>
      </c>
      <c r="H35" s="452">
        <v>0</v>
      </c>
      <c r="I35" s="477">
        <v>1</v>
      </c>
      <c r="N35" s="312"/>
      <c r="O35" s="286"/>
      <c r="P35" s="285" t="s">
        <v>394</v>
      </c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>
      <c r="A36" s="314"/>
      <c r="B36" s="314"/>
      <c r="C36" s="317"/>
      <c r="D36" s="316"/>
      <c r="E36" s="222" t="s">
        <v>123</v>
      </c>
      <c r="F36" s="222" t="s">
        <v>95</v>
      </c>
      <c r="G36" s="457">
        <f>F5</f>
        <v>5.0533934396520479</v>
      </c>
      <c r="H36" s="452">
        <v>0</v>
      </c>
      <c r="I36" s="477">
        <v>1</v>
      </c>
      <c r="N36" s="286"/>
      <c r="O36" s="286"/>
      <c r="P36" s="285" t="s">
        <v>395</v>
      </c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>
      <c r="A37" s="314"/>
      <c r="B37" s="314"/>
      <c r="C37" s="317"/>
      <c r="D37" s="316"/>
      <c r="E37" s="222" t="s">
        <v>123</v>
      </c>
      <c r="F37" s="222" t="s">
        <v>116</v>
      </c>
      <c r="G37" s="457">
        <f>G5</f>
        <v>3.1431446433159205</v>
      </c>
      <c r="H37" s="452">
        <v>0</v>
      </c>
      <c r="I37" s="477">
        <v>1</v>
      </c>
      <c r="N37" s="286"/>
      <c r="O37" s="286"/>
      <c r="P37" s="285" t="s">
        <v>396</v>
      </c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>
      <c r="A38" s="314"/>
      <c r="B38" s="314"/>
      <c r="C38" s="317"/>
      <c r="D38" s="316"/>
      <c r="E38" s="222" t="s">
        <v>123</v>
      </c>
      <c r="F38" s="222" t="s">
        <v>103</v>
      </c>
      <c r="G38" s="457">
        <f>H5</f>
        <v>13.082916297952535</v>
      </c>
      <c r="H38" s="452">
        <v>0</v>
      </c>
      <c r="I38" s="477">
        <v>1</v>
      </c>
      <c r="N38" s="320"/>
      <c r="O38" s="285"/>
      <c r="P38" s="285" t="s">
        <v>385</v>
      </c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>
      <c r="A39" s="314"/>
      <c r="B39" s="314"/>
      <c r="C39" s="317"/>
      <c r="D39" s="316"/>
      <c r="E39" s="222" t="s">
        <v>123</v>
      </c>
      <c r="F39" s="222" t="s">
        <v>117</v>
      </c>
      <c r="G39" s="457">
        <f>I5</f>
        <v>16.601144695645235</v>
      </c>
      <c r="H39" s="452">
        <v>0</v>
      </c>
      <c r="I39" s="477">
        <v>1</v>
      </c>
      <c r="N39" s="286"/>
      <c r="O39" s="286"/>
      <c r="P39" s="285" t="s">
        <v>397</v>
      </c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>
      <c r="A40" s="314"/>
      <c r="B40" s="314"/>
      <c r="C40" s="317"/>
      <c r="D40" s="316"/>
      <c r="E40" s="222" t="s">
        <v>123</v>
      </c>
      <c r="F40" s="222" t="s">
        <v>119</v>
      </c>
      <c r="G40" s="457">
        <f>J5</f>
        <v>12.740590689741829</v>
      </c>
      <c r="H40" s="452">
        <v>0</v>
      </c>
      <c r="I40" s="477">
        <v>1</v>
      </c>
      <c r="N40" s="320"/>
      <c r="O40" s="286"/>
      <c r="P40" s="285" t="s">
        <v>398</v>
      </c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>
      <c r="A41" s="314"/>
      <c r="B41" s="314"/>
      <c r="C41" s="317"/>
      <c r="D41" s="316"/>
      <c r="E41" s="222" t="s">
        <v>123</v>
      </c>
      <c r="F41" s="222" t="s">
        <v>121</v>
      </c>
      <c r="G41" s="457">
        <f>K5</f>
        <v>10.833612085793433</v>
      </c>
      <c r="H41" s="452">
        <v>0</v>
      </c>
      <c r="I41" s="477">
        <v>1</v>
      </c>
      <c r="N41" s="286"/>
      <c r="O41" s="286"/>
      <c r="P41" s="285" t="s">
        <v>399</v>
      </c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>
      <c r="A42" s="314"/>
      <c r="B42" s="314"/>
      <c r="C42" s="317"/>
      <c r="D42" s="316"/>
      <c r="E42" s="222" t="s">
        <v>114</v>
      </c>
      <c r="F42" s="222" t="s">
        <v>115</v>
      </c>
      <c r="G42" s="457">
        <f>E7</f>
        <v>224.63835128021191</v>
      </c>
      <c r="H42" s="452">
        <v>0</v>
      </c>
      <c r="I42" s="477">
        <v>1</v>
      </c>
      <c r="N42" s="312"/>
      <c r="O42" s="286"/>
      <c r="P42" s="285" t="s">
        <v>394</v>
      </c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>
      <c r="A43" s="314"/>
      <c r="B43" s="314"/>
      <c r="C43" s="317"/>
      <c r="D43" s="316"/>
      <c r="E43" s="222" t="s">
        <v>114</v>
      </c>
      <c r="F43" s="222" t="s">
        <v>95</v>
      </c>
      <c r="G43" s="457">
        <f>F7</f>
        <v>44.294275212939475</v>
      </c>
      <c r="H43" s="452">
        <v>0</v>
      </c>
      <c r="I43" s="477">
        <v>1</v>
      </c>
      <c r="N43" s="286"/>
      <c r="O43" s="286"/>
      <c r="P43" s="285" t="s">
        <v>395</v>
      </c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>
      <c r="A44" s="314"/>
      <c r="B44" s="314"/>
      <c r="C44" s="317"/>
      <c r="D44" s="316"/>
      <c r="E44" s="222" t="s">
        <v>114</v>
      </c>
      <c r="F44" s="222" t="s">
        <v>116</v>
      </c>
      <c r="G44" s="457">
        <f>G7</f>
        <v>84.179462832919413</v>
      </c>
      <c r="H44" s="452">
        <v>0</v>
      </c>
      <c r="I44" s="477">
        <v>1</v>
      </c>
      <c r="N44" s="320"/>
      <c r="O44" s="286"/>
      <c r="P44" s="285" t="s">
        <v>396</v>
      </c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>
      <c r="A45" s="314"/>
      <c r="B45" s="314"/>
      <c r="C45" s="317"/>
      <c r="D45" s="316"/>
      <c r="E45" s="222" t="s">
        <v>114</v>
      </c>
      <c r="F45" s="222" t="s">
        <v>103</v>
      </c>
      <c r="G45" s="457">
        <f>H7</f>
        <v>70.439191607503545</v>
      </c>
      <c r="H45" s="452">
        <v>0</v>
      </c>
      <c r="I45" s="477">
        <v>1</v>
      </c>
      <c r="N45" s="286"/>
      <c r="O45" s="286"/>
      <c r="P45" s="285" t="s">
        <v>385</v>
      </c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>
      <c r="A46" s="314"/>
      <c r="B46" s="314"/>
      <c r="C46" s="317"/>
      <c r="D46" s="316"/>
      <c r="E46" s="222" t="s">
        <v>114</v>
      </c>
      <c r="F46" s="222" t="s">
        <v>117</v>
      </c>
      <c r="G46" s="457">
        <f>I7</f>
        <v>74.490620409085764</v>
      </c>
      <c r="H46" s="452">
        <v>0</v>
      </c>
      <c r="I46" s="477">
        <v>1</v>
      </c>
      <c r="N46" s="320"/>
      <c r="O46" s="286"/>
      <c r="P46" s="285" t="s">
        <v>397</v>
      </c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>
      <c r="A47" s="314"/>
      <c r="B47" s="314"/>
      <c r="C47" s="317"/>
      <c r="D47" s="316"/>
      <c r="E47" s="222" t="s">
        <v>114</v>
      </c>
      <c r="F47" s="222" t="s">
        <v>119</v>
      </c>
      <c r="G47" s="457">
        <f>J7</f>
        <v>78.585829875333417</v>
      </c>
      <c r="H47" s="452">
        <v>0</v>
      </c>
      <c r="I47" s="477">
        <v>1</v>
      </c>
      <c r="N47" s="286"/>
      <c r="O47" s="286"/>
      <c r="P47" s="285" t="s">
        <v>398</v>
      </c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>
      <c r="A48" s="314"/>
      <c r="B48" s="314"/>
      <c r="C48" s="317"/>
      <c r="D48" s="316"/>
      <c r="E48" s="222" t="s">
        <v>114</v>
      </c>
      <c r="F48" s="222" t="s">
        <v>121</v>
      </c>
      <c r="G48" s="457">
        <f>K7</f>
        <v>70.405786790002679</v>
      </c>
      <c r="H48" s="452">
        <v>0</v>
      </c>
      <c r="I48" s="477">
        <v>1</v>
      </c>
      <c r="N48" s="320"/>
      <c r="O48" s="286"/>
      <c r="P48" s="285" t="s">
        <v>399</v>
      </c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>
      <c r="A49" s="314"/>
      <c r="B49" s="314"/>
      <c r="C49" s="317"/>
      <c r="D49" s="316"/>
      <c r="E49" s="222" t="s">
        <v>140</v>
      </c>
      <c r="F49" s="222" t="s">
        <v>115</v>
      </c>
      <c r="G49" s="457">
        <f>E9</f>
        <v>0.28609022029258302</v>
      </c>
      <c r="H49" s="452">
        <v>0</v>
      </c>
      <c r="I49" s="477">
        <v>1</v>
      </c>
      <c r="N49" s="312"/>
      <c r="O49" s="286"/>
      <c r="P49" s="285" t="s">
        <v>394</v>
      </c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>
      <c r="A50" s="314"/>
      <c r="B50" s="314"/>
      <c r="C50" s="317"/>
      <c r="D50" s="316"/>
      <c r="E50" s="222" t="s">
        <v>140</v>
      </c>
      <c r="F50" s="222" t="s">
        <v>95</v>
      </c>
      <c r="G50" s="457">
        <f>F9</f>
        <v>0.95286924610366075</v>
      </c>
      <c r="H50" s="452">
        <v>0</v>
      </c>
      <c r="I50" s="477">
        <v>1</v>
      </c>
      <c r="N50" s="320"/>
      <c r="O50" s="286"/>
      <c r="P50" s="285" t="s">
        <v>395</v>
      </c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>
      <c r="A51" s="314"/>
      <c r="B51" s="314"/>
      <c r="C51" s="317"/>
      <c r="D51" s="316"/>
      <c r="E51" s="222" t="s">
        <v>140</v>
      </c>
      <c r="F51" s="222" t="s">
        <v>116</v>
      </c>
      <c r="G51" s="457">
        <f>G9</f>
        <v>0.50760897490793877</v>
      </c>
      <c r="H51" s="452">
        <v>0</v>
      </c>
      <c r="I51" s="477">
        <v>1</v>
      </c>
      <c r="N51" s="286"/>
      <c r="O51" s="286"/>
      <c r="P51" s="285" t="s">
        <v>396</v>
      </c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>
      <c r="A52" s="314"/>
      <c r="B52" s="314"/>
      <c r="C52" s="317"/>
      <c r="D52" s="316"/>
      <c r="E52" s="222" t="s">
        <v>140</v>
      </c>
      <c r="F52" s="222" t="s">
        <v>103</v>
      </c>
      <c r="G52" s="457">
        <f>H9</f>
        <v>1.1397469011125598</v>
      </c>
      <c r="H52" s="452">
        <v>0</v>
      </c>
      <c r="I52" s="477">
        <v>1</v>
      </c>
      <c r="N52" s="320"/>
      <c r="O52" s="286"/>
      <c r="P52" s="285" t="s">
        <v>385</v>
      </c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15">
      <c r="A53" s="286"/>
      <c r="B53" s="286"/>
      <c r="C53" s="286"/>
      <c r="D53" s="316"/>
      <c r="E53" s="222" t="s">
        <v>140</v>
      </c>
      <c r="F53" s="222" t="s">
        <v>117</v>
      </c>
      <c r="G53" s="457">
        <f>I9</f>
        <v>1.5755259816662566</v>
      </c>
      <c r="H53" s="452">
        <v>0</v>
      </c>
      <c r="I53" s="477">
        <v>1</v>
      </c>
      <c r="N53" s="286"/>
      <c r="O53" s="286"/>
      <c r="P53" s="285" t="s">
        <v>397</v>
      </c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15">
      <c r="A54" s="286"/>
      <c r="B54" s="286"/>
      <c r="C54" s="286"/>
      <c r="D54" s="316"/>
      <c r="E54" s="222" t="s">
        <v>140</v>
      </c>
      <c r="F54" s="222" t="s">
        <v>119</v>
      </c>
      <c r="G54" s="457">
        <f>J9</f>
        <v>1.5099914405732136</v>
      </c>
      <c r="H54" s="452">
        <v>0</v>
      </c>
      <c r="I54" s="477">
        <v>1</v>
      </c>
      <c r="N54" s="320"/>
      <c r="O54" s="286"/>
      <c r="P54" s="285" t="s">
        <v>398</v>
      </c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15">
      <c r="A55" s="286"/>
      <c r="B55" s="286"/>
      <c r="C55" s="286"/>
      <c r="D55" s="316"/>
      <c r="E55" s="222" t="s">
        <v>140</v>
      </c>
      <c r="F55" s="222" t="s">
        <v>121</v>
      </c>
      <c r="G55" s="457">
        <f>K9</f>
        <v>1.3719359983117503</v>
      </c>
      <c r="H55" s="452">
        <v>0</v>
      </c>
      <c r="I55" s="477">
        <v>1</v>
      </c>
      <c r="N55" s="286"/>
      <c r="O55" s="286"/>
      <c r="P55" s="285" t="s">
        <v>399</v>
      </c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>
      <c r="A56" s="286"/>
      <c r="B56" s="286"/>
      <c r="C56" s="286"/>
      <c r="D56" s="316"/>
      <c r="E56" s="222" t="s">
        <v>71</v>
      </c>
      <c r="F56" s="222" t="s">
        <v>115</v>
      </c>
      <c r="G56" s="457">
        <f>E11</f>
        <v>2.2774664642302889</v>
      </c>
      <c r="H56" s="452">
        <v>0</v>
      </c>
      <c r="I56" s="477">
        <v>1</v>
      </c>
      <c r="N56" s="312"/>
      <c r="O56" s="286"/>
      <c r="P56" s="285" t="s">
        <v>394</v>
      </c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15">
      <c r="A57" s="286"/>
      <c r="B57" s="286"/>
      <c r="C57" s="286"/>
      <c r="D57" s="316"/>
      <c r="E57" s="222" t="s">
        <v>71</v>
      </c>
      <c r="F57" s="222" t="s">
        <v>95</v>
      </c>
      <c r="G57" s="457">
        <f>F11</f>
        <v>5.5166024827836173</v>
      </c>
      <c r="H57" s="452">
        <v>0</v>
      </c>
      <c r="I57" s="477">
        <v>1</v>
      </c>
      <c r="N57" s="286"/>
      <c r="O57" s="286"/>
      <c r="P57" s="285" t="s">
        <v>395</v>
      </c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15">
      <c r="A58" s="286"/>
      <c r="B58" s="286"/>
      <c r="C58" s="286"/>
      <c r="D58" s="316"/>
      <c r="E58" s="222" t="s">
        <v>71</v>
      </c>
      <c r="F58" s="222" t="s">
        <v>116</v>
      </c>
      <c r="G58" s="457">
        <f>G11</f>
        <v>0.78105463732122982</v>
      </c>
      <c r="H58" s="452">
        <v>0</v>
      </c>
      <c r="I58" s="477">
        <v>1</v>
      </c>
      <c r="N58" s="320"/>
      <c r="O58" s="286"/>
      <c r="P58" s="285" t="s">
        <v>396</v>
      </c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15">
      <c r="A59" s="286"/>
      <c r="B59" s="286"/>
      <c r="C59" s="286"/>
      <c r="D59" s="316"/>
      <c r="E59" s="222" t="s">
        <v>71</v>
      </c>
      <c r="F59" s="222" t="s">
        <v>103</v>
      </c>
      <c r="G59" s="457">
        <f>H11</f>
        <v>3.3431885271925248</v>
      </c>
      <c r="H59" s="452">
        <v>0</v>
      </c>
      <c r="I59" s="477">
        <v>1</v>
      </c>
      <c r="O59" s="286"/>
      <c r="P59" s="285" t="s">
        <v>385</v>
      </c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15">
      <c r="A60" s="286"/>
      <c r="B60" s="286"/>
      <c r="C60" s="286"/>
      <c r="D60" s="316"/>
      <c r="E60" s="222" t="s">
        <v>71</v>
      </c>
      <c r="F60" s="222" t="s">
        <v>117</v>
      </c>
      <c r="G60" s="457">
        <f>I11</f>
        <v>8.6510805474862558</v>
      </c>
      <c r="H60" s="452">
        <v>0</v>
      </c>
      <c r="I60" s="477">
        <v>1</v>
      </c>
      <c r="O60" s="286"/>
      <c r="P60" s="285" t="s">
        <v>397</v>
      </c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15">
      <c r="A61" s="286"/>
      <c r="B61" s="286"/>
      <c r="C61" s="286"/>
      <c r="D61" s="316"/>
      <c r="E61" s="222" t="s">
        <v>71</v>
      </c>
      <c r="F61" s="222" t="s">
        <v>119</v>
      </c>
      <c r="G61" s="457">
        <f>J11</f>
        <v>4.2581222071840505</v>
      </c>
      <c r="H61" s="452">
        <v>0</v>
      </c>
      <c r="I61" s="477">
        <v>1</v>
      </c>
      <c r="O61" s="286"/>
      <c r="P61" s="285" t="s">
        <v>398</v>
      </c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15">
      <c r="A62" s="286"/>
      <c r="B62" s="286"/>
      <c r="C62" s="286"/>
      <c r="D62" s="316"/>
      <c r="E62" s="222" t="s">
        <v>71</v>
      </c>
      <c r="F62" s="222" t="s">
        <v>121</v>
      </c>
      <c r="G62" s="457">
        <f>K11</f>
        <v>6.9187280002295424</v>
      </c>
      <c r="H62" s="452">
        <v>0</v>
      </c>
      <c r="I62" s="477">
        <v>1</v>
      </c>
      <c r="O62" s="286"/>
      <c r="P62" s="285" t="s">
        <v>399</v>
      </c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>
      <c r="A63" s="286"/>
      <c r="B63" s="286"/>
      <c r="C63" s="286"/>
      <c r="D63" s="316"/>
      <c r="E63" s="222" t="s">
        <v>125</v>
      </c>
      <c r="F63" s="222" t="s">
        <v>115</v>
      </c>
      <c r="G63" s="457">
        <f>E13</f>
        <v>73.131439689457949</v>
      </c>
      <c r="H63" s="452">
        <v>0</v>
      </c>
      <c r="I63" s="477">
        <v>1</v>
      </c>
      <c r="N63" s="312"/>
      <c r="O63" s="286"/>
      <c r="P63" s="285" t="s">
        <v>394</v>
      </c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15">
      <c r="A64" s="286"/>
      <c r="B64" s="286"/>
      <c r="C64" s="286"/>
      <c r="D64" s="316"/>
      <c r="E64" s="222" t="s">
        <v>125</v>
      </c>
      <c r="F64" s="222" t="s">
        <v>95</v>
      </c>
      <c r="G64" s="457">
        <f>F13</f>
        <v>108.34276232330554</v>
      </c>
      <c r="H64" s="452">
        <v>0</v>
      </c>
      <c r="I64" s="477">
        <v>1</v>
      </c>
      <c r="O64" s="286"/>
      <c r="P64" s="285" t="s">
        <v>395</v>
      </c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15">
      <c r="A65" s="286"/>
      <c r="B65" s="286"/>
      <c r="C65" s="286"/>
      <c r="D65" s="316"/>
      <c r="E65" s="222" t="s">
        <v>125</v>
      </c>
      <c r="F65" s="222" t="s">
        <v>116</v>
      </c>
      <c r="G65" s="457">
        <f>G13</f>
        <v>126.03836601866918</v>
      </c>
      <c r="H65" s="452">
        <v>0</v>
      </c>
      <c r="I65" s="477">
        <v>1</v>
      </c>
      <c r="O65" s="286"/>
      <c r="P65" s="285" t="s">
        <v>396</v>
      </c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</row>
    <row r="66" spans="1:30" ht="15">
      <c r="A66" s="286"/>
      <c r="B66" s="286"/>
      <c r="C66" s="286"/>
      <c r="D66" s="316"/>
      <c r="E66" s="222" t="s">
        <v>125</v>
      </c>
      <c r="F66" s="222" t="s">
        <v>103</v>
      </c>
      <c r="G66" s="457">
        <f>H13</f>
        <v>242.39265561987887</v>
      </c>
      <c r="H66" s="452">
        <v>0</v>
      </c>
      <c r="I66" s="477">
        <v>1</v>
      </c>
      <c r="O66" s="286"/>
      <c r="P66" s="285" t="s">
        <v>385</v>
      </c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 ht="15">
      <c r="A67" s="286"/>
      <c r="B67" s="286"/>
      <c r="C67" s="286"/>
      <c r="D67" s="316"/>
      <c r="E67" s="222" t="s">
        <v>125</v>
      </c>
      <c r="F67" s="222" t="s">
        <v>117</v>
      </c>
      <c r="G67" s="457">
        <f>I13</f>
        <v>246.97278522664573</v>
      </c>
      <c r="H67" s="452">
        <v>0</v>
      </c>
      <c r="I67" s="477">
        <v>1</v>
      </c>
      <c r="O67" s="286"/>
      <c r="P67" s="285" t="s">
        <v>397</v>
      </c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 ht="15">
      <c r="A68" s="286"/>
      <c r="B68" s="286"/>
      <c r="C68" s="286"/>
      <c r="D68" s="316"/>
      <c r="E68" s="222" t="s">
        <v>125</v>
      </c>
      <c r="F68" s="222" t="s">
        <v>119</v>
      </c>
      <c r="G68" s="457">
        <f>J13</f>
        <v>51.805439509344566</v>
      </c>
      <c r="H68" s="452">
        <v>0</v>
      </c>
      <c r="I68" s="477">
        <v>1</v>
      </c>
      <c r="O68" s="286"/>
      <c r="P68" s="285" t="s">
        <v>398</v>
      </c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 ht="15">
      <c r="A69" s="286"/>
      <c r="B69" s="286"/>
      <c r="C69" s="286"/>
      <c r="D69" s="316"/>
      <c r="E69" s="222" t="s">
        <v>125</v>
      </c>
      <c r="F69" s="222" t="s">
        <v>121</v>
      </c>
      <c r="G69" s="457">
        <f>K13</f>
        <v>171.60802992200175</v>
      </c>
      <c r="H69" s="452">
        <v>0</v>
      </c>
      <c r="I69" s="477">
        <v>1</v>
      </c>
      <c r="O69" s="286"/>
      <c r="P69" s="285" t="s">
        <v>399</v>
      </c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316"/>
      <c r="E70" s="222" t="s">
        <v>72</v>
      </c>
      <c r="F70" s="222" t="s">
        <v>115</v>
      </c>
      <c r="G70" s="457">
        <f>E15</f>
        <v>4.149394233255391</v>
      </c>
      <c r="H70" s="452">
        <v>0</v>
      </c>
      <c r="I70" s="477">
        <v>1</v>
      </c>
      <c r="N70" s="312"/>
      <c r="O70" s="286"/>
      <c r="P70" s="285" t="s">
        <v>394</v>
      </c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 ht="15">
      <c r="A71" s="286"/>
      <c r="B71" s="286"/>
      <c r="C71" s="286"/>
      <c r="D71" s="316"/>
      <c r="E71" s="222" t="s">
        <v>72</v>
      </c>
      <c r="F71" s="222" t="s">
        <v>95</v>
      </c>
      <c r="G71" s="457">
        <f>F15</f>
        <v>3.4420646067415723</v>
      </c>
      <c r="H71" s="452">
        <v>0</v>
      </c>
      <c r="I71" s="477">
        <v>1</v>
      </c>
      <c r="O71" s="286"/>
      <c r="P71" s="285" t="s">
        <v>395</v>
      </c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 ht="15">
      <c r="A72" s="286"/>
      <c r="B72" s="286"/>
      <c r="C72" s="286"/>
      <c r="D72" s="316"/>
      <c r="E72" s="222" t="s">
        <v>72</v>
      </c>
      <c r="F72" s="222" t="s">
        <v>116</v>
      </c>
      <c r="G72" s="457">
        <f>G15</f>
        <v>2.9667294681853216</v>
      </c>
      <c r="H72" s="452">
        <v>0</v>
      </c>
      <c r="I72" s="477">
        <v>1</v>
      </c>
      <c r="O72" s="286"/>
      <c r="P72" s="285" t="s">
        <v>396</v>
      </c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 ht="15">
      <c r="A73" s="286"/>
      <c r="B73" s="286"/>
      <c r="C73" s="286"/>
      <c r="D73" s="316"/>
      <c r="E73" s="222" t="s">
        <v>72</v>
      </c>
      <c r="F73" s="222" t="s">
        <v>103</v>
      </c>
      <c r="G73" s="457">
        <f>H15</f>
        <v>3.7375399393394915</v>
      </c>
      <c r="H73" s="452">
        <v>0</v>
      </c>
      <c r="I73" s="477">
        <v>1</v>
      </c>
      <c r="O73" s="286"/>
      <c r="P73" s="285" t="s">
        <v>385</v>
      </c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 ht="15">
      <c r="A74" s="286"/>
      <c r="B74" s="286"/>
      <c r="C74" s="286"/>
      <c r="D74" s="316"/>
      <c r="E74" s="222" t="s">
        <v>72</v>
      </c>
      <c r="F74" s="222" t="s">
        <v>117</v>
      </c>
      <c r="G74" s="457">
        <f>I15</f>
        <v>4.6170388146217913</v>
      </c>
      <c r="H74" s="452">
        <v>0</v>
      </c>
      <c r="I74" s="477">
        <v>1</v>
      </c>
      <c r="O74" s="286"/>
      <c r="P74" s="285" t="s">
        <v>397</v>
      </c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 ht="15">
      <c r="A75" s="286"/>
      <c r="B75" s="286"/>
      <c r="C75" s="286"/>
      <c r="D75" s="316"/>
      <c r="E75" s="222" t="s">
        <v>72</v>
      </c>
      <c r="F75" s="222" t="s">
        <v>119</v>
      </c>
      <c r="G75" s="457">
        <f>J15</f>
        <v>10.570190488703727</v>
      </c>
      <c r="H75" s="452">
        <v>0</v>
      </c>
      <c r="I75" s="477">
        <v>1</v>
      </c>
      <c r="O75" s="286"/>
      <c r="P75" s="285" t="s">
        <v>398</v>
      </c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</row>
    <row r="76" spans="1:30" ht="15">
      <c r="A76" s="286"/>
      <c r="B76" s="286"/>
      <c r="C76" s="286"/>
      <c r="D76" s="316"/>
      <c r="E76" s="222" t="s">
        <v>72</v>
      </c>
      <c r="F76" s="222" t="s">
        <v>121</v>
      </c>
      <c r="G76" s="457">
        <f>K15</f>
        <v>3.132110154580348</v>
      </c>
      <c r="H76" s="452">
        <v>0</v>
      </c>
      <c r="I76" s="477">
        <v>1</v>
      </c>
      <c r="O76" s="286"/>
      <c r="P76" s="285" t="s">
        <v>399</v>
      </c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</row>
    <row r="77" spans="1:30">
      <c r="A77" s="286"/>
      <c r="B77" s="286"/>
      <c r="C77" s="286"/>
      <c r="D77" s="316"/>
      <c r="E77" s="222" t="s">
        <v>66</v>
      </c>
      <c r="F77" s="222" t="s">
        <v>115</v>
      </c>
      <c r="G77" s="457">
        <f>E17</f>
        <v>104.12407099033227</v>
      </c>
      <c r="H77" s="452">
        <v>0</v>
      </c>
      <c r="I77" s="477">
        <v>1</v>
      </c>
      <c r="N77" s="312"/>
      <c r="O77" s="286"/>
      <c r="P77" s="285" t="s">
        <v>394</v>
      </c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  <c r="AD77" s="286"/>
    </row>
    <row r="78" spans="1:30" ht="15">
      <c r="A78" s="286"/>
      <c r="B78" s="286"/>
      <c r="C78" s="286"/>
      <c r="D78" s="316"/>
      <c r="E78" s="222" t="s">
        <v>66</v>
      </c>
      <c r="F78" s="222" t="s">
        <v>95</v>
      </c>
      <c r="G78" s="457">
        <f>F17</f>
        <v>248.16790503805726</v>
      </c>
      <c r="H78" s="452">
        <v>0</v>
      </c>
      <c r="I78" s="477">
        <v>1</v>
      </c>
      <c r="O78" s="286"/>
      <c r="P78" s="285" t="s">
        <v>395</v>
      </c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</row>
    <row r="79" spans="1:30" ht="15">
      <c r="A79" s="286"/>
      <c r="B79" s="286"/>
      <c r="C79" s="286"/>
      <c r="D79" s="316"/>
      <c r="E79" s="222" t="s">
        <v>66</v>
      </c>
      <c r="F79" s="222" t="s">
        <v>116</v>
      </c>
      <c r="G79" s="457">
        <f>G17</f>
        <v>159.56399332020212</v>
      </c>
      <c r="H79" s="452">
        <v>0</v>
      </c>
      <c r="I79" s="477">
        <v>1</v>
      </c>
      <c r="O79" s="286"/>
      <c r="P79" s="285" t="s">
        <v>396</v>
      </c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  <c r="AD79" s="286"/>
    </row>
    <row r="80" spans="1:30" ht="15">
      <c r="A80" s="286"/>
      <c r="B80" s="286"/>
      <c r="C80" s="286"/>
      <c r="D80" s="316"/>
      <c r="E80" s="222" t="s">
        <v>66</v>
      </c>
      <c r="F80" s="222" t="s">
        <v>103</v>
      </c>
      <c r="G80" s="457">
        <f>H17</f>
        <v>206.50565466741423</v>
      </c>
      <c r="H80" s="452">
        <v>0</v>
      </c>
      <c r="I80" s="477">
        <v>1</v>
      </c>
      <c r="O80" s="286"/>
      <c r="P80" s="285" t="s">
        <v>385</v>
      </c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</row>
    <row r="81" spans="1:30" ht="15">
      <c r="A81" s="286"/>
      <c r="B81" s="286"/>
      <c r="C81" s="286"/>
      <c r="D81" s="316"/>
      <c r="E81" s="222" t="s">
        <v>66</v>
      </c>
      <c r="F81" s="222" t="s">
        <v>117</v>
      </c>
      <c r="G81" s="457">
        <f>I17</f>
        <v>161.4929569974673</v>
      </c>
      <c r="H81" s="452">
        <v>0</v>
      </c>
      <c r="I81" s="477">
        <v>1</v>
      </c>
      <c r="O81" s="286"/>
      <c r="P81" s="285" t="s">
        <v>397</v>
      </c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</row>
    <row r="82" spans="1:30" ht="15">
      <c r="A82" s="286"/>
      <c r="B82" s="286"/>
      <c r="C82" s="286"/>
      <c r="D82" s="316"/>
      <c r="E82" s="222" t="s">
        <v>66</v>
      </c>
      <c r="F82" s="222" t="s">
        <v>119</v>
      </c>
      <c r="G82" s="457">
        <f>J17</f>
        <v>228.31180295204555</v>
      </c>
      <c r="H82" s="452">
        <v>0</v>
      </c>
      <c r="I82" s="477">
        <v>1</v>
      </c>
      <c r="O82" s="286"/>
      <c r="P82" s="285" t="s">
        <v>398</v>
      </c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</row>
    <row r="83" spans="1:30" ht="15">
      <c r="A83" s="286"/>
      <c r="B83" s="286"/>
      <c r="C83" s="286"/>
      <c r="D83" s="316"/>
      <c r="E83" s="222" t="s">
        <v>66</v>
      </c>
      <c r="F83" s="222" t="s">
        <v>121</v>
      </c>
      <c r="G83" s="457">
        <f>K17</f>
        <v>135.52251971244218</v>
      </c>
      <c r="H83" s="452">
        <v>0</v>
      </c>
      <c r="I83" s="477">
        <v>1</v>
      </c>
      <c r="O83" s="286"/>
      <c r="P83" s="285" t="s">
        <v>399</v>
      </c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</row>
    <row r="84" spans="1:30">
      <c r="A84" s="286"/>
      <c r="B84" s="286"/>
      <c r="C84" s="286"/>
      <c r="D84" s="316"/>
      <c r="E84" s="222" t="s">
        <v>67</v>
      </c>
      <c r="F84" s="222" t="s">
        <v>115</v>
      </c>
      <c r="G84" s="457">
        <f>E19</f>
        <v>130.15796992283001</v>
      </c>
      <c r="H84" s="452">
        <v>0</v>
      </c>
      <c r="I84" s="477">
        <v>1</v>
      </c>
      <c r="N84" s="312"/>
      <c r="O84" s="286"/>
      <c r="P84" s="285" t="s">
        <v>394</v>
      </c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</row>
    <row r="85" spans="1:30" ht="15">
      <c r="A85" s="286"/>
      <c r="B85" s="286"/>
      <c r="C85" s="286"/>
      <c r="D85" s="316"/>
      <c r="E85" s="222" t="s">
        <v>67</v>
      </c>
      <c r="F85" s="222" t="s">
        <v>95</v>
      </c>
      <c r="G85" s="457">
        <f>F19</f>
        <v>153.25082683943458</v>
      </c>
      <c r="H85" s="452">
        <v>0</v>
      </c>
      <c r="I85" s="477">
        <v>1</v>
      </c>
      <c r="O85" s="286"/>
      <c r="P85" s="285" t="s">
        <v>395</v>
      </c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15">
      <c r="A86" s="286"/>
      <c r="B86" s="286"/>
      <c r="C86" s="286"/>
      <c r="D86" s="316"/>
      <c r="E86" s="222" t="s">
        <v>67</v>
      </c>
      <c r="F86" s="222" t="s">
        <v>116</v>
      </c>
      <c r="G86" s="457">
        <f>G19</f>
        <v>80.439432217179089</v>
      </c>
      <c r="H86" s="452">
        <v>0</v>
      </c>
      <c r="I86" s="477">
        <v>1</v>
      </c>
      <c r="O86" s="286"/>
      <c r="P86" s="285" t="s">
        <v>396</v>
      </c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 ht="15">
      <c r="A87" s="286"/>
      <c r="B87" s="286"/>
      <c r="C87" s="286"/>
      <c r="D87" s="316"/>
      <c r="E87" s="222" t="s">
        <v>67</v>
      </c>
      <c r="F87" s="222" t="s">
        <v>103</v>
      </c>
      <c r="G87" s="457">
        <f>H19</f>
        <v>112.613292892993</v>
      </c>
      <c r="H87" s="452">
        <v>0</v>
      </c>
      <c r="I87" s="477">
        <v>1</v>
      </c>
      <c r="O87" s="286"/>
      <c r="P87" s="285" t="s">
        <v>385</v>
      </c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  <row r="88" spans="1:30" ht="15">
      <c r="A88" s="286"/>
      <c r="B88" s="286"/>
      <c r="C88" s="286"/>
      <c r="D88" s="316"/>
      <c r="E88" s="222" t="s">
        <v>67</v>
      </c>
      <c r="F88" s="222" t="s">
        <v>117</v>
      </c>
      <c r="G88" s="457">
        <f>I19</f>
        <v>101.12358325633338</v>
      </c>
      <c r="H88" s="452">
        <v>0</v>
      </c>
      <c r="I88" s="477">
        <v>1</v>
      </c>
      <c r="O88" s="286"/>
      <c r="P88" s="285" t="s">
        <v>397</v>
      </c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</row>
    <row r="89" spans="1:30" ht="15">
      <c r="A89" s="286"/>
      <c r="B89" s="286"/>
      <c r="C89" s="286"/>
      <c r="D89" s="316"/>
      <c r="E89" s="222" t="s">
        <v>67</v>
      </c>
      <c r="F89" s="222" t="s">
        <v>119</v>
      </c>
      <c r="G89" s="457">
        <f>J19</f>
        <v>105.28336422465755</v>
      </c>
      <c r="H89" s="452">
        <v>0</v>
      </c>
      <c r="I89" s="477">
        <v>1</v>
      </c>
      <c r="O89" s="286"/>
      <c r="P89" s="285" t="s">
        <v>398</v>
      </c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</row>
    <row r="90" spans="1:30" ht="15">
      <c r="A90" s="286"/>
      <c r="B90" s="286"/>
      <c r="C90" s="286"/>
      <c r="D90" s="316"/>
      <c r="E90" s="222" t="s">
        <v>67</v>
      </c>
      <c r="F90" s="222" t="s">
        <v>121</v>
      </c>
      <c r="G90" s="457">
        <f>K19</f>
        <v>143.51327506527619</v>
      </c>
      <c r="H90" s="452">
        <v>0</v>
      </c>
      <c r="I90" s="477">
        <v>1</v>
      </c>
      <c r="O90" s="286"/>
      <c r="P90" s="285" t="s">
        <v>399</v>
      </c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</row>
    <row r="91" spans="1:30">
      <c r="A91" s="286"/>
      <c r="B91" s="286"/>
      <c r="C91" s="286"/>
      <c r="D91" s="316"/>
      <c r="E91" s="222" t="s">
        <v>141</v>
      </c>
      <c r="F91" s="222" t="s">
        <v>115</v>
      </c>
      <c r="G91" s="457">
        <f>E21</f>
        <v>13.785019969746717</v>
      </c>
      <c r="H91" s="452">
        <v>0</v>
      </c>
      <c r="I91" s="477">
        <v>1</v>
      </c>
      <c r="N91" s="312"/>
      <c r="O91" s="286"/>
      <c r="P91" s="285" t="s">
        <v>394</v>
      </c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</row>
    <row r="92" spans="1:30" ht="15">
      <c r="A92" s="286"/>
      <c r="B92" s="286"/>
      <c r="C92" s="286"/>
      <c r="D92" s="316"/>
      <c r="E92" s="222" t="s">
        <v>141</v>
      </c>
      <c r="F92" s="222" t="s">
        <v>95</v>
      </c>
      <c r="G92" s="457">
        <f>F21</f>
        <v>6.2226350126857559</v>
      </c>
      <c r="H92" s="452">
        <v>0</v>
      </c>
      <c r="I92" s="477">
        <v>1</v>
      </c>
      <c r="O92" s="286"/>
      <c r="P92" s="285" t="s">
        <v>395</v>
      </c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</row>
    <row r="93" spans="1:30" ht="15">
      <c r="A93" s="286"/>
      <c r="B93" s="286"/>
      <c r="C93" s="286"/>
      <c r="D93" s="316"/>
      <c r="E93" s="222" t="s">
        <v>141</v>
      </c>
      <c r="F93" s="222" t="s">
        <v>116</v>
      </c>
      <c r="G93" s="457">
        <f>G21</f>
        <v>10.609531557763125</v>
      </c>
      <c r="H93" s="452">
        <v>0</v>
      </c>
      <c r="I93" s="477">
        <v>1</v>
      </c>
      <c r="O93" s="286"/>
      <c r="P93" s="285" t="s">
        <v>396</v>
      </c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</row>
    <row r="94" spans="1:30" ht="15">
      <c r="A94" s="286"/>
      <c r="B94" s="286"/>
      <c r="C94" s="286"/>
      <c r="D94" s="316"/>
      <c r="E94" s="222" t="s">
        <v>141</v>
      </c>
      <c r="F94" s="222" t="s">
        <v>103</v>
      </c>
      <c r="G94" s="457">
        <f>H21</f>
        <v>2.3526983119085099</v>
      </c>
      <c r="H94" s="452">
        <v>0</v>
      </c>
      <c r="I94" s="477">
        <v>1</v>
      </c>
      <c r="O94" s="286"/>
      <c r="P94" s="285" t="s">
        <v>385</v>
      </c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</row>
    <row r="95" spans="1:30" ht="15">
      <c r="A95" s="286"/>
      <c r="B95" s="286"/>
      <c r="C95" s="286"/>
      <c r="D95" s="316"/>
      <c r="E95" s="222" t="s">
        <v>141</v>
      </c>
      <c r="F95" s="222" t="s">
        <v>117</v>
      </c>
      <c r="G95" s="457">
        <f>I21</f>
        <v>7.2303284518689379</v>
      </c>
      <c r="H95" s="452">
        <v>0</v>
      </c>
      <c r="I95" s="477">
        <v>1</v>
      </c>
      <c r="O95" s="286"/>
      <c r="P95" s="285" t="s">
        <v>397</v>
      </c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</row>
    <row r="96" spans="1:30" ht="15">
      <c r="A96" s="286"/>
      <c r="B96" s="286"/>
      <c r="C96" s="286"/>
      <c r="D96" s="316"/>
      <c r="E96" s="222" t="s">
        <v>141</v>
      </c>
      <c r="F96" s="222" t="s">
        <v>119</v>
      </c>
      <c r="G96" s="457">
        <f>J21</f>
        <v>6.8256517474114426</v>
      </c>
      <c r="H96" s="452">
        <v>0</v>
      </c>
      <c r="I96" s="477">
        <v>1</v>
      </c>
      <c r="O96" s="286"/>
      <c r="P96" s="285" t="s">
        <v>398</v>
      </c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</row>
    <row r="97" spans="1:30" ht="15">
      <c r="A97" s="286"/>
      <c r="B97" s="286"/>
      <c r="C97" s="286"/>
      <c r="D97" s="316"/>
      <c r="E97" s="222" t="s">
        <v>141</v>
      </c>
      <c r="F97" s="222" t="s">
        <v>121</v>
      </c>
      <c r="G97" s="457">
        <f>K21</f>
        <v>7.9874566020830988</v>
      </c>
      <c r="H97" s="452">
        <v>0</v>
      </c>
      <c r="I97" s="477">
        <v>1</v>
      </c>
      <c r="O97" s="286"/>
      <c r="P97" s="285" t="s">
        <v>399</v>
      </c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</row>
    <row r="98" spans="1:30">
      <c r="A98" s="286"/>
      <c r="B98" s="286"/>
      <c r="C98" s="286"/>
      <c r="D98" s="316"/>
      <c r="E98" s="222" t="s">
        <v>65</v>
      </c>
      <c r="F98" s="222" t="s">
        <v>115</v>
      </c>
      <c r="G98" s="457">
        <f>E23</f>
        <v>798.78650459043354</v>
      </c>
      <c r="H98" s="452">
        <v>0</v>
      </c>
      <c r="I98" s="477">
        <v>1</v>
      </c>
      <c r="N98" s="312"/>
      <c r="O98" s="286"/>
      <c r="P98" s="285" t="s">
        <v>394</v>
      </c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</row>
    <row r="99" spans="1:30" ht="15">
      <c r="A99" s="286"/>
      <c r="B99" s="286"/>
      <c r="C99" s="286"/>
      <c r="D99" s="316"/>
      <c r="E99" s="222" t="s">
        <v>65</v>
      </c>
      <c r="F99" s="222" t="s">
        <v>95</v>
      </c>
      <c r="G99" s="457">
        <f>F23</f>
        <v>819.18236566690825</v>
      </c>
      <c r="H99" s="452">
        <v>0</v>
      </c>
      <c r="I99" s="477">
        <v>1</v>
      </c>
      <c r="O99" s="286"/>
      <c r="P99" s="285" t="s">
        <v>395</v>
      </c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</row>
    <row r="100" spans="1:30" ht="15">
      <c r="A100" s="286"/>
      <c r="B100" s="286"/>
      <c r="C100" s="286"/>
      <c r="D100" s="316"/>
      <c r="E100" s="222" t="s">
        <v>65</v>
      </c>
      <c r="F100" s="222" t="s">
        <v>116</v>
      </c>
      <c r="G100" s="457">
        <f>G23</f>
        <v>1185.6553106534213</v>
      </c>
      <c r="H100" s="452">
        <v>0</v>
      </c>
      <c r="I100" s="477">
        <v>1</v>
      </c>
      <c r="O100" s="286"/>
      <c r="P100" s="285" t="s">
        <v>396</v>
      </c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</row>
    <row r="101" spans="1:30" ht="15">
      <c r="A101" s="286"/>
      <c r="B101" s="286"/>
      <c r="C101" s="286"/>
      <c r="D101" s="316"/>
      <c r="E101" s="222" t="s">
        <v>65</v>
      </c>
      <c r="F101" s="222" t="s">
        <v>103</v>
      </c>
      <c r="G101" s="457">
        <f>H23</f>
        <v>489.76221079865167</v>
      </c>
      <c r="H101" s="452">
        <v>0</v>
      </c>
      <c r="I101" s="477">
        <v>1</v>
      </c>
      <c r="O101" s="286"/>
      <c r="P101" s="285" t="s">
        <v>385</v>
      </c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</row>
    <row r="102" spans="1:30" ht="15">
      <c r="A102" s="286"/>
      <c r="B102" s="286"/>
      <c r="C102" s="286"/>
      <c r="D102" s="316"/>
      <c r="E102" s="222" t="s">
        <v>65</v>
      </c>
      <c r="F102" s="222" t="s">
        <v>117</v>
      </c>
      <c r="G102" s="457">
        <f>I23</f>
        <v>392.00200089076202</v>
      </c>
      <c r="H102" s="452">
        <v>0</v>
      </c>
      <c r="I102" s="477">
        <v>1</v>
      </c>
      <c r="O102" s="286"/>
      <c r="P102" s="285" t="s">
        <v>397</v>
      </c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</row>
    <row r="103" spans="1:30" ht="15">
      <c r="A103" s="286"/>
      <c r="B103" s="286"/>
      <c r="C103" s="286"/>
      <c r="D103" s="316"/>
      <c r="E103" s="222" t="s">
        <v>65</v>
      </c>
      <c r="F103" s="222" t="s">
        <v>119</v>
      </c>
      <c r="G103" s="457">
        <f>J23</f>
        <v>863.29951488077404</v>
      </c>
      <c r="H103" s="452">
        <v>0</v>
      </c>
      <c r="I103" s="477">
        <v>1</v>
      </c>
      <c r="O103" s="286"/>
      <c r="P103" s="285" t="s">
        <v>398</v>
      </c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</row>
    <row r="104" spans="1:30" ht="15">
      <c r="A104" s="286"/>
      <c r="B104" s="286"/>
      <c r="C104" s="286"/>
      <c r="D104" s="316"/>
      <c r="E104" s="222" t="s">
        <v>65</v>
      </c>
      <c r="F104" s="222" t="s">
        <v>121</v>
      </c>
      <c r="G104" s="457">
        <f>K23</f>
        <v>719.80752844524613</v>
      </c>
      <c r="H104" s="452">
        <v>0</v>
      </c>
      <c r="I104" s="477">
        <v>1</v>
      </c>
      <c r="O104" s="286"/>
      <c r="P104" s="285" t="s">
        <v>399</v>
      </c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</row>
    <row r="105" spans="1:30">
      <c r="A105" s="286"/>
      <c r="B105" s="286"/>
      <c r="C105" s="286"/>
      <c r="D105" s="316"/>
      <c r="E105" s="222" t="s">
        <v>76</v>
      </c>
      <c r="F105" s="222" t="s">
        <v>115</v>
      </c>
      <c r="G105" s="457">
        <f>E25</f>
        <v>8.0379282165986971E-3</v>
      </c>
      <c r="H105" s="452">
        <v>0</v>
      </c>
      <c r="I105" s="477">
        <v>1</v>
      </c>
      <c r="N105" s="312"/>
      <c r="O105" s="286"/>
      <c r="P105" s="285" t="s">
        <v>394</v>
      </c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</row>
    <row r="106" spans="1:30" ht="15">
      <c r="A106" s="286"/>
      <c r="B106" s="286"/>
      <c r="C106" s="286"/>
      <c r="D106" s="316"/>
      <c r="E106" s="222" t="s">
        <v>76</v>
      </c>
      <c r="F106" s="222" t="s">
        <v>95</v>
      </c>
      <c r="G106" s="457">
        <f>F25</f>
        <v>2.6125407756433485E-2</v>
      </c>
      <c r="H106" s="452">
        <v>0</v>
      </c>
      <c r="I106" s="477">
        <v>1</v>
      </c>
      <c r="O106" s="286"/>
      <c r="P106" s="285" t="s">
        <v>395</v>
      </c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</row>
    <row r="107" spans="1:30" ht="15">
      <c r="A107" s="286"/>
      <c r="B107" s="286"/>
      <c r="C107" s="286"/>
      <c r="D107" s="316"/>
      <c r="E107" s="222" t="s">
        <v>76</v>
      </c>
      <c r="F107" s="222" t="s">
        <v>116</v>
      </c>
      <c r="G107" s="457">
        <f>G25</f>
        <v>1.2623640489851847E-2</v>
      </c>
      <c r="H107" s="452">
        <v>0</v>
      </c>
      <c r="I107" s="477">
        <v>1</v>
      </c>
      <c r="O107" s="286"/>
      <c r="P107" s="285" t="s">
        <v>396</v>
      </c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</row>
    <row r="108" spans="1:30" ht="15">
      <c r="A108" s="286"/>
      <c r="B108" s="286"/>
      <c r="C108" s="286"/>
      <c r="D108" s="316"/>
      <c r="E108" s="222" t="s">
        <v>76</v>
      </c>
      <c r="F108" s="222" t="s">
        <v>103</v>
      </c>
      <c r="G108" s="457">
        <f>H25</f>
        <v>1.9085255713098756E-2</v>
      </c>
      <c r="H108" s="452">
        <v>0</v>
      </c>
      <c r="I108" s="477">
        <v>1</v>
      </c>
      <c r="O108" s="286"/>
      <c r="P108" s="285" t="s">
        <v>385</v>
      </c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</row>
    <row r="109" spans="1:30" ht="15">
      <c r="A109" s="286"/>
      <c r="B109" s="286"/>
      <c r="C109" s="286"/>
      <c r="D109" s="316"/>
      <c r="E109" s="222" t="s">
        <v>76</v>
      </c>
      <c r="F109" s="222" t="s">
        <v>117</v>
      </c>
      <c r="G109" s="457">
        <f>I25</f>
        <v>2.4274594005304687E-2</v>
      </c>
      <c r="H109" s="452">
        <v>0</v>
      </c>
      <c r="I109" s="477">
        <v>1</v>
      </c>
      <c r="O109" s="286"/>
      <c r="P109" s="285" t="s">
        <v>397</v>
      </c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</row>
    <row r="110" spans="1:30" ht="15">
      <c r="A110" s="286"/>
      <c r="B110" s="286"/>
      <c r="C110" s="286"/>
      <c r="D110" s="316"/>
      <c r="E110" s="222" t="s">
        <v>76</v>
      </c>
      <c r="F110" s="222" t="s">
        <v>119</v>
      </c>
      <c r="G110" s="457">
        <f>J25</f>
        <v>2.9037632138542803E-2</v>
      </c>
      <c r="H110" s="452">
        <v>0</v>
      </c>
      <c r="I110" s="477">
        <v>1</v>
      </c>
      <c r="O110" s="286"/>
      <c r="P110" s="285" t="s">
        <v>398</v>
      </c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</row>
    <row r="111" spans="1:30" ht="15">
      <c r="A111" s="286"/>
      <c r="B111" s="286"/>
      <c r="C111" s="286"/>
      <c r="D111" s="316"/>
      <c r="E111" s="222" t="s">
        <v>76</v>
      </c>
      <c r="F111" s="222" t="s">
        <v>121</v>
      </c>
      <c r="G111" s="457">
        <f>K25</f>
        <v>8.4816953579616595E-3</v>
      </c>
      <c r="H111" s="452">
        <v>0</v>
      </c>
      <c r="I111" s="477">
        <v>1</v>
      </c>
      <c r="O111" s="286"/>
      <c r="P111" s="285" t="s">
        <v>399</v>
      </c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</row>
    <row r="112" spans="1:30" ht="15">
      <c r="A112" s="286"/>
      <c r="B112" s="286"/>
      <c r="C112" s="286"/>
      <c r="D112" s="316"/>
      <c r="E112" s="287" t="s">
        <v>115</v>
      </c>
      <c r="F112" s="287" t="s">
        <v>400</v>
      </c>
      <c r="G112" s="478">
        <f t="shared" ref="G112:G188" si="14">L112*K112</f>
        <v>33.639843736320984</v>
      </c>
      <c r="H112" s="222">
        <v>1</v>
      </c>
      <c r="I112" s="285">
        <v>2</v>
      </c>
      <c r="K112" s="474">
        <f>E4</f>
        <v>2.4797147643760582E-2</v>
      </c>
      <c r="L112" s="479">
        <f>$E$27</f>
        <v>1356.6013405894846</v>
      </c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</row>
    <row r="113" spans="1:30" ht="15">
      <c r="A113" s="286"/>
      <c r="B113" s="286"/>
      <c r="C113" s="286"/>
      <c r="D113" s="316"/>
      <c r="E113" s="222" t="s">
        <v>95</v>
      </c>
      <c r="F113" s="222" t="s">
        <v>401</v>
      </c>
      <c r="G113" s="290">
        <f t="shared" si="14"/>
        <v>33.239215593218972</v>
      </c>
      <c r="H113" s="222">
        <v>1</v>
      </c>
      <c r="I113" s="285">
        <v>2</v>
      </c>
      <c r="J113" s="286"/>
      <c r="K113" s="474">
        <f>F4</f>
        <v>2.3836761507792677E-2</v>
      </c>
      <c r="L113" s="479">
        <f>$F$27</f>
        <v>1394.451825276368</v>
      </c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</row>
    <row r="114" spans="1:30" ht="15">
      <c r="A114" s="286"/>
      <c r="B114" s="286"/>
      <c r="C114" s="286"/>
      <c r="D114" s="316"/>
      <c r="E114" s="222" t="s">
        <v>116</v>
      </c>
      <c r="F114" s="222" t="s">
        <v>98</v>
      </c>
      <c r="G114" s="290">
        <f t="shared" si="14"/>
        <v>24.520935410215156</v>
      </c>
      <c r="H114" s="222">
        <v>1</v>
      </c>
      <c r="I114" s="285">
        <v>2</v>
      </c>
      <c r="J114" s="286"/>
      <c r="K114" s="474">
        <f>G4</f>
        <v>1.4826153977905284E-2</v>
      </c>
      <c r="L114" s="479">
        <f>$G$27</f>
        <v>1653.8972579643746</v>
      </c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  <c r="AD114" s="286"/>
    </row>
    <row r="115" spans="1:30" ht="15">
      <c r="A115" s="286"/>
      <c r="B115" s="286"/>
      <c r="C115" s="286"/>
      <c r="D115" s="316"/>
      <c r="E115" s="222" t="s">
        <v>103</v>
      </c>
      <c r="F115" s="222" t="s">
        <v>402</v>
      </c>
      <c r="G115" s="290">
        <f t="shared" si="14"/>
        <v>70.684045746828943</v>
      </c>
      <c r="H115" s="222">
        <v>1</v>
      </c>
      <c r="I115" s="285">
        <v>2</v>
      </c>
      <c r="J115" s="286"/>
      <c r="K115" s="474">
        <f>H4</f>
        <v>6.1711869329964787E-2</v>
      </c>
      <c r="L115" s="479">
        <f>$H$27</f>
        <v>1145.3881808196602</v>
      </c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  <c r="AD115" s="286"/>
    </row>
    <row r="116" spans="1:30" ht="15">
      <c r="A116" s="286"/>
      <c r="B116" s="286"/>
      <c r="C116" s="286"/>
      <c r="D116" s="316"/>
      <c r="E116" s="222" t="s">
        <v>117</v>
      </c>
      <c r="F116" s="222" t="s">
        <v>135</v>
      </c>
      <c r="G116" s="290">
        <f t="shared" si="14"/>
        <v>79.464772912968726</v>
      </c>
      <c r="H116" s="222">
        <v>1</v>
      </c>
      <c r="I116" s="285">
        <v>2</v>
      </c>
      <c r="J116" s="286"/>
      <c r="K116" s="474">
        <f>I4</f>
        <v>7.8307286300213372E-2</v>
      </c>
      <c r="L116" s="479">
        <f>$I$27</f>
        <v>1014.7813398655879</v>
      </c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</row>
    <row r="117" spans="1:30" ht="15">
      <c r="A117" s="286"/>
      <c r="B117" s="286"/>
      <c r="C117" s="286"/>
      <c r="D117" s="316"/>
      <c r="E117" s="222" t="s">
        <v>119</v>
      </c>
      <c r="F117" s="222" t="s">
        <v>403</v>
      </c>
      <c r="G117" s="290">
        <f t="shared" si="14"/>
        <v>81.925576056367518</v>
      </c>
      <c r="H117" s="222">
        <v>1</v>
      </c>
      <c r="I117" s="285">
        <v>2</v>
      </c>
      <c r="J117" s="286"/>
      <c r="K117" s="474">
        <f>J4</f>
        <v>6.0097125895008624E-2</v>
      </c>
      <c r="L117" s="479">
        <f>$J$27</f>
        <v>1363.2195356479078</v>
      </c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</row>
    <row r="118" spans="1:30" ht="15">
      <c r="A118" s="286"/>
      <c r="B118" s="286"/>
      <c r="C118" s="286"/>
      <c r="D118" s="316"/>
      <c r="E118" s="222" t="s">
        <v>121</v>
      </c>
      <c r="F118" s="222" t="s">
        <v>404</v>
      </c>
      <c r="G118" s="290">
        <f t="shared" si="14"/>
        <v>64.956164418221533</v>
      </c>
      <c r="H118" s="222">
        <v>1</v>
      </c>
      <c r="I118" s="285">
        <v>2</v>
      </c>
      <c r="J118" s="286"/>
      <c r="K118" s="474">
        <f>K4</f>
        <v>5.1101943800912424E-2</v>
      </c>
      <c r="L118" s="479">
        <f>$K$27</f>
        <v>1271.1094644713251</v>
      </c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</row>
    <row r="119" spans="1:30" ht="15">
      <c r="A119" s="286"/>
      <c r="B119" s="286"/>
      <c r="C119" s="286"/>
      <c r="D119" s="316"/>
      <c r="E119" s="287" t="s">
        <v>115</v>
      </c>
      <c r="F119" s="287" t="s">
        <v>400</v>
      </c>
      <c r="G119" s="478">
        <f t="shared" si="14"/>
        <v>365.09487060566312</v>
      </c>
      <c r="H119" s="222">
        <v>1</v>
      </c>
      <c r="I119" s="285">
        <v>2</v>
      </c>
      <c r="J119" s="286"/>
      <c r="K119" s="474">
        <f>E6</f>
        <v>0.26912465709861255</v>
      </c>
      <c r="L119" s="479">
        <f>$E$27</f>
        <v>1356.6013405894846</v>
      </c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  <c r="AD119" s="286"/>
    </row>
    <row r="120" spans="1:30" ht="15">
      <c r="A120" s="286"/>
      <c r="B120" s="286"/>
      <c r="C120" s="286"/>
      <c r="D120" s="316"/>
      <c r="E120" s="222" t="s">
        <v>95</v>
      </c>
      <c r="F120" s="222" t="s">
        <v>401</v>
      </c>
      <c r="G120" s="290">
        <f t="shared" si="14"/>
        <v>73.998122582936659</v>
      </c>
      <c r="H120" s="222">
        <v>1</v>
      </c>
      <c r="I120" s="285">
        <v>2</v>
      </c>
      <c r="J120" s="286"/>
      <c r="K120" s="474">
        <f>F6</f>
        <v>5.3066101848495834E-2</v>
      </c>
      <c r="L120" s="479">
        <f>$F$27</f>
        <v>1394.451825276368</v>
      </c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  <c r="AD120" s="286"/>
    </row>
    <row r="121" spans="1:30" ht="15">
      <c r="A121" s="286"/>
      <c r="B121" s="286"/>
      <c r="C121" s="286"/>
      <c r="D121" s="316"/>
      <c r="E121" s="222" t="s">
        <v>116</v>
      </c>
      <c r="F121" s="222" t="s">
        <v>98</v>
      </c>
      <c r="G121" s="290">
        <f t="shared" si="14"/>
        <v>166.79547472897977</v>
      </c>
      <c r="H121" s="222">
        <v>1</v>
      </c>
      <c r="I121" s="285">
        <v>2</v>
      </c>
      <c r="J121" s="286"/>
      <c r="K121" s="474">
        <f>G6</f>
        <v>0.10084996146270446</v>
      </c>
      <c r="L121" s="479">
        <f>$G$27</f>
        <v>1653.8972579643746</v>
      </c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</row>
    <row r="122" spans="1:30" ht="15">
      <c r="A122" s="286"/>
      <c r="B122" s="286"/>
      <c r="C122" s="286"/>
      <c r="D122" s="316"/>
      <c r="E122" s="222" t="s">
        <v>103</v>
      </c>
      <c r="F122" s="222" t="s">
        <v>402</v>
      </c>
      <c r="G122" s="290">
        <f t="shared" si="14"/>
        <v>96.657742343028588</v>
      </c>
      <c r="H122" s="222">
        <v>1</v>
      </c>
      <c r="I122" s="285">
        <v>2</v>
      </c>
      <c r="J122" s="286"/>
      <c r="K122" s="474">
        <f>H6</f>
        <v>8.4388632571586852E-2</v>
      </c>
      <c r="L122" s="479">
        <f>$H$27</f>
        <v>1145.3881808196602</v>
      </c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</row>
    <row r="123" spans="1:30" ht="15">
      <c r="A123" s="286"/>
      <c r="B123" s="286"/>
      <c r="C123" s="286"/>
      <c r="D123" s="316"/>
      <c r="E123" s="222" t="s">
        <v>117</v>
      </c>
      <c r="F123" s="222" t="s">
        <v>135</v>
      </c>
      <c r="G123" s="290">
        <f t="shared" si="14"/>
        <v>90.561509028574292</v>
      </c>
      <c r="H123" s="222">
        <v>1</v>
      </c>
      <c r="I123" s="285">
        <v>2</v>
      </c>
      <c r="J123" s="286"/>
      <c r="K123" s="474">
        <f>I6</f>
        <v>8.9242386976261842E-2</v>
      </c>
      <c r="L123" s="479">
        <f>$I$27</f>
        <v>1014.7813398655879</v>
      </c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</row>
    <row r="124" spans="1:30" ht="15">
      <c r="A124" s="286"/>
      <c r="B124" s="286"/>
      <c r="C124" s="286"/>
      <c r="D124" s="316"/>
      <c r="E124" s="222" t="s">
        <v>119</v>
      </c>
      <c r="F124" s="222" t="s">
        <v>403</v>
      </c>
      <c r="G124" s="290">
        <f t="shared" si="14"/>
        <v>128.34520008524919</v>
      </c>
      <c r="H124" s="222">
        <v>1</v>
      </c>
      <c r="I124" s="285">
        <v>2</v>
      </c>
      <c r="J124" s="286"/>
      <c r="K124" s="474">
        <f>J6</f>
        <v>9.4148592159258915E-2</v>
      </c>
      <c r="L124" s="479">
        <f>$J$27</f>
        <v>1363.2195356479078</v>
      </c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  <c r="AD124" s="286"/>
    </row>
    <row r="125" spans="1:30" ht="15">
      <c r="A125" s="286"/>
      <c r="B125" s="286"/>
      <c r="C125" s="286"/>
      <c r="D125" s="316"/>
      <c r="E125" s="222" t="s">
        <v>121</v>
      </c>
      <c r="F125" s="222" t="s">
        <v>404</v>
      </c>
      <c r="G125" s="290">
        <f t="shared" si="14"/>
        <v>107.21631956669772</v>
      </c>
      <c r="H125" s="222">
        <v>1</v>
      </c>
      <c r="I125" s="285">
        <v>2</v>
      </c>
      <c r="J125" s="286"/>
      <c r="K125" s="474">
        <f>K6</f>
        <v>8.4348612423628455E-2</v>
      </c>
      <c r="L125" s="479">
        <f>$K$27</f>
        <v>1271.1094644713251</v>
      </c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</row>
    <row r="126" spans="1:30" ht="15">
      <c r="A126" s="286"/>
      <c r="B126" s="286"/>
      <c r="C126" s="286"/>
      <c r="D126" s="316"/>
      <c r="E126" s="287" t="s">
        <v>115</v>
      </c>
      <c r="F126" s="287" t="s">
        <v>400</v>
      </c>
      <c r="G126" s="478">
        <f t="shared" si="14"/>
        <v>4.6816691963625949</v>
      </c>
      <c r="H126" s="222">
        <v>1</v>
      </c>
      <c r="I126" s="285">
        <v>2</v>
      </c>
      <c r="J126" s="286"/>
      <c r="K126" s="474">
        <f>E8</f>
        <v>3.4510279890540775E-3</v>
      </c>
      <c r="L126" s="479">
        <f>$E$27</f>
        <v>1356.6013405894846</v>
      </c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</row>
    <row r="127" spans="1:30" ht="15">
      <c r="A127" s="286"/>
      <c r="B127" s="286"/>
      <c r="C127" s="286"/>
      <c r="D127" s="316"/>
      <c r="E127" s="222" t="s">
        <v>95</v>
      </c>
      <c r="F127" s="222" t="s">
        <v>401</v>
      </c>
      <c r="G127" s="290">
        <f t="shared" si="14"/>
        <v>16.028109282014071</v>
      </c>
      <c r="H127" s="222">
        <v>1</v>
      </c>
      <c r="I127" s="285">
        <v>2</v>
      </c>
      <c r="J127" s="286"/>
      <c r="K127" s="474">
        <f>F8</f>
        <v>1.1494200797390358E-2</v>
      </c>
      <c r="L127" s="479">
        <f>$F$27</f>
        <v>1394.451825276368</v>
      </c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</row>
    <row r="128" spans="1:30" ht="15">
      <c r="A128" s="286"/>
      <c r="B128" s="286"/>
      <c r="C128" s="286"/>
      <c r="D128" s="316"/>
      <c r="E128" s="222" t="s">
        <v>116</v>
      </c>
      <c r="F128" s="222" t="s">
        <v>98</v>
      </c>
      <c r="G128" s="290">
        <f t="shared" si="14"/>
        <v>10.12705780118633</v>
      </c>
      <c r="H128" s="222">
        <v>1</v>
      </c>
      <c r="I128" s="285">
        <v>2</v>
      </c>
      <c r="J128" s="286"/>
      <c r="K128" s="474">
        <f>G8</f>
        <v>6.1231480688533017E-3</v>
      </c>
      <c r="L128" s="479">
        <f>$G$27</f>
        <v>1653.8972579643746</v>
      </c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</row>
    <row r="129" spans="1:30" ht="15">
      <c r="A129" s="286"/>
      <c r="B129" s="286"/>
      <c r="C129" s="286"/>
      <c r="D129" s="316"/>
      <c r="E129" s="222" t="s">
        <v>103</v>
      </c>
      <c r="F129" s="222" t="s">
        <v>402</v>
      </c>
      <c r="G129" s="290">
        <f t="shared" si="14"/>
        <v>15.74731760748082</v>
      </c>
      <c r="H129" s="222">
        <v>1</v>
      </c>
      <c r="I129" s="285">
        <v>2</v>
      </c>
      <c r="J129" s="286"/>
      <c r="K129" s="474">
        <f>H8</f>
        <v>1.3748454778197344E-2</v>
      </c>
      <c r="L129" s="479">
        <f>$H$27</f>
        <v>1145.3881808196602</v>
      </c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  <c r="AD129" s="286"/>
    </row>
    <row r="130" spans="1:30" ht="15">
      <c r="A130" s="286"/>
      <c r="B130" s="286"/>
      <c r="C130" s="286"/>
      <c r="D130" s="316"/>
      <c r="E130" s="222" t="s">
        <v>117</v>
      </c>
      <c r="F130" s="222" t="s">
        <v>135</v>
      </c>
      <c r="G130" s="290">
        <f t="shared" si="14"/>
        <v>19.286059911560066</v>
      </c>
      <c r="H130" s="222">
        <v>1</v>
      </c>
      <c r="I130" s="285">
        <v>2</v>
      </c>
      <c r="J130" s="286"/>
      <c r="K130" s="474">
        <f>I8</f>
        <v>1.9005138500196098E-2</v>
      </c>
      <c r="L130" s="479">
        <f>$I$27</f>
        <v>1014.7813398655879</v>
      </c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</row>
    <row r="131" spans="1:30" ht="15">
      <c r="A131" s="286"/>
      <c r="B131" s="286"/>
      <c r="C131" s="286"/>
      <c r="D131" s="316"/>
      <c r="E131" s="222" t="s">
        <v>119</v>
      </c>
      <c r="F131" s="222" t="s">
        <v>403</v>
      </c>
      <c r="G131" s="290">
        <f t="shared" si="14"/>
        <v>24.83051665199676</v>
      </c>
      <c r="H131" s="222">
        <v>1</v>
      </c>
      <c r="I131" s="285">
        <v>2</v>
      </c>
      <c r="J131" s="286"/>
      <c r="K131" s="474">
        <f>J8</f>
        <v>1.8214613275913311E-2</v>
      </c>
      <c r="L131" s="479">
        <f>$J$27</f>
        <v>1363.2195356479078</v>
      </c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</row>
    <row r="132" spans="1:30" ht="15">
      <c r="A132" s="286"/>
      <c r="B132" s="286"/>
      <c r="C132" s="286"/>
      <c r="D132" s="316"/>
      <c r="E132" s="222" t="s">
        <v>121</v>
      </c>
      <c r="F132" s="222" t="s">
        <v>404</v>
      </c>
      <c r="G132" s="290">
        <f t="shared" si="14"/>
        <v>21.035956961435243</v>
      </c>
      <c r="H132" s="222">
        <v>1</v>
      </c>
      <c r="I132" s="285">
        <v>2</v>
      </c>
      <c r="J132" s="286"/>
      <c r="K132" s="474">
        <f>K8</f>
        <v>1.6549288278790715E-2</v>
      </c>
      <c r="L132" s="479">
        <f>$K$27</f>
        <v>1271.1094644713251</v>
      </c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</row>
    <row r="133" spans="1:30" ht="15">
      <c r="A133" s="286"/>
      <c r="B133" s="286"/>
      <c r="C133" s="286"/>
      <c r="D133" s="316"/>
      <c r="E133" s="287" t="s">
        <v>115</v>
      </c>
      <c r="F133" s="287" t="s">
        <v>400</v>
      </c>
      <c r="G133" s="478">
        <f t="shared" si="14"/>
        <v>23.056821332256739</v>
      </c>
      <c r="H133" s="222">
        <v>1</v>
      </c>
      <c r="I133" s="285">
        <v>2</v>
      </c>
      <c r="J133" s="286"/>
      <c r="K133" s="474">
        <f>E10</f>
        <v>1.6996018389778274E-2</v>
      </c>
      <c r="L133" s="479">
        <f>$E$27</f>
        <v>1356.6013405894846</v>
      </c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</row>
    <row r="134" spans="1:30" ht="15">
      <c r="A134" s="286"/>
      <c r="B134" s="286"/>
      <c r="C134" s="286"/>
      <c r="D134" s="316"/>
      <c r="E134" s="222" t="s">
        <v>95</v>
      </c>
      <c r="F134" s="222" t="s">
        <v>401</v>
      </c>
      <c r="G134" s="290">
        <f t="shared" si="14"/>
        <v>57.407734339117603</v>
      </c>
      <c r="H134" s="222">
        <v>1</v>
      </c>
      <c r="I134" s="285">
        <v>2</v>
      </c>
      <c r="J134" s="286"/>
      <c r="K134" s="474">
        <f>F10</f>
        <v>4.1168675244653861E-2</v>
      </c>
      <c r="L134" s="479">
        <f>$F$27</f>
        <v>1394.451825276368</v>
      </c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  <c r="AD134" s="286"/>
    </row>
    <row r="135" spans="1:30" ht="15">
      <c r="A135" s="286"/>
      <c r="B135" s="286"/>
      <c r="C135" s="286"/>
      <c r="D135" s="316"/>
      <c r="E135" s="222" t="s">
        <v>116</v>
      </c>
      <c r="F135" s="222" t="s">
        <v>98</v>
      </c>
      <c r="G135" s="290">
        <f t="shared" si="14"/>
        <v>9.6401800222831433</v>
      </c>
      <c r="H135" s="222">
        <v>1</v>
      </c>
      <c r="I135" s="285">
        <v>2</v>
      </c>
      <c r="J135" s="286"/>
      <c r="K135" s="474">
        <f>G10</f>
        <v>5.8287659501584316E-3</v>
      </c>
      <c r="L135" s="479">
        <f>$G$27</f>
        <v>1653.8972579643746</v>
      </c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  <c r="AD135" s="286"/>
    </row>
    <row r="136" spans="1:30" ht="15">
      <c r="A136" s="286"/>
      <c r="B136" s="286"/>
      <c r="C136" s="286"/>
      <c r="D136" s="316"/>
      <c r="E136" s="222" t="s">
        <v>103</v>
      </c>
      <c r="F136" s="222" t="s">
        <v>402</v>
      </c>
      <c r="G136" s="290">
        <f t="shared" si="14"/>
        <v>28.576482278344816</v>
      </c>
      <c r="H136" s="222">
        <v>1</v>
      </c>
      <c r="I136" s="285">
        <v>2</v>
      </c>
      <c r="J136" s="286"/>
      <c r="K136" s="474">
        <f>H10</f>
        <v>2.4949168113377052E-2</v>
      </c>
      <c r="L136" s="479">
        <f>$H$27</f>
        <v>1145.3881808196602</v>
      </c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  <c r="AD136" s="286"/>
    </row>
    <row r="137" spans="1:30" ht="15">
      <c r="A137" s="286"/>
      <c r="B137" s="286"/>
      <c r="C137" s="286"/>
      <c r="D137" s="316"/>
      <c r="E137" s="222" t="s">
        <v>117</v>
      </c>
      <c r="F137" s="222" t="s">
        <v>135</v>
      </c>
      <c r="G137" s="290">
        <f t="shared" si="14"/>
        <v>65.514590367636032</v>
      </c>
      <c r="H137" s="222">
        <v>1</v>
      </c>
      <c r="I137" s="285">
        <v>2</v>
      </c>
      <c r="J137" s="286"/>
      <c r="K137" s="474">
        <f>I10</f>
        <v>6.4560302593181018E-2</v>
      </c>
      <c r="L137" s="479">
        <f>$I$27</f>
        <v>1014.7813398655879</v>
      </c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</row>
    <row r="138" spans="1:30" ht="15">
      <c r="A138" s="286"/>
      <c r="B138" s="286"/>
      <c r="C138" s="286"/>
      <c r="D138" s="316"/>
      <c r="E138" s="222" t="s">
        <v>119</v>
      </c>
      <c r="F138" s="222" t="s">
        <v>403</v>
      </c>
      <c r="G138" s="290">
        <f t="shared" si="14"/>
        <v>43.319069985145418</v>
      </c>
      <c r="H138" s="222">
        <v>1</v>
      </c>
      <c r="I138" s="285">
        <v>2</v>
      </c>
      <c r="J138" s="286"/>
      <c r="K138" s="474">
        <f>J10</f>
        <v>3.1777031396895902E-2</v>
      </c>
      <c r="L138" s="479">
        <f>$J$27</f>
        <v>1363.2195356479078</v>
      </c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</row>
    <row r="139" spans="1:30" ht="15">
      <c r="A139" s="286"/>
      <c r="B139" s="286"/>
      <c r="C139" s="286"/>
      <c r="D139" s="316"/>
      <c r="E139" s="222" t="s">
        <v>121</v>
      </c>
      <c r="F139" s="222" t="s">
        <v>404</v>
      </c>
      <c r="G139" s="290">
        <f t="shared" si="14"/>
        <v>65.630303307421897</v>
      </c>
      <c r="H139" s="222">
        <v>1</v>
      </c>
      <c r="I139" s="285">
        <v>2</v>
      </c>
      <c r="J139" s="286"/>
      <c r="K139" s="474">
        <f>K10</f>
        <v>5.1632298509175688E-2</v>
      </c>
      <c r="L139" s="479">
        <f>$K$27</f>
        <v>1271.1094644713251</v>
      </c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</row>
    <row r="140" spans="1:30" ht="15">
      <c r="A140" s="286"/>
      <c r="B140" s="286"/>
      <c r="C140" s="286"/>
      <c r="D140" s="316"/>
      <c r="E140" s="287" t="s">
        <v>115</v>
      </c>
      <c r="F140" s="287" t="s">
        <v>400</v>
      </c>
      <c r="G140" s="478">
        <f t="shared" si="14"/>
        <v>117.96695496071071</v>
      </c>
      <c r="H140" s="222">
        <v>1</v>
      </c>
      <c r="I140" s="285">
        <v>2</v>
      </c>
      <c r="J140" s="286"/>
      <c r="K140" s="474">
        <f>E12</f>
        <v>8.6957716634313856E-2</v>
      </c>
      <c r="L140" s="479">
        <f>$E$27</f>
        <v>1356.6013405894846</v>
      </c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</row>
    <row r="141" spans="1:30" ht="15">
      <c r="A141" s="286"/>
      <c r="B141" s="286"/>
      <c r="C141" s="286"/>
      <c r="D141" s="316"/>
      <c r="E141" s="222" t="s">
        <v>95</v>
      </c>
      <c r="F141" s="222" t="s">
        <v>401</v>
      </c>
      <c r="G141" s="290">
        <f t="shared" si="14"/>
        <v>179.64181055554948</v>
      </c>
      <c r="H141" s="222">
        <v>1</v>
      </c>
      <c r="I141" s="285">
        <v>2</v>
      </c>
      <c r="J141" s="286"/>
      <c r="K141" s="474">
        <f>F12</f>
        <v>0.12882611453425152</v>
      </c>
      <c r="L141" s="479">
        <f>$F$27</f>
        <v>1394.451825276368</v>
      </c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</row>
    <row r="142" spans="1:30" ht="15">
      <c r="A142" s="286"/>
      <c r="B142" s="286"/>
      <c r="C142" s="286"/>
      <c r="D142" s="316"/>
      <c r="E142" s="222" t="s">
        <v>116</v>
      </c>
      <c r="F142" s="222" t="s">
        <v>98</v>
      </c>
      <c r="G142" s="290">
        <f t="shared" si="14"/>
        <v>247.86505107798712</v>
      </c>
      <c r="H142" s="222">
        <v>1</v>
      </c>
      <c r="I142" s="285">
        <v>2</v>
      </c>
      <c r="J142" s="286"/>
      <c r="K142" s="474">
        <f>G12</f>
        <v>0.14986726042647941</v>
      </c>
      <c r="L142" s="479">
        <f>$G$27</f>
        <v>1653.8972579643746</v>
      </c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  <c r="AD142" s="286"/>
    </row>
    <row r="143" spans="1:30" ht="15">
      <c r="A143" s="286"/>
      <c r="B143" s="286"/>
      <c r="C143" s="286"/>
      <c r="D143" s="316"/>
      <c r="E143" s="222" t="s">
        <v>103</v>
      </c>
      <c r="F143" s="222" t="s">
        <v>402</v>
      </c>
      <c r="G143" s="290">
        <f t="shared" si="14"/>
        <v>330.12328521343574</v>
      </c>
      <c r="H143" s="222">
        <v>1</v>
      </c>
      <c r="I143" s="285">
        <v>2</v>
      </c>
      <c r="J143" s="286"/>
      <c r="K143" s="474">
        <f>H12</f>
        <v>0.2882195667299392</v>
      </c>
      <c r="L143" s="479">
        <f>$H$27</f>
        <v>1145.3881808196602</v>
      </c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</row>
    <row r="144" spans="1:30" ht="15">
      <c r="A144" s="286"/>
      <c r="B144" s="286"/>
      <c r="C144" s="286"/>
      <c r="D144" s="316"/>
      <c r="E144" s="222" t="s">
        <v>117</v>
      </c>
      <c r="F144" s="222" t="s">
        <v>135</v>
      </c>
      <c r="G144" s="290">
        <f t="shared" si="14"/>
        <v>298.00638989611372</v>
      </c>
      <c r="H144" s="222">
        <v>1</v>
      </c>
      <c r="I144" s="285">
        <v>2</v>
      </c>
      <c r="J144" s="286"/>
      <c r="K144" s="474">
        <f>I12</f>
        <v>0.29366561858102941</v>
      </c>
      <c r="L144" s="479">
        <f>$I$27</f>
        <v>1014.7813398655879</v>
      </c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</row>
    <row r="145" spans="1:30" ht="15">
      <c r="A145" s="286"/>
      <c r="B145" s="286"/>
      <c r="C145" s="286"/>
      <c r="D145" s="316"/>
      <c r="E145" s="222" t="s">
        <v>119</v>
      </c>
      <c r="F145" s="222" t="s">
        <v>403</v>
      </c>
      <c r="G145" s="290">
        <f t="shared" si="14"/>
        <v>83.974063248471438</v>
      </c>
      <c r="H145" s="222">
        <v>1</v>
      </c>
      <c r="I145" s="285">
        <v>2</v>
      </c>
      <c r="J145" s="286"/>
      <c r="K145" s="474">
        <f>J12</f>
        <v>6.1599809166878204E-2</v>
      </c>
      <c r="L145" s="479">
        <f>$J$27</f>
        <v>1363.2195356479078</v>
      </c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</row>
    <row r="146" spans="1:30" ht="15">
      <c r="A146" s="286"/>
      <c r="B146" s="286"/>
      <c r="C146" s="286"/>
      <c r="D146" s="316"/>
      <c r="E146" s="222" t="s">
        <v>121</v>
      </c>
      <c r="F146" s="222" t="s">
        <v>404</v>
      </c>
      <c r="G146" s="290">
        <f t="shared" si="14"/>
        <v>259.37287873143254</v>
      </c>
      <c r="H146" s="222">
        <v>1</v>
      </c>
      <c r="I146" s="285">
        <v>2</v>
      </c>
      <c r="J146" s="286"/>
      <c r="K146" s="474">
        <f>K12</f>
        <v>0.20405235424732671</v>
      </c>
      <c r="L146" s="479">
        <f>$K$27</f>
        <v>1271.1094644713251</v>
      </c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  <c r="AD146" s="286"/>
    </row>
    <row r="147" spans="1:30" ht="15">
      <c r="A147" s="286"/>
      <c r="B147" s="286"/>
      <c r="C147" s="286"/>
      <c r="D147" s="316"/>
      <c r="E147" s="287" t="s">
        <v>115</v>
      </c>
      <c r="F147" s="287" t="s">
        <v>400</v>
      </c>
      <c r="G147" s="478">
        <f t="shared" si="14"/>
        <v>36.316605028829294</v>
      </c>
      <c r="H147" s="222">
        <v>1</v>
      </c>
      <c r="I147" s="285">
        <v>2</v>
      </c>
      <c r="J147" s="286"/>
      <c r="K147" s="474">
        <f>E14</f>
        <v>2.6770285375841234E-2</v>
      </c>
      <c r="L147" s="479">
        <f>$E$27</f>
        <v>1356.6013405894846</v>
      </c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  <c r="AD147" s="286"/>
    </row>
    <row r="148" spans="1:30" ht="15">
      <c r="A148" s="286"/>
      <c r="B148" s="286"/>
      <c r="C148" s="286"/>
      <c r="D148" s="316"/>
      <c r="E148" s="222" t="s">
        <v>95</v>
      </c>
      <c r="F148" s="222" t="s">
        <v>401</v>
      </c>
      <c r="G148" s="290">
        <f t="shared" si="14"/>
        <v>30.966408216709482</v>
      </c>
      <c r="H148" s="222">
        <v>1</v>
      </c>
      <c r="I148" s="285">
        <v>2</v>
      </c>
      <c r="J148" s="286"/>
      <c r="K148" s="474">
        <f>F14</f>
        <v>2.220686843059079E-2</v>
      </c>
      <c r="L148" s="479">
        <f>$F$27</f>
        <v>1394.451825276368</v>
      </c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  <c r="AD148" s="286"/>
    </row>
    <row r="149" spans="1:30" ht="15">
      <c r="A149" s="286"/>
      <c r="B149" s="286"/>
      <c r="C149" s="286"/>
      <c r="D149" s="316"/>
      <c r="E149" s="222" t="s">
        <v>116</v>
      </c>
      <c r="F149" s="222" t="s">
        <v>98</v>
      </c>
      <c r="G149" s="290">
        <f t="shared" si="14"/>
        <v>31.655907951960067</v>
      </c>
      <c r="H149" s="222">
        <v>1</v>
      </c>
      <c r="I149" s="285">
        <v>2</v>
      </c>
      <c r="J149" s="286"/>
      <c r="K149" s="474">
        <f>G14</f>
        <v>1.9140190117324655E-2</v>
      </c>
      <c r="L149" s="479">
        <f>$G$27</f>
        <v>1653.8972579643746</v>
      </c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</row>
    <row r="150" spans="1:30" ht="15">
      <c r="A150" s="286"/>
      <c r="B150" s="286"/>
      <c r="C150" s="286"/>
      <c r="D150" s="316"/>
      <c r="E150" s="222" t="s">
        <v>103</v>
      </c>
      <c r="F150" s="222" t="s">
        <v>402</v>
      </c>
      <c r="G150" s="290">
        <f t="shared" si="14"/>
        <v>27.618929495876664</v>
      </c>
      <c r="H150" s="222">
        <v>1</v>
      </c>
      <c r="I150" s="285">
        <v>2</v>
      </c>
      <c r="J150" s="286"/>
      <c r="K150" s="474">
        <f>H14</f>
        <v>2.411316089896446E-2</v>
      </c>
      <c r="L150" s="479">
        <f>$H$27</f>
        <v>1145.3881808196602</v>
      </c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</row>
    <row r="151" spans="1:30" ht="15">
      <c r="A151" s="286"/>
      <c r="B151" s="286"/>
      <c r="C151" s="286"/>
      <c r="D151" s="316"/>
      <c r="E151" s="222" t="s">
        <v>117</v>
      </c>
      <c r="F151" s="222" t="s">
        <v>135</v>
      </c>
      <c r="G151" s="290">
        <f t="shared" si="14"/>
        <v>30.227644093634371</v>
      </c>
      <c r="H151" s="222">
        <v>1</v>
      </c>
      <c r="I151" s="285">
        <v>2</v>
      </c>
      <c r="J151" s="286"/>
      <c r="K151" s="474">
        <f>I14</f>
        <v>2.9787347191108333E-2</v>
      </c>
      <c r="L151" s="479">
        <f>$I$27</f>
        <v>1014.7813398655879</v>
      </c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</row>
    <row r="152" spans="1:30" ht="15">
      <c r="A152" s="286"/>
      <c r="B152" s="286"/>
      <c r="C152" s="286"/>
      <c r="D152" s="316"/>
      <c r="E152" s="222" t="s">
        <v>119</v>
      </c>
      <c r="F152" s="222" t="s">
        <v>403</v>
      </c>
      <c r="G152" s="290">
        <f t="shared" si="14"/>
        <v>92.964452707874997</v>
      </c>
      <c r="H152" s="222">
        <v>1</v>
      </c>
      <c r="I152" s="285">
        <v>2</v>
      </c>
      <c r="J152" s="286"/>
      <c r="K152" s="474">
        <f>J14</f>
        <v>6.8194777346475652E-2</v>
      </c>
      <c r="L152" s="479">
        <f>$J$27</f>
        <v>1363.2195356479078</v>
      </c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  <c r="AD152" s="286"/>
    </row>
    <row r="153" spans="1:30" ht="15">
      <c r="A153" s="286"/>
      <c r="B153" s="286"/>
      <c r="C153" s="286"/>
      <c r="D153" s="316"/>
      <c r="E153" s="222" t="s">
        <v>121</v>
      </c>
      <c r="F153" s="222" t="s">
        <v>404</v>
      </c>
      <c r="G153" s="290">
        <f t="shared" si="14"/>
        <v>25.685515233895647</v>
      </c>
      <c r="H153" s="222">
        <v>1</v>
      </c>
      <c r="I153" s="285">
        <v>2</v>
      </c>
      <c r="J153" s="286"/>
      <c r="K153" s="474">
        <f>K14</f>
        <v>2.0207162287615148E-2</v>
      </c>
      <c r="L153" s="479">
        <f>$K$27</f>
        <v>1271.1094644713251</v>
      </c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  <c r="AD153" s="286"/>
    </row>
    <row r="154" spans="1:30" ht="15">
      <c r="A154" s="286"/>
      <c r="B154" s="286"/>
      <c r="C154" s="286"/>
      <c r="D154" s="316"/>
      <c r="E154" s="287" t="s">
        <v>115</v>
      </c>
      <c r="F154" s="287" t="s">
        <v>400</v>
      </c>
      <c r="G154" s="478">
        <f t="shared" si="14"/>
        <v>125.00429583461896</v>
      </c>
      <c r="H154" s="222">
        <v>1</v>
      </c>
      <c r="I154" s="285">
        <v>2</v>
      </c>
      <c r="J154" s="286"/>
      <c r="K154" s="474">
        <f>E16</f>
        <v>9.2145195566665727E-2</v>
      </c>
      <c r="L154" s="479">
        <f>$E$27</f>
        <v>1356.6013405894846</v>
      </c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  <c r="AD154" s="286"/>
    </row>
    <row r="155" spans="1:30" ht="15">
      <c r="A155" s="286"/>
      <c r="B155" s="286"/>
      <c r="C155" s="286"/>
      <c r="D155" s="316"/>
      <c r="E155" s="222" t="s">
        <v>95</v>
      </c>
      <c r="F155" s="222" t="s">
        <v>401</v>
      </c>
      <c r="G155" s="290">
        <f t="shared" si="14"/>
        <v>306.24618420825777</v>
      </c>
      <c r="H155" s="222">
        <v>1</v>
      </c>
      <c r="I155" s="285">
        <v>2</v>
      </c>
      <c r="J155" s="286"/>
      <c r="K155" s="474">
        <f>F16</f>
        <v>0.21961761507792676</v>
      </c>
      <c r="L155" s="479">
        <f>$F$27</f>
        <v>1394.451825276368</v>
      </c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  <c r="AD155" s="286"/>
    </row>
    <row r="156" spans="1:30" ht="15">
      <c r="A156" s="286"/>
      <c r="B156" s="286"/>
      <c r="C156" s="286"/>
      <c r="D156" s="316"/>
      <c r="E156" s="222" t="s">
        <v>116</v>
      </c>
      <c r="F156" s="222" t="s">
        <v>98</v>
      </c>
      <c r="G156" s="290">
        <f t="shared" si="14"/>
        <v>233.54199205498057</v>
      </c>
      <c r="H156" s="222">
        <v>1</v>
      </c>
      <c r="I156" s="285">
        <v>2</v>
      </c>
      <c r="J156" s="286"/>
      <c r="K156" s="474">
        <f>G16</f>
        <v>0.14120707373469213</v>
      </c>
      <c r="L156" s="479">
        <f>$G$27</f>
        <v>1653.8972579643746</v>
      </c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  <c r="AD156" s="286"/>
    </row>
    <row r="157" spans="1:30" ht="15">
      <c r="A157" s="286"/>
      <c r="B157" s="286"/>
      <c r="C157" s="286"/>
      <c r="D157" s="316"/>
      <c r="E157" s="222" t="s">
        <v>103</v>
      </c>
      <c r="F157" s="222" t="s">
        <v>402</v>
      </c>
      <c r="G157" s="290">
        <f t="shared" si="14"/>
        <v>209.31781958272791</v>
      </c>
      <c r="H157" s="222">
        <v>1</v>
      </c>
      <c r="I157" s="285">
        <v>2</v>
      </c>
      <c r="J157" s="286"/>
      <c r="K157" s="474">
        <f>H16</f>
        <v>0.18274836696231347</v>
      </c>
      <c r="L157" s="479">
        <f>$H$27</f>
        <v>1145.3881808196602</v>
      </c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</row>
    <row r="158" spans="1:30" ht="15">
      <c r="A158" s="286"/>
      <c r="B158" s="286"/>
      <c r="C158" s="286"/>
      <c r="D158" s="316"/>
      <c r="E158" s="222" t="s">
        <v>117</v>
      </c>
      <c r="F158" s="222" t="s">
        <v>135</v>
      </c>
      <c r="G158" s="290">
        <f t="shared" si="14"/>
        <v>145.02658343428817</v>
      </c>
      <c r="H158" s="222">
        <v>1</v>
      </c>
      <c r="I158" s="285">
        <v>2</v>
      </c>
      <c r="J158" s="286"/>
      <c r="K158" s="474">
        <f>I16</f>
        <v>0.14291412123669672</v>
      </c>
      <c r="L158" s="479">
        <f>$I$27</f>
        <v>1014.7813398655879</v>
      </c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</row>
    <row r="159" spans="1:30" ht="15">
      <c r="A159" s="286"/>
      <c r="B159" s="286"/>
      <c r="C159" s="286"/>
      <c r="D159" s="316"/>
      <c r="E159" s="222" t="s">
        <v>119</v>
      </c>
      <c r="F159" s="222" t="s">
        <v>403</v>
      </c>
      <c r="G159" s="290">
        <f t="shared" si="14"/>
        <v>275.43284071081786</v>
      </c>
      <c r="H159" s="222">
        <v>1</v>
      </c>
      <c r="I159" s="285">
        <v>2</v>
      </c>
      <c r="J159" s="286"/>
      <c r="K159" s="474">
        <f>J16</f>
        <v>0.2020458433203943</v>
      </c>
      <c r="L159" s="479">
        <f>$J$27</f>
        <v>1363.2195356479078</v>
      </c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</row>
    <row r="160" spans="1:30" ht="15">
      <c r="A160" s="286"/>
      <c r="B160" s="286"/>
      <c r="C160" s="286"/>
      <c r="D160" s="316"/>
      <c r="E160" s="222" t="s">
        <v>121</v>
      </c>
      <c r="F160" s="222" t="s">
        <v>404</v>
      </c>
      <c r="G160" s="290">
        <f t="shared" si="14"/>
        <v>152.44598004910353</v>
      </c>
      <c r="H160" s="222">
        <v>1</v>
      </c>
      <c r="I160" s="285">
        <v>2</v>
      </c>
      <c r="J160" s="286"/>
      <c r="K160" s="474">
        <f>K16</f>
        <v>0.11993143337384264</v>
      </c>
      <c r="L160" s="479">
        <f>$K$27</f>
        <v>1271.1094644713251</v>
      </c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</row>
    <row r="161" spans="1:30" ht="15">
      <c r="A161" s="286"/>
      <c r="B161" s="286"/>
      <c r="C161" s="286"/>
      <c r="D161" s="316"/>
      <c r="E161" s="287" t="s">
        <v>115</v>
      </c>
      <c r="F161" s="287" t="s">
        <v>400</v>
      </c>
      <c r="G161" s="478">
        <f t="shared" si="14"/>
        <v>199.96882954214837</v>
      </c>
      <c r="H161" s="222">
        <v>1</v>
      </c>
      <c r="I161" s="285">
        <v>2</v>
      </c>
      <c r="J161" s="286"/>
      <c r="K161" s="474">
        <f>E18</f>
        <v>0.14740426944827861</v>
      </c>
      <c r="L161" s="479">
        <f>$E$27</f>
        <v>1356.6013405894846</v>
      </c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  <c r="AD161" s="286"/>
    </row>
    <row r="162" spans="1:30" ht="15">
      <c r="A162" s="286"/>
      <c r="B162" s="286"/>
      <c r="C162" s="286"/>
      <c r="D162" s="316"/>
      <c r="E162" s="222" t="s">
        <v>95</v>
      </c>
      <c r="F162" s="222" t="s">
        <v>401</v>
      </c>
      <c r="G162" s="290">
        <f t="shared" si="14"/>
        <v>242.01686886903983</v>
      </c>
      <c r="H162" s="222">
        <v>1</v>
      </c>
      <c r="I162" s="285">
        <v>2</v>
      </c>
      <c r="J162" s="286"/>
      <c r="K162" s="474">
        <f>F18</f>
        <v>0.17355699528814789</v>
      </c>
      <c r="L162" s="479">
        <f>$F$27</f>
        <v>1394.451825276368</v>
      </c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  <c r="AD162" s="286"/>
    </row>
    <row r="163" spans="1:30" ht="15">
      <c r="A163" s="286"/>
      <c r="B163" s="286"/>
      <c r="C163" s="286"/>
      <c r="D163" s="316"/>
      <c r="E163" s="222" t="s">
        <v>116</v>
      </c>
      <c r="F163" s="222" t="s">
        <v>98</v>
      </c>
      <c r="G163" s="290">
        <f t="shared" si="14"/>
        <v>150.66654176240505</v>
      </c>
      <c r="H163" s="222">
        <v>1</v>
      </c>
      <c r="I163" s="285">
        <v>2</v>
      </c>
      <c r="J163" s="286"/>
      <c r="K163" s="474">
        <f>G18</f>
        <v>9.1097884730667142E-2</v>
      </c>
      <c r="L163" s="479">
        <f>$G$27</f>
        <v>1653.8972579643746</v>
      </c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  <c r="AD163" s="286"/>
    </row>
    <row r="164" spans="1:30" ht="15">
      <c r="A164" s="286"/>
      <c r="B164" s="286"/>
      <c r="C164" s="286"/>
      <c r="D164" s="316"/>
      <c r="E164" s="222" t="s">
        <v>103</v>
      </c>
      <c r="F164" s="222" t="s">
        <v>402</v>
      </c>
      <c r="G164" s="290">
        <f t="shared" si="14"/>
        <v>146.07693622063061</v>
      </c>
      <c r="H164" s="222">
        <v>1</v>
      </c>
      <c r="I164" s="285">
        <v>2</v>
      </c>
      <c r="J164" s="286"/>
      <c r="K164" s="474">
        <f>H18</f>
        <v>0.12753487303849717</v>
      </c>
      <c r="L164" s="479">
        <f>$H$27</f>
        <v>1145.3881808196602</v>
      </c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</row>
    <row r="165" spans="1:30" ht="15">
      <c r="A165" s="286"/>
      <c r="B165" s="286"/>
      <c r="C165" s="286"/>
      <c r="D165" s="316"/>
      <c r="E165" s="222" t="s">
        <v>117</v>
      </c>
      <c r="F165" s="222" t="s">
        <v>135</v>
      </c>
      <c r="G165" s="290">
        <f t="shared" si="14"/>
        <v>116.21554395115665</v>
      </c>
      <c r="H165" s="222">
        <v>1</v>
      </c>
      <c r="I165" s="285">
        <v>2</v>
      </c>
      <c r="J165" s="286"/>
      <c r="K165" s="474">
        <f>I18</f>
        <v>0.11452274434465841</v>
      </c>
      <c r="L165" s="479">
        <f>$I$27</f>
        <v>1014.7813398655879</v>
      </c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</row>
    <row r="166" spans="1:30" ht="15">
      <c r="A166" s="286"/>
      <c r="B166" s="286"/>
      <c r="C166" s="286"/>
      <c r="D166" s="316"/>
      <c r="E166" s="222" t="s">
        <v>119</v>
      </c>
      <c r="F166" s="222" t="s">
        <v>403</v>
      </c>
      <c r="G166" s="290">
        <f t="shared" si="14"/>
        <v>162.54172014698437</v>
      </c>
      <c r="H166" s="222">
        <v>1</v>
      </c>
      <c r="I166" s="285">
        <v>2</v>
      </c>
      <c r="J166" s="286"/>
      <c r="K166" s="474">
        <f>J18</f>
        <v>0.11923370806869484</v>
      </c>
      <c r="L166" s="479">
        <f>$J$27</f>
        <v>1363.2195356479078</v>
      </c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</row>
    <row r="167" spans="1:30" ht="15">
      <c r="A167" s="286"/>
      <c r="B167" s="286"/>
      <c r="C167" s="286"/>
      <c r="D167" s="316"/>
      <c r="E167" s="222" t="s">
        <v>121</v>
      </c>
      <c r="F167" s="222" t="s">
        <v>404</v>
      </c>
      <c r="G167" s="290">
        <f t="shared" si="14"/>
        <v>206.59239208691869</v>
      </c>
      <c r="H167" s="222">
        <v>1</v>
      </c>
      <c r="I167" s="285">
        <v>2</v>
      </c>
      <c r="J167" s="286"/>
      <c r="K167" s="474">
        <f>K18</f>
        <v>0.16252919033440114</v>
      </c>
      <c r="L167" s="479">
        <f>$K$27</f>
        <v>1271.1094644713251</v>
      </c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  <c r="AD167" s="286"/>
    </row>
    <row r="168" spans="1:30" ht="15">
      <c r="A168" s="286"/>
      <c r="B168" s="286"/>
      <c r="C168" s="286"/>
      <c r="D168" s="316"/>
      <c r="E168" s="287" t="s">
        <v>115</v>
      </c>
      <c r="F168" s="287" t="s">
        <v>400</v>
      </c>
      <c r="G168" s="478">
        <f t="shared" si="14"/>
        <v>42.501764934116387</v>
      </c>
      <c r="H168" s="222">
        <v>1</v>
      </c>
      <c r="I168" s="285">
        <v>2</v>
      </c>
      <c r="J168" s="286"/>
      <c r="K168" s="474">
        <f>E20</f>
        <v>3.1329590840333446E-2</v>
      </c>
      <c r="L168" s="479">
        <f>$E$27</f>
        <v>1356.6013405894846</v>
      </c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  <c r="AD168" s="286"/>
    </row>
    <row r="169" spans="1:30" ht="15">
      <c r="A169" s="286"/>
      <c r="B169" s="286"/>
      <c r="C169" s="286"/>
      <c r="D169" s="316"/>
      <c r="E169" s="222" t="s">
        <v>95</v>
      </c>
      <c r="F169" s="222" t="s">
        <v>401</v>
      </c>
      <c r="G169" s="290">
        <f t="shared" si="14"/>
        <v>19.720828980609745</v>
      </c>
      <c r="H169" s="222">
        <v>1</v>
      </c>
      <c r="I169" s="285">
        <v>2</v>
      </c>
      <c r="J169" s="286"/>
      <c r="K169" s="474">
        <f>F20</f>
        <v>1.4142352301558535E-2</v>
      </c>
      <c r="L169" s="479">
        <f>$F$27</f>
        <v>1394.451825276368</v>
      </c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  <c r="AD169" s="286"/>
    </row>
    <row r="170" spans="1:30" ht="15">
      <c r="A170" s="286"/>
      <c r="B170" s="286"/>
      <c r="C170" s="286"/>
      <c r="D170" s="316"/>
      <c r="E170" s="222" t="s">
        <v>116</v>
      </c>
      <c r="F170" s="222" t="s">
        <v>98</v>
      </c>
      <c r="G170" s="290">
        <f t="shared" si="14"/>
        <v>39.879716253797568</v>
      </c>
      <c r="H170" s="222">
        <v>1</v>
      </c>
      <c r="I170" s="285">
        <v>2</v>
      </c>
      <c r="J170" s="286"/>
      <c r="K170" s="474">
        <f>G20</f>
        <v>2.4112571722188919E-2</v>
      </c>
      <c r="L170" s="479">
        <f>$G$27</f>
        <v>1653.8972579643746</v>
      </c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</row>
    <row r="171" spans="1:30" ht="15">
      <c r="A171" s="286"/>
      <c r="B171" s="286"/>
      <c r="C171" s="286"/>
      <c r="D171" s="316"/>
      <c r="E171" s="222" t="s">
        <v>103</v>
      </c>
      <c r="F171" s="222" t="s">
        <v>402</v>
      </c>
      <c r="G171" s="290">
        <f t="shared" si="14"/>
        <v>6.1244382715781214</v>
      </c>
      <c r="H171" s="222">
        <v>1</v>
      </c>
      <c r="I171" s="285">
        <v>2</v>
      </c>
      <c r="J171" s="286"/>
      <c r="K171" s="474">
        <f>H20</f>
        <v>5.3470416179738859E-3</v>
      </c>
      <c r="L171" s="479">
        <f>$H$27</f>
        <v>1145.3881808196602</v>
      </c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</row>
    <row r="172" spans="1:30" ht="15">
      <c r="A172" s="286"/>
      <c r="B172" s="286"/>
      <c r="C172" s="286"/>
      <c r="D172" s="316"/>
      <c r="E172" s="222" t="s">
        <v>117</v>
      </c>
      <c r="F172" s="222" t="s">
        <v>135</v>
      </c>
      <c r="G172" s="290">
        <f t="shared" si="14"/>
        <v>16.675459986490552</v>
      </c>
      <c r="H172" s="222">
        <v>1</v>
      </c>
      <c r="I172" s="285">
        <v>2</v>
      </c>
      <c r="J172" s="286"/>
      <c r="K172" s="474">
        <f>I20</f>
        <v>1.6432564663338495E-2</v>
      </c>
      <c r="L172" s="479">
        <f>$I$27</f>
        <v>1014.7813398655879</v>
      </c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</row>
    <row r="173" spans="1:30" ht="15">
      <c r="A173" s="286"/>
      <c r="B173" s="286"/>
      <c r="C173" s="286"/>
      <c r="D173" s="316"/>
      <c r="E173" s="222" t="s">
        <v>119</v>
      </c>
      <c r="F173" s="222" t="s">
        <v>403</v>
      </c>
      <c r="G173" s="290">
        <f t="shared" si="14"/>
        <v>21.147413194546722</v>
      </c>
      <c r="H173" s="222">
        <v>1</v>
      </c>
      <c r="I173" s="285">
        <v>2</v>
      </c>
      <c r="J173" s="286"/>
      <c r="K173" s="474">
        <f>J20</f>
        <v>1.5512844880480551E-2</v>
      </c>
      <c r="L173" s="479">
        <f>$J$27</f>
        <v>1363.2195356479078</v>
      </c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  <c r="AD173" s="286"/>
    </row>
    <row r="174" spans="1:30" ht="15">
      <c r="A174" s="286"/>
      <c r="B174" s="286"/>
      <c r="C174" s="286"/>
      <c r="D174" s="316"/>
      <c r="E174" s="222" t="s">
        <v>121</v>
      </c>
      <c r="F174" s="222" t="s">
        <v>404</v>
      </c>
      <c r="G174" s="290">
        <f t="shared" si="14"/>
        <v>23.074844736276813</v>
      </c>
      <c r="H174" s="222">
        <v>1</v>
      </c>
      <c r="I174" s="285">
        <v>2</v>
      </c>
      <c r="J174" s="286"/>
      <c r="K174" s="474">
        <f>K20</f>
        <v>1.8153310459279769E-2</v>
      </c>
      <c r="L174" s="479">
        <f>$K$27</f>
        <v>1271.1094644713251</v>
      </c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  <c r="AD174" s="286"/>
    </row>
    <row r="175" spans="1:30" ht="15">
      <c r="A175" s="286"/>
      <c r="B175" s="286"/>
      <c r="C175" s="286"/>
      <c r="D175" s="316"/>
      <c r="E175" s="287" t="s">
        <v>115</v>
      </c>
      <c r="F175" s="287" t="s">
        <v>400</v>
      </c>
      <c r="G175" s="478">
        <f t="shared" si="14"/>
        <v>406.312277079929</v>
      </c>
      <c r="H175" s="222">
        <v>1</v>
      </c>
      <c r="I175" s="285">
        <v>2</v>
      </c>
      <c r="J175" s="286"/>
      <c r="K175" s="474">
        <f>E22</f>
        <v>0.29950750078381461</v>
      </c>
      <c r="L175" s="479">
        <f>$E$27</f>
        <v>1356.6013405894846</v>
      </c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  <c r="AD175" s="286"/>
    </row>
    <row r="176" spans="1:30" ht="15">
      <c r="A176" s="286"/>
      <c r="B176" s="286"/>
      <c r="C176" s="286"/>
      <c r="D176" s="316"/>
      <c r="E176" s="222" t="s">
        <v>95</v>
      </c>
      <c r="F176" s="222" t="s">
        <v>401</v>
      </c>
      <c r="G176" s="290">
        <f t="shared" si="14"/>
        <v>428.31284028437699</v>
      </c>
      <c r="H176" s="222">
        <v>1</v>
      </c>
      <c r="I176" s="285">
        <v>2</v>
      </c>
      <c r="J176" s="286"/>
      <c r="K176" s="474">
        <f>F22</f>
        <v>0.30715499275099672</v>
      </c>
      <c r="L176" s="479">
        <f>$F$27</f>
        <v>1394.451825276368</v>
      </c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</row>
    <row r="177" spans="1:30" ht="15">
      <c r="A177" s="286"/>
      <c r="B177" s="286"/>
      <c r="C177" s="286"/>
      <c r="D177" s="316"/>
      <c r="E177" s="222" t="s">
        <v>116</v>
      </c>
      <c r="F177" s="222" t="s">
        <v>98</v>
      </c>
      <c r="G177" s="290">
        <f t="shared" si="14"/>
        <v>735.26511705309042</v>
      </c>
      <c r="H177" s="222">
        <v>1</v>
      </c>
      <c r="I177" s="285">
        <v>2</v>
      </c>
      <c r="J177" s="286"/>
      <c r="K177" s="474">
        <f>G22</f>
        <v>0.44456517084867692</v>
      </c>
      <c r="L177" s="479">
        <f>$G$27</f>
        <v>1653.8972579643746</v>
      </c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</row>
    <row r="178" spans="1:30" ht="15">
      <c r="A178" s="286"/>
      <c r="B178" s="286"/>
      <c r="C178" s="286"/>
      <c r="D178" s="316"/>
      <c r="E178" s="222" t="s">
        <v>103</v>
      </c>
      <c r="F178" s="222" t="s">
        <v>402</v>
      </c>
      <c r="G178" s="290">
        <f t="shared" si="14"/>
        <v>210.33665079148204</v>
      </c>
      <c r="H178" s="222">
        <v>1</v>
      </c>
      <c r="I178" s="285">
        <v>2</v>
      </c>
      <c r="J178" s="286"/>
      <c r="K178" s="474">
        <f>H22</f>
        <v>0.18363787431520498</v>
      </c>
      <c r="L178" s="479">
        <f>$H$27</f>
        <v>1145.3881808196602</v>
      </c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</row>
    <row r="179" spans="1:30" ht="15">
      <c r="A179" s="286"/>
      <c r="B179" s="286"/>
      <c r="C179" s="286"/>
      <c r="D179" s="316"/>
      <c r="E179" s="222" t="s">
        <v>117</v>
      </c>
      <c r="F179" s="222" t="s">
        <v>135</v>
      </c>
      <c r="G179" s="290">
        <f t="shared" si="14"/>
        <v>149.15497401346789</v>
      </c>
      <c r="H179" s="222">
        <v>1</v>
      </c>
      <c r="I179" s="285">
        <v>2</v>
      </c>
      <c r="J179" s="286"/>
      <c r="K179" s="474">
        <f>I22</f>
        <v>0.14698237753684365</v>
      </c>
      <c r="L179" s="479">
        <f>$I$27</f>
        <v>1014.7813398655879</v>
      </c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  <c r="AD179" s="286"/>
    </row>
    <row r="180" spans="1:30" ht="15">
      <c r="A180" s="286"/>
      <c r="B180" s="286"/>
      <c r="C180" s="286"/>
      <c r="D180" s="316"/>
      <c r="E180" s="222" t="s">
        <v>119</v>
      </c>
      <c r="F180" s="222" t="s">
        <v>403</v>
      </c>
      <c r="G180" s="290">
        <f t="shared" si="14"/>
        <v>441.26987769060105</v>
      </c>
      <c r="H180" s="222">
        <v>1</v>
      </c>
      <c r="I180" s="285">
        <v>2</v>
      </c>
      <c r="J180" s="286"/>
      <c r="K180" s="474">
        <f>J22</f>
        <v>0.32369685597329362</v>
      </c>
      <c r="L180" s="479">
        <f>$J$27</f>
        <v>1363.2195356479078</v>
      </c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  <c r="AD180" s="286"/>
    </row>
    <row r="181" spans="1:30" ht="15">
      <c r="A181" s="286"/>
      <c r="B181" s="286"/>
      <c r="C181" s="286"/>
      <c r="D181" s="316"/>
      <c r="E181" s="222" t="s">
        <v>121</v>
      </c>
      <c r="F181" s="222" t="s">
        <v>404</v>
      </c>
      <c r="G181" s="290">
        <f t="shared" si="14"/>
        <v>343.06492763571987</v>
      </c>
      <c r="H181" s="222">
        <v>1</v>
      </c>
      <c r="I181" s="285">
        <v>2</v>
      </c>
      <c r="J181" s="286"/>
      <c r="K181" s="474">
        <f>K22</f>
        <v>0.26989408640616652</v>
      </c>
      <c r="L181" s="479">
        <f>$K$27</f>
        <v>1271.1094644713251</v>
      </c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  <c r="AD181" s="286"/>
    </row>
    <row r="182" spans="1:30" ht="15">
      <c r="A182" s="286"/>
      <c r="B182" s="286"/>
      <c r="C182" s="286"/>
      <c r="D182" s="316"/>
      <c r="E182" s="287" t="s">
        <v>115</v>
      </c>
      <c r="F182" s="287" t="s">
        <v>400</v>
      </c>
      <c r="G182" s="478">
        <f t="shared" si="14"/>
        <v>2.0574083385282713</v>
      </c>
      <c r="H182" s="222">
        <v>1</v>
      </c>
      <c r="I182" s="285">
        <v>2</v>
      </c>
      <c r="J182" s="286"/>
      <c r="K182" s="474">
        <f>E24</f>
        <v>1.5165902295469242E-3</v>
      </c>
      <c r="L182" s="479">
        <f>$E$27</f>
        <v>1356.6013405894846</v>
      </c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</row>
    <row r="183" spans="1:30" ht="15">
      <c r="A183" s="286"/>
      <c r="B183" s="286"/>
      <c r="C183" s="286"/>
      <c r="D183" s="316"/>
      <c r="E183" s="222" t="s">
        <v>95</v>
      </c>
      <c r="F183" s="222" t="s">
        <v>401</v>
      </c>
      <c r="G183" s="290">
        <f t="shared" si="14"/>
        <v>6.8737023645373698</v>
      </c>
      <c r="H183" s="222">
        <v>1</v>
      </c>
      <c r="I183" s="285">
        <v>2</v>
      </c>
      <c r="J183" s="286"/>
      <c r="K183" s="474">
        <f>F24</f>
        <v>4.9293222181949975E-3</v>
      </c>
      <c r="L183" s="479">
        <f>$F$27</f>
        <v>1394.451825276368</v>
      </c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</row>
    <row r="184" spans="1:30" ht="15">
      <c r="A184" s="286"/>
      <c r="B184" s="286"/>
      <c r="C184" s="286"/>
      <c r="D184" s="316"/>
      <c r="E184" s="222" t="s">
        <v>116</v>
      </c>
      <c r="F184" s="222" t="s">
        <v>98</v>
      </c>
      <c r="G184" s="290">
        <f t="shared" si="14"/>
        <v>3.9392838474894383</v>
      </c>
      <c r="H184" s="222">
        <v>1</v>
      </c>
      <c r="I184" s="285">
        <v>2</v>
      </c>
      <c r="J184" s="286"/>
      <c r="K184" s="474">
        <f>G24</f>
        <v>2.381818960349405E-3</v>
      </c>
      <c r="L184" s="479">
        <f>$G$27</f>
        <v>1653.8972579643746</v>
      </c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</row>
    <row r="185" spans="1:30" ht="15">
      <c r="A185" s="286"/>
      <c r="B185" s="286"/>
      <c r="C185" s="286"/>
      <c r="D185" s="316"/>
      <c r="E185" s="222" t="s">
        <v>103</v>
      </c>
      <c r="F185" s="222" t="s">
        <v>402</v>
      </c>
      <c r="G185" s="290">
        <f t="shared" si="14"/>
        <v>4.1245332682460782</v>
      </c>
      <c r="H185" s="222">
        <v>1</v>
      </c>
      <c r="I185" s="285">
        <v>2</v>
      </c>
      <c r="J185" s="286"/>
      <c r="K185" s="474">
        <f>H24</f>
        <v>3.6009916439808977E-3</v>
      </c>
      <c r="L185" s="479">
        <f>$H$27</f>
        <v>1145.3881808196602</v>
      </c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  <c r="AD185" s="286"/>
    </row>
    <row r="186" spans="1:30" ht="15">
      <c r="A186" s="286"/>
      <c r="B186" s="286"/>
      <c r="C186" s="286"/>
      <c r="D186" s="316"/>
      <c r="E186" s="222" t="s">
        <v>117</v>
      </c>
      <c r="F186" s="222" t="s">
        <v>135</v>
      </c>
      <c r="G186" s="290">
        <f t="shared" si="14"/>
        <v>4.6478122696974076</v>
      </c>
      <c r="H186" s="222">
        <v>1</v>
      </c>
      <c r="I186" s="285">
        <v>2</v>
      </c>
      <c r="J186" s="286"/>
      <c r="K186" s="474">
        <f>I24</f>
        <v>4.5801120764725825E-3</v>
      </c>
      <c r="L186" s="479">
        <f>$I$27</f>
        <v>1014.7813398655879</v>
      </c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  <c r="AD186" s="286"/>
    </row>
    <row r="187" spans="1:30" ht="15">
      <c r="A187" s="286"/>
      <c r="B187" s="286"/>
      <c r="C187" s="286"/>
      <c r="D187" s="316"/>
      <c r="E187" s="222" t="s">
        <v>119</v>
      </c>
      <c r="F187" s="222" t="s">
        <v>403</v>
      </c>
      <c r="G187" s="290">
        <f t="shared" si="14"/>
        <v>7.468805169852657</v>
      </c>
      <c r="H187" s="222">
        <v>1</v>
      </c>
      <c r="I187" s="285">
        <v>2</v>
      </c>
      <c r="J187" s="286"/>
      <c r="K187" s="474">
        <f>J24</f>
        <v>5.4787985167061891E-3</v>
      </c>
      <c r="L187" s="479">
        <f>$J$27</f>
        <v>1363.2195356479078</v>
      </c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  <c r="AD187" s="286"/>
    </row>
    <row r="188" spans="1:30" ht="15">
      <c r="A188" s="286"/>
      <c r="B188" s="286"/>
      <c r="C188" s="286"/>
      <c r="D188" s="316"/>
      <c r="E188" s="222" t="s">
        <v>121</v>
      </c>
      <c r="F188" s="222" t="s">
        <v>404</v>
      </c>
      <c r="G188" s="290">
        <f t="shared" si="14"/>
        <v>2.0341817442014278</v>
      </c>
      <c r="H188" s="222">
        <v>1</v>
      </c>
      <c r="I188" s="285">
        <v>2</v>
      </c>
      <c r="J188" s="286"/>
      <c r="K188" s="474">
        <f>K24</f>
        <v>1.6003198788606904E-3</v>
      </c>
      <c r="L188" s="479">
        <f>$K$27</f>
        <v>1271.1094644713251</v>
      </c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</row>
    <row r="189" spans="1:30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</row>
    <row r="190" spans="1:30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</row>
    <row r="191" spans="1:30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  <c r="AD191" s="286"/>
    </row>
    <row r="192" spans="1:30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  <c r="AD192" s="286"/>
    </row>
    <row r="193" spans="1:30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  <c r="AD193" s="286"/>
    </row>
    <row r="194" spans="1:30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</row>
    <row r="195" spans="1:30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</row>
    <row r="196" spans="1:30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</row>
    <row r="197" spans="1:30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  <c r="AD197" s="286"/>
    </row>
    <row r="198" spans="1:30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  <c r="AD198" s="286"/>
    </row>
    <row r="199" spans="1:30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  <c r="AD199" s="286"/>
    </row>
    <row r="200" spans="1:30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</row>
    <row r="201" spans="1:30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</row>
    <row r="202" spans="1:30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</row>
    <row r="203" spans="1:30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  <c r="AD203" s="286"/>
    </row>
    <row r="204" spans="1:30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  <c r="AD204" s="286"/>
    </row>
    <row r="205" spans="1:30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  <c r="AD205" s="286"/>
    </row>
    <row r="206" spans="1:30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</row>
    <row r="207" spans="1:30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</row>
    <row r="208" spans="1:30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</row>
    <row r="209" spans="1:30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  <c r="AD209" s="286"/>
    </row>
    <row r="210" spans="1:30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  <c r="AD210" s="286"/>
    </row>
    <row r="211" spans="1:30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  <c r="AD211" s="286"/>
    </row>
    <row r="212" spans="1:30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  <c r="AD212" s="286"/>
    </row>
    <row r="213" spans="1:30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  <c r="AD213" s="286"/>
    </row>
    <row r="214" spans="1:30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  <c r="AD214" s="286"/>
    </row>
    <row r="215" spans="1:30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</row>
    <row r="216" spans="1:30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</row>
    <row r="217" spans="1:30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</row>
    <row r="218" spans="1:30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  <c r="AD218" s="286"/>
    </row>
    <row r="219" spans="1:30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  <c r="AD219" s="286"/>
    </row>
    <row r="220" spans="1:30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  <c r="AD220" s="286"/>
    </row>
    <row r="221" spans="1:30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</row>
    <row r="222" spans="1:30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</row>
    <row r="223" spans="1:30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</row>
    <row r="224" spans="1:30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  <c r="AD224" s="286"/>
    </row>
    <row r="225" spans="1:30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  <c r="AD225" s="286"/>
    </row>
    <row r="226" spans="1:30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  <c r="AD226" s="286"/>
    </row>
    <row r="227" spans="1:30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</row>
    <row r="228" spans="1:30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</row>
    <row r="229" spans="1:30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</row>
    <row r="230" spans="1:30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  <c r="AD230" s="286"/>
    </row>
    <row r="231" spans="1:30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  <c r="AD231" s="286"/>
    </row>
    <row r="232" spans="1:30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  <c r="AD232" s="286"/>
    </row>
    <row r="233" spans="1:30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</row>
    <row r="234" spans="1:30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</row>
    <row r="235" spans="1:30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</row>
    <row r="236" spans="1:30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  <c r="AD236" s="286"/>
    </row>
    <row r="237" spans="1:30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  <c r="AD237" s="286"/>
    </row>
    <row r="238" spans="1:30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  <c r="AD238" s="286"/>
    </row>
    <row r="239" spans="1:30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</row>
    <row r="240" spans="1:30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</row>
    <row r="241" spans="1:30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</row>
    <row r="242" spans="1:30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  <c r="AD242" s="286"/>
    </row>
    <row r="243" spans="1:30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  <c r="AD243" s="286"/>
    </row>
    <row r="244" spans="1:30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  <c r="AD244" s="286"/>
    </row>
    <row r="245" spans="1:30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</row>
    <row r="246" spans="1:30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</row>
    <row r="247" spans="1:30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</row>
    <row r="248" spans="1:30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  <c r="AD248" s="286"/>
    </row>
    <row r="249" spans="1:30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  <c r="AD249" s="286"/>
    </row>
    <row r="250" spans="1:30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  <c r="AD250" s="286"/>
    </row>
    <row r="251" spans="1:30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  <c r="AD251" s="286"/>
    </row>
    <row r="252" spans="1:30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  <c r="AD252" s="286"/>
    </row>
    <row r="253" spans="1:30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  <c r="AD253" s="286"/>
    </row>
    <row r="254" spans="1:30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</row>
    <row r="255" spans="1:30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</row>
    <row r="256" spans="1:30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</row>
    <row r="257" spans="1:30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  <c r="AD257" s="286"/>
    </row>
    <row r="258" spans="1:30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  <c r="AD258" s="286"/>
    </row>
    <row r="259" spans="1:30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  <c r="AD259" s="286"/>
    </row>
    <row r="260" spans="1:30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</row>
    <row r="261" spans="1:30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</row>
    <row r="262" spans="1:30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</row>
    <row r="263" spans="1:30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  <c r="AD263" s="286"/>
    </row>
    <row r="264" spans="1:30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  <c r="AD264" s="286"/>
    </row>
    <row r="265" spans="1:30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  <c r="AD265" s="286"/>
    </row>
    <row r="266" spans="1:30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</row>
    <row r="267" spans="1:30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</row>
    <row r="268" spans="1:30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</row>
    <row r="269" spans="1:30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  <c r="AD269" s="286"/>
    </row>
    <row r="270" spans="1:30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  <c r="AD270" s="286"/>
    </row>
    <row r="271" spans="1:30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  <c r="AD271" s="286"/>
    </row>
    <row r="272" spans="1:30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</row>
    <row r="273" spans="1:30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</row>
    <row r="274" spans="1:30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</row>
    <row r="275" spans="1:30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  <c r="AD275" s="286"/>
    </row>
    <row r="276" spans="1:30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  <c r="AD276" s="286"/>
    </row>
    <row r="277" spans="1:30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  <c r="AD277" s="286"/>
    </row>
    <row r="278" spans="1:30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</row>
    <row r="279" spans="1:30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</row>
    <row r="280" spans="1:30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</row>
    <row r="281" spans="1:30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  <c r="AD281" s="286"/>
    </row>
    <row r="282" spans="1:30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  <c r="AD282" s="286"/>
    </row>
    <row r="283" spans="1:30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  <c r="AD283" s="286"/>
    </row>
    <row r="284" spans="1:30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</row>
    <row r="285" spans="1:30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</row>
    <row r="286" spans="1:30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</row>
    <row r="287" spans="1:30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  <c r="AD287" s="286"/>
    </row>
    <row r="288" spans="1:30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  <c r="AD288" s="286"/>
    </row>
    <row r="289" spans="1:30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  <c r="AD289" s="286"/>
    </row>
    <row r="290" spans="1:30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</row>
    <row r="291" spans="1:30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</row>
    <row r="292" spans="1:30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</row>
    <row r="293" spans="1:30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  <c r="AD293" s="286"/>
    </row>
    <row r="294" spans="1:30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  <c r="AD294" s="286"/>
    </row>
    <row r="295" spans="1:30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  <c r="AD295" s="286"/>
    </row>
    <row r="296" spans="1:30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</row>
    <row r="297" spans="1:30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</row>
    <row r="298" spans="1:30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</row>
    <row r="299" spans="1:30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  <c r="AD299" s="286"/>
    </row>
    <row r="300" spans="1:30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  <c r="AD300" s="286"/>
    </row>
    <row r="301" spans="1:30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  <c r="AD301" s="286"/>
    </row>
    <row r="302" spans="1:30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  <c r="AD302" s="286"/>
    </row>
    <row r="303" spans="1:30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  <c r="AD303" s="286"/>
    </row>
    <row r="304" spans="1:30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  <c r="AD304" s="286"/>
    </row>
    <row r="305" spans="1:30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</row>
    <row r="306" spans="1:30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</row>
    <row r="307" spans="1:30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</row>
    <row r="308" spans="1:30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  <c r="AD308" s="286"/>
    </row>
    <row r="309" spans="1:30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  <c r="AD309" s="286"/>
    </row>
    <row r="310" spans="1:30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  <c r="AD310" s="286"/>
    </row>
    <row r="311" spans="1:30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</row>
    <row r="312" spans="1:30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</row>
    <row r="313" spans="1:30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</row>
    <row r="314" spans="1:30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  <c r="AD314" s="286"/>
    </row>
    <row r="315" spans="1:30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  <c r="AD315" s="286"/>
    </row>
    <row r="316" spans="1:30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  <c r="AD316" s="286"/>
    </row>
    <row r="317" spans="1:30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</row>
    <row r="318" spans="1:30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</row>
    <row r="319" spans="1:30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</row>
    <row r="320" spans="1:30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  <c r="AD320" s="286"/>
    </row>
    <row r="321" spans="1:30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  <c r="AD321" s="286"/>
    </row>
    <row r="322" spans="1:30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  <c r="AD322" s="286"/>
    </row>
    <row r="323" spans="1:30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</row>
    <row r="324" spans="1:30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</row>
    <row r="325" spans="1:30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</row>
    <row r="326" spans="1:30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  <c r="AD326" s="286"/>
    </row>
    <row r="327" spans="1:30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  <c r="AD327" s="286"/>
    </row>
    <row r="328" spans="1:30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  <c r="AD328" s="286"/>
    </row>
    <row r="329" spans="1:30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  <c r="AD329" s="286"/>
    </row>
    <row r="330" spans="1:30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  <c r="AD330" s="286"/>
    </row>
    <row r="331" spans="1:30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  <c r="AD331" s="286"/>
    </row>
    <row r="332" spans="1:30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  <c r="AD332" s="286"/>
    </row>
    <row r="333" spans="1:30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  <c r="AD333" s="286"/>
    </row>
    <row r="334" spans="1:30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  <c r="AD334" s="286"/>
    </row>
    <row r="335" spans="1:30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  <c r="AD335" s="286"/>
    </row>
    <row r="336" spans="1:30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  <c r="AD336" s="286"/>
    </row>
    <row r="337" spans="1:30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  <c r="AD337" s="286"/>
    </row>
    <row r="338" spans="1:30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  <c r="AD338" s="286"/>
    </row>
    <row r="339" spans="1:30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  <c r="AD339" s="286"/>
    </row>
    <row r="340" spans="1:30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  <c r="AD340" s="286"/>
    </row>
    <row r="341" spans="1:30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  <c r="AD341" s="286"/>
    </row>
    <row r="342" spans="1:30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  <c r="AD342" s="286"/>
    </row>
    <row r="343" spans="1:30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  <c r="AD343" s="286"/>
    </row>
    <row r="344" spans="1:30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  <c r="AD344" s="286"/>
    </row>
    <row r="345" spans="1:30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  <c r="AD345" s="286"/>
    </row>
    <row r="346" spans="1:30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  <c r="AD346" s="286"/>
    </row>
    <row r="347" spans="1:30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  <c r="AD347" s="286"/>
    </row>
    <row r="348" spans="1:30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  <c r="AD348" s="286"/>
    </row>
    <row r="349" spans="1:30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  <c r="AD349" s="286"/>
    </row>
    <row r="350" spans="1:30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  <c r="AD350" s="286"/>
    </row>
    <row r="351" spans="1:30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  <c r="AD351" s="286"/>
    </row>
    <row r="352" spans="1:30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  <c r="AD352" s="286"/>
    </row>
    <row r="353" spans="1:30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  <c r="AD353" s="286"/>
    </row>
    <row r="354" spans="1:30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  <c r="AD354" s="286"/>
    </row>
    <row r="355" spans="1:30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  <c r="AD355" s="286"/>
    </row>
    <row r="356" spans="1:30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  <c r="AD356" s="286"/>
    </row>
    <row r="357" spans="1:30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  <c r="AD357" s="286"/>
    </row>
    <row r="358" spans="1:30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  <c r="AD358" s="286"/>
    </row>
    <row r="359" spans="1:30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  <c r="AD359" s="286"/>
    </row>
    <row r="360" spans="1:30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  <c r="AD360" s="286"/>
    </row>
    <row r="361" spans="1:30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  <c r="AD361" s="286"/>
    </row>
    <row r="362" spans="1:30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  <c r="AD362" s="286"/>
    </row>
    <row r="363" spans="1:30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  <c r="AD363" s="286"/>
    </row>
    <row r="364" spans="1:30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  <c r="AD364" s="286"/>
    </row>
    <row r="365" spans="1:30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  <c r="AD365" s="286"/>
    </row>
    <row r="366" spans="1:30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  <c r="AD366" s="286"/>
    </row>
    <row r="367" spans="1:30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  <c r="AD367" s="286"/>
    </row>
    <row r="368" spans="1:30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  <c r="AD368" s="286"/>
    </row>
    <row r="369" spans="1:30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  <c r="AD369" s="286"/>
    </row>
    <row r="370" spans="1:30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  <c r="AD370" s="286"/>
    </row>
    <row r="371" spans="1:30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  <c r="AD371" s="286"/>
    </row>
    <row r="372" spans="1:30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  <c r="AD372" s="286"/>
    </row>
    <row r="373" spans="1:30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  <c r="AD373" s="286"/>
    </row>
    <row r="374" spans="1:30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  <c r="AD374" s="286"/>
    </row>
    <row r="375" spans="1:30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  <c r="AD375" s="286"/>
    </row>
    <row r="376" spans="1:30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  <c r="AD376" s="286"/>
    </row>
    <row r="377" spans="1:30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  <c r="AD377" s="286"/>
    </row>
    <row r="378" spans="1:30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  <c r="AD378" s="286"/>
    </row>
    <row r="379" spans="1:30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  <c r="AD379" s="286"/>
    </row>
    <row r="380" spans="1:30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  <c r="AD380" s="286"/>
    </row>
    <row r="381" spans="1:30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  <c r="AD381" s="286"/>
    </row>
    <row r="382" spans="1:30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  <c r="AD382" s="286"/>
    </row>
    <row r="383" spans="1:30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  <c r="AD383" s="286"/>
    </row>
    <row r="384" spans="1:30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  <c r="AD384" s="286"/>
    </row>
    <row r="385" spans="1:30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  <c r="AD385" s="286"/>
    </row>
    <row r="386" spans="1:30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  <c r="AD386" s="286"/>
    </row>
    <row r="387" spans="1:30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  <c r="AD387" s="286"/>
    </row>
    <row r="388" spans="1:30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  <c r="AD388" s="286"/>
    </row>
    <row r="389" spans="1:30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  <c r="AD389" s="286"/>
    </row>
    <row r="390" spans="1:30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  <c r="AD390" s="286"/>
    </row>
    <row r="391" spans="1:30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  <c r="AD391" s="286"/>
    </row>
    <row r="392" spans="1:30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  <c r="AD392" s="286"/>
    </row>
    <row r="393" spans="1:30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  <c r="AD393" s="286"/>
    </row>
    <row r="394" spans="1:30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  <c r="AD394" s="286"/>
    </row>
    <row r="395" spans="1:30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  <c r="AD395" s="286"/>
    </row>
    <row r="396" spans="1:30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  <c r="AD396" s="286"/>
    </row>
    <row r="397" spans="1:30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  <c r="AD397" s="286"/>
    </row>
    <row r="398" spans="1:30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  <c r="AD398" s="286"/>
    </row>
    <row r="399" spans="1:30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  <c r="AD399" s="286"/>
    </row>
    <row r="400" spans="1:30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  <c r="AD400" s="286"/>
    </row>
    <row r="401" spans="1:30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  <c r="AD401" s="286"/>
    </row>
    <row r="402" spans="1:30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  <c r="AD402" s="286"/>
    </row>
    <row r="403" spans="1:30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  <c r="AD403" s="286"/>
    </row>
    <row r="404" spans="1:30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  <c r="AD404" s="286"/>
    </row>
    <row r="405" spans="1:30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  <c r="AD405" s="286"/>
    </row>
    <row r="406" spans="1:30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  <c r="AD406" s="286"/>
    </row>
    <row r="407" spans="1:30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  <c r="AD407" s="286"/>
    </row>
    <row r="408" spans="1:30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  <c r="AD408" s="286"/>
    </row>
    <row r="409" spans="1:30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  <c r="AD409" s="286"/>
    </row>
    <row r="410" spans="1:30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  <c r="AD410" s="286"/>
    </row>
    <row r="411" spans="1:30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  <c r="AD411" s="286"/>
    </row>
    <row r="412" spans="1:30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  <c r="AD412" s="286"/>
    </row>
    <row r="413" spans="1:30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  <c r="AD413" s="286"/>
    </row>
    <row r="414" spans="1:30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  <c r="AD414" s="286"/>
    </row>
    <row r="415" spans="1:30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  <c r="AD415" s="286"/>
    </row>
    <row r="416" spans="1:30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  <c r="AD416" s="286"/>
    </row>
    <row r="417" spans="1:30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  <c r="AD417" s="286"/>
    </row>
    <row r="418" spans="1:30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  <c r="AD418" s="286"/>
    </row>
    <row r="419" spans="1:30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  <c r="AD419" s="286"/>
    </row>
    <row r="420" spans="1:30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  <c r="AD420" s="286"/>
    </row>
    <row r="421" spans="1:30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  <c r="AD421" s="286"/>
    </row>
    <row r="422" spans="1:30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  <c r="AD422" s="286"/>
    </row>
    <row r="423" spans="1:30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  <c r="AD423" s="286"/>
    </row>
    <row r="424" spans="1:30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  <c r="AD424" s="286"/>
    </row>
    <row r="425" spans="1:30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  <c r="AD425" s="286"/>
    </row>
    <row r="426" spans="1:30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  <c r="AD426" s="286"/>
    </row>
    <row r="427" spans="1:30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  <c r="AD427" s="286"/>
    </row>
    <row r="428" spans="1:30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  <c r="AD428" s="286"/>
    </row>
    <row r="429" spans="1:30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  <c r="AD429" s="286"/>
    </row>
    <row r="430" spans="1:30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  <c r="AD430" s="286"/>
    </row>
    <row r="431" spans="1:30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  <c r="AD431" s="286"/>
    </row>
    <row r="432" spans="1:30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  <c r="AD432" s="286"/>
    </row>
    <row r="433" spans="1:30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  <c r="AD433" s="286"/>
    </row>
    <row r="434" spans="1:30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  <c r="AD434" s="286"/>
    </row>
    <row r="435" spans="1:30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  <c r="AD435" s="286"/>
    </row>
    <row r="436" spans="1:30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  <c r="AD436" s="286"/>
    </row>
    <row r="437" spans="1:30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  <c r="AD437" s="286"/>
    </row>
    <row r="438" spans="1:30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  <c r="AD438" s="286"/>
    </row>
    <row r="439" spans="1:30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  <c r="AD439" s="286"/>
    </row>
    <row r="440" spans="1:30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  <c r="AD440" s="286"/>
    </row>
    <row r="441" spans="1:30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  <c r="AD441" s="286"/>
    </row>
    <row r="442" spans="1:30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  <c r="AD442" s="286"/>
    </row>
    <row r="443" spans="1:30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  <c r="AD443" s="286"/>
    </row>
    <row r="444" spans="1:30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  <c r="AD444" s="286"/>
    </row>
    <row r="445" spans="1:30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  <c r="AD445" s="286"/>
    </row>
    <row r="446" spans="1:30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  <c r="AD446" s="286"/>
    </row>
    <row r="447" spans="1:30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  <c r="AD447" s="286"/>
    </row>
    <row r="448" spans="1:30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  <c r="AD448" s="286"/>
    </row>
    <row r="449" spans="1:30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  <c r="AD449" s="286"/>
    </row>
    <row r="450" spans="1:30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  <c r="AD450" s="286"/>
    </row>
    <row r="451" spans="1:30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  <c r="AD451" s="286"/>
    </row>
    <row r="452" spans="1:30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  <c r="AD452" s="286"/>
    </row>
    <row r="453" spans="1:30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  <c r="AD453" s="286"/>
    </row>
    <row r="454" spans="1:30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  <c r="AD454" s="286"/>
    </row>
    <row r="455" spans="1:30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  <c r="AD455" s="286"/>
    </row>
    <row r="456" spans="1:30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  <c r="AD456" s="286"/>
    </row>
    <row r="457" spans="1:30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  <c r="AD457" s="286"/>
    </row>
    <row r="458" spans="1:30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  <c r="AD458" s="286"/>
    </row>
    <row r="459" spans="1:30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  <c r="AD459" s="286"/>
    </row>
    <row r="460" spans="1:30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  <c r="AD460" s="286"/>
    </row>
    <row r="461" spans="1:30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  <c r="AD461" s="286"/>
    </row>
    <row r="462" spans="1:30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  <c r="AD462" s="286"/>
    </row>
    <row r="463" spans="1:30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  <c r="AD463" s="286"/>
    </row>
    <row r="464" spans="1:30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  <c r="AD464" s="286"/>
    </row>
    <row r="465" spans="1:30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  <c r="AD465" s="286"/>
    </row>
    <row r="466" spans="1:30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  <c r="AD466" s="286"/>
    </row>
    <row r="467" spans="1:30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  <c r="AD467" s="286"/>
    </row>
    <row r="468" spans="1:30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  <c r="AD468" s="286"/>
    </row>
    <row r="469" spans="1:30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  <c r="AD469" s="286"/>
    </row>
    <row r="470" spans="1:30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  <c r="AD470" s="286"/>
    </row>
    <row r="471" spans="1:30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  <c r="AD471" s="286"/>
    </row>
    <row r="472" spans="1:30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  <c r="AD472" s="286"/>
    </row>
    <row r="473" spans="1:30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  <c r="AD473" s="286"/>
    </row>
    <row r="474" spans="1:30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  <c r="AD474" s="286"/>
    </row>
    <row r="475" spans="1:30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  <c r="AD475" s="286"/>
    </row>
    <row r="476" spans="1:30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  <c r="AD476" s="286"/>
    </row>
    <row r="477" spans="1:30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  <c r="AD477" s="286"/>
    </row>
    <row r="478" spans="1:30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  <c r="AD478" s="286"/>
    </row>
    <row r="479" spans="1:30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  <c r="AD479" s="286"/>
    </row>
    <row r="480" spans="1:30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  <c r="AD480" s="286"/>
    </row>
    <row r="481" spans="1:30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  <c r="AD481" s="286"/>
    </row>
    <row r="482" spans="1:30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  <c r="AD482" s="286"/>
    </row>
    <row r="483" spans="1:30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  <c r="AD483" s="286"/>
    </row>
    <row r="484" spans="1:30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  <c r="AD484" s="286"/>
    </row>
    <row r="485" spans="1:30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  <c r="AD485" s="286"/>
    </row>
    <row r="486" spans="1:30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  <c r="AD486" s="286"/>
    </row>
    <row r="487" spans="1:30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  <c r="AD487" s="286"/>
    </row>
    <row r="488" spans="1:30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  <c r="AD488" s="286"/>
    </row>
    <row r="489" spans="1:30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  <c r="AD489" s="286"/>
    </row>
    <row r="490" spans="1:30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  <c r="AD490" s="286"/>
    </row>
    <row r="491" spans="1:30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  <c r="AD491" s="286"/>
    </row>
    <row r="492" spans="1:30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  <c r="AD492" s="286"/>
    </row>
    <row r="493" spans="1:30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  <c r="AD493" s="286"/>
    </row>
    <row r="494" spans="1:30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  <c r="AD494" s="286"/>
    </row>
    <row r="495" spans="1:30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  <c r="AD495" s="286"/>
    </row>
    <row r="496" spans="1:30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  <c r="AD496" s="286"/>
    </row>
    <row r="497" spans="1:30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  <c r="AD497" s="286"/>
    </row>
    <row r="498" spans="1:30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  <c r="AD498" s="286"/>
    </row>
    <row r="499" spans="1:30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  <c r="AD499" s="286"/>
    </row>
    <row r="500" spans="1:30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  <c r="AD500" s="286"/>
    </row>
    <row r="501" spans="1:30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  <c r="AD501" s="286"/>
    </row>
    <row r="502" spans="1:30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  <c r="AD502" s="286"/>
    </row>
    <row r="503" spans="1:30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  <c r="AD503" s="286"/>
    </row>
    <row r="504" spans="1:30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  <c r="AD504" s="286"/>
    </row>
    <row r="505" spans="1:30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  <c r="AD505" s="286"/>
    </row>
    <row r="506" spans="1:30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  <c r="AD506" s="286"/>
    </row>
    <row r="507" spans="1:30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  <c r="AD507" s="286"/>
    </row>
    <row r="508" spans="1:30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  <c r="AD508" s="286"/>
    </row>
    <row r="509" spans="1:30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  <c r="AD509" s="286"/>
    </row>
    <row r="510" spans="1:30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  <c r="AD510" s="286"/>
    </row>
    <row r="511" spans="1:30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  <c r="AD511" s="286"/>
    </row>
    <row r="512" spans="1:30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  <c r="AD512" s="286"/>
    </row>
    <row r="513" spans="1:30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  <c r="AD513" s="286"/>
    </row>
    <row r="514" spans="1:30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  <c r="AD514" s="286"/>
    </row>
    <row r="515" spans="1:30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  <c r="AD515" s="286"/>
    </row>
    <row r="516" spans="1:30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  <c r="AD516" s="286"/>
    </row>
    <row r="517" spans="1:30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  <c r="AD517" s="286"/>
    </row>
    <row r="518" spans="1:30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  <c r="AD518" s="286"/>
    </row>
    <row r="519" spans="1:30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  <c r="AD519" s="286"/>
    </row>
    <row r="520" spans="1:30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  <c r="AD520" s="286"/>
    </row>
    <row r="521" spans="1:30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  <c r="AD521" s="286"/>
    </row>
    <row r="522" spans="1:30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  <c r="AD522" s="286"/>
    </row>
    <row r="523" spans="1:30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  <c r="AD523" s="286"/>
    </row>
    <row r="524" spans="1:30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  <c r="AD524" s="286"/>
    </row>
    <row r="525" spans="1:30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  <c r="AD525" s="286"/>
    </row>
    <row r="526" spans="1:30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  <c r="AD526" s="286"/>
    </row>
    <row r="527" spans="1:30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  <c r="AD527" s="286"/>
    </row>
    <row r="528" spans="1:30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  <c r="AD528" s="286"/>
    </row>
    <row r="529" spans="1:30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  <c r="AD529" s="286"/>
    </row>
    <row r="530" spans="1:30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  <c r="AD530" s="286"/>
    </row>
    <row r="531" spans="1:30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  <c r="AD531" s="286"/>
    </row>
    <row r="532" spans="1:30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  <c r="AD532" s="286"/>
    </row>
    <row r="533" spans="1:30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  <c r="AD533" s="286"/>
    </row>
    <row r="534" spans="1:30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  <c r="AD534" s="286"/>
    </row>
    <row r="535" spans="1:30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  <c r="AD535" s="286"/>
    </row>
    <row r="536" spans="1:30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  <c r="AD536" s="286"/>
    </row>
    <row r="537" spans="1:30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  <c r="AD537" s="286"/>
    </row>
    <row r="538" spans="1:30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  <c r="AD538" s="286"/>
    </row>
    <row r="539" spans="1:30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  <c r="AD539" s="286"/>
    </row>
    <row r="540" spans="1:30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  <c r="AD540" s="286"/>
    </row>
    <row r="541" spans="1:30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  <c r="AD541" s="286"/>
    </row>
    <row r="542" spans="1:30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  <c r="AD542" s="286"/>
    </row>
    <row r="543" spans="1:30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  <c r="AD543" s="286"/>
    </row>
    <row r="544" spans="1:30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  <c r="AD544" s="286"/>
    </row>
    <row r="545" spans="1:30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  <c r="AD545" s="286"/>
    </row>
    <row r="546" spans="1:30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  <c r="AD546" s="286"/>
    </row>
    <row r="547" spans="1:30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  <c r="AD547" s="286"/>
    </row>
    <row r="548" spans="1:30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  <c r="AD548" s="286"/>
    </row>
    <row r="549" spans="1:30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  <c r="AD549" s="286"/>
    </row>
    <row r="550" spans="1:30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  <c r="AD550" s="286"/>
    </row>
    <row r="551" spans="1:30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  <c r="AD551" s="286"/>
    </row>
    <row r="552" spans="1:30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  <c r="AD552" s="286"/>
    </row>
    <row r="553" spans="1:30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  <c r="AD553" s="286"/>
    </row>
    <row r="554" spans="1:30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  <c r="AD554" s="286"/>
    </row>
    <row r="555" spans="1:30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  <c r="AD555" s="286"/>
    </row>
    <row r="556" spans="1:30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  <c r="AD556" s="286"/>
    </row>
    <row r="557" spans="1:30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  <c r="AD557" s="286"/>
    </row>
    <row r="558" spans="1:30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  <c r="AD558" s="286"/>
    </row>
    <row r="559" spans="1:30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  <c r="AD559" s="286"/>
    </row>
    <row r="560" spans="1:30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  <c r="AD560" s="286"/>
    </row>
    <row r="561" spans="1:30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  <c r="AD561" s="286"/>
    </row>
    <row r="562" spans="1:30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  <c r="AD562" s="286"/>
    </row>
    <row r="563" spans="1:30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  <c r="AD563" s="286"/>
    </row>
    <row r="564" spans="1:30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  <c r="AD564" s="286"/>
    </row>
    <row r="565" spans="1:30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  <c r="AD565" s="286"/>
    </row>
    <row r="566" spans="1:30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  <c r="AD566" s="286"/>
    </row>
    <row r="567" spans="1:30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  <c r="AD567" s="286"/>
    </row>
    <row r="568" spans="1:30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  <c r="AD568" s="286"/>
    </row>
    <row r="569" spans="1:30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  <c r="AD569" s="286"/>
    </row>
    <row r="570" spans="1:30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  <c r="AD570" s="286"/>
    </row>
    <row r="571" spans="1:30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  <c r="AD571" s="286"/>
    </row>
    <row r="572" spans="1:30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  <c r="AD572" s="286"/>
    </row>
    <row r="573" spans="1:30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  <c r="AD573" s="286"/>
    </row>
    <row r="574" spans="1:30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  <c r="AD574" s="286"/>
    </row>
    <row r="575" spans="1:30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  <c r="AD575" s="286"/>
    </row>
    <row r="576" spans="1:30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  <c r="AD576" s="286"/>
    </row>
    <row r="577" spans="1:30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  <c r="AD577" s="286"/>
    </row>
    <row r="578" spans="1:30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  <c r="AD578" s="286"/>
    </row>
    <row r="579" spans="1:30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  <c r="AD579" s="286"/>
    </row>
    <row r="580" spans="1:30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  <c r="AD580" s="286"/>
    </row>
    <row r="581" spans="1:30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  <c r="AD581" s="286"/>
    </row>
    <row r="582" spans="1:30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  <c r="AD582" s="286"/>
    </row>
    <row r="583" spans="1:30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  <c r="AD583" s="286"/>
    </row>
    <row r="584" spans="1:30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  <c r="AD584" s="286"/>
    </row>
    <row r="585" spans="1:30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  <c r="AD585" s="286"/>
    </row>
    <row r="586" spans="1:30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  <c r="AD586" s="286"/>
    </row>
    <row r="587" spans="1:30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  <c r="AD587" s="286"/>
    </row>
    <row r="588" spans="1:30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  <c r="AD588" s="286"/>
    </row>
    <row r="589" spans="1:30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  <c r="AD589" s="286"/>
    </row>
    <row r="590" spans="1:30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  <c r="AD590" s="286"/>
    </row>
    <row r="591" spans="1:30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  <c r="AD591" s="286"/>
    </row>
    <row r="592" spans="1:30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  <c r="AD592" s="286"/>
    </row>
    <row r="593" spans="1:30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  <c r="AD593" s="286"/>
    </row>
    <row r="594" spans="1:30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  <c r="AD594" s="286"/>
    </row>
    <row r="595" spans="1:30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  <c r="AD595" s="286"/>
    </row>
    <row r="596" spans="1:30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  <c r="AD596" s="286"/>
    </row>
    <row r="597" spans="1:30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  <c r="AD597" s="286"/>
    </row>
    <row r="598" spans="1:30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  <c r="AD598" s="286"/>
    </row>
    <row r="599" spans="1:30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  <c r="AD599" s="286"/>
    </row>
    <row r="600" spans="1:30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  <c r="AD600" s="286"/>
    </row>
    <row r="601" spans="1:30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  <c r="AD601" s="286"/>
    </row>
    <row r="602" spans="1:30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  <c r="AD602" s="286"/>
    </row>
    <row r="603" spans="1:30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  <c r="AD603" s="286"/>
    </row>
    <row r="604" spans="1:30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  <c r="AD604" s="286"/>
    </row>
    <row r="605" spans="1:30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  <c r="AD605" s="286"/>
    </row>
    <row r="606" spans="1:30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  <c r="AD606" s="286"/>
    </row>
    <row r="607" spans="1:30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  <c r="AD607" s="286"/>
    </row>
    <row r="608" spans="1:30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  <c r="AD608" s="286"/>
    </row>
    <row r="609" spans="1:30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  <c r="AD609" s="286"/>
    </row>
    <row r="610" spans="1:30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  <c r="AD610" s="286"/>
    </row>
    <row r="611" spans="1:30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  <c r="AD611" s="286"/>
    </row>
    <row r="612" spans="1:30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  <c r="AD612" s="286"/>
    </row>
    <row r="613" spans="1:30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  <c r="AD613" s="286"/>
    </row>
    <row r="614" spans="1:30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  <c r="AD614" s="286"/>
    </row>
    <row r="615" spans="1:30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  <c r="AD615" s="286"/>
    </row>
    <row r="616" spans="1:30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  <c r="AD616" s="286"/>
    </row>
    <row r="617" spans="1:30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  <c r="AD617" s="286"/>
    </row>
    <row r="618" spans="1:30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  <c r="AD618" s="286"/>
    </row>
    <row r="619" spans="1:30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  <c r="AD619" s="286"/>
    </row>
    <row r="620" spans="1:30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  <c r="AD620" s="286"/>
    </row>
    <row r="621" spans="1:30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  <c r="AD621" s="286"/>
    </row>
    <row r="622" spans="1:30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  <c r="AD622" s="286"/>
    </row>
    <row r="623" spans="1:30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  <c r="AD623" s="286"/>
    </row>
    <row r="624" spans="1:30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  <c r="AD624" s="286"/>
    </row>
    <row r="625" spans="1:30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  <c r="AD625" s="286"/>
    </row>
    <row r="626" spans="1:30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  <c r="AD626" s="286"/>
    </row>
    <row r="627" spans="1:30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  <c r="AD627" s="286"/>
    </row>
    <row r="628" spans="1:30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  <c r="AD628" s="286"/>
    </row>
    <row r="629" spans="1:30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  <c r="AD629" s="286"/>
    </row>
    <row r="630" spans="1:30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  <c r="AD630" s="286"/>
    </row>
    <row r="631" spans="1:30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  <c r="AD631" s="286"/>
    </row>
    <row r="632" spans="1:30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  <c r="AD632" s="286"/>
    </row>
    <row r="633" spans="1:30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  <c r="AD633" s="286"/>
    </row>
    <row r="634" spans="1:30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  <c r="AD634" s="286"/>
    </row>
    <row r="635" spans="1:30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  <c r="AD635" s="286"/>
    </row>
    <row r="636" spans="1:30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  <c r="AD636" s="286"/>
    </row>
    <row r="637" spans="1:30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  <c r="AD637" s="286"/>
    </row>
    <row r="638" spans="1:30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  <c r="AD638" s="286"/>
    </row>
    <row r="639" spans="1:30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  <c r="AD639" s="286"/>
    </row>
    <row r="640" spans="1:30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  <c r="AD640" s="286"/>
    </row>
    <row r="641" spans="1:30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  <c r="AD641" s="286"/>
    </row>
    <row r="642" spans="1:30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  <c r="AD642" s="286"/>
    </row>
    <row r="643" spans="1:30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  <c r="AD643" s="286"/>
    </row>
    <row r="644" spans="1:30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  <c r="AD644" s="286"/>
    </row>
    <row r="645" spans="1:30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  <c r="AD645" s="286"/>
    </row>
    <row r="646" spans="1:30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  <c r="AD646" s="286"/>
    </row>
    <row r="647" spans="1:30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  <c r="AD647" s="286"/>
    </row>
    <row r="648" spans="1:30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  <c r="AD648" s="286"/>
    </row>
    <row r="649" spans="1:30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  <c r="AD649" s="286"/>
    </row>
    <row r="650" spans="1:30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  <c r="AD650" s="286"/>
    </row>
    <row r="651" spans="1:30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  <c r="AD651" s="286"/>
    </row>
    <row r="652" spans="1:30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  <c r="AD652" s="286"/>
    </row>
    <row r="653" spans="1:30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  <c r="AD653" s="286"/>
    </row>
    <row r="654" spans="1:30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  <c r="AD654" s="286"/>
    </row>
    <row r="655" spans="1:30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  <c r="AD655" s="286"/>
    </row>
    <row r="656" spans="1:30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  <c r="AD656" s="286"/>
    </row>
    <row r="657" spans="1:30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  <c r="AD657" s="286"/>
    </row>
    <row r="658" spans="1:30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  <c r="AD658" s="286"/>
    </row>
    <row r="659" spans="1:30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  <c r="AD659" s="286"/>
    </row>
    <row r="660" spans="1:30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  <c r="AD660" s="286"/>
    </row>
    <row r="661" spans="1:30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  <c r="AD661" s="286"/>
    </row>
    <row r="662" spans="1:30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  <c r="AD662" s="286"/>
    </row>
    <row r="663" spans="1:30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  <c r="AD663" s="286"/>
    </row>
    <row r="664" spans="1:30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  <c r="AD664" s="286"/>
    </row>
    <row r="665" spans="1:30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  <c r="AD665" s="286"/>
    </row>
    <row r="666" spans="1:30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  <c r="AD666" s="286"/>
    </row>
    <row r="667" spans="1:30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  <c r="AD667" s="286"/>
    </row>
    <row r="668" spans="1:30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  <c r="AD668" s="286"/>
    </row>
    <row r="669" spans="1:30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  <c r="AD669" s="286"/>
    </row>
    <row r="670" spans="1:30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  <c r="AD670" s="286"/>
    </row>
    <row r="671" spans="1:30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  <c r="AD671" s="286"/>
    </row>
    <row r="672" spans="1:30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  <c r="AD672" s="286"/>
    </row>
    <row r="673" spans="1:30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  <c r="AD673" s="286"/>
    </row>
    <row r="674" spans="1:30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  <c r="AD674" s="286"/>
    </row>
    <row r="675" spans="1:30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  <c r="AD675" s="286"/>
    </row>
    <row r="676" spans="1:30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  <c r="AD676" s="286"/>
    </row>
    <row r="677" spans="1:30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  <c r="AD677" s="286"/>
    </row>
    <row r="678" spans="1:30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  <c r="AD678" s="286"/>
    </row>
    <row r="679" spans="1:30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  <c r="AD679" s="286"/>
    </row>
    <row r="680" spans="1:30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  <c r="AD680" s="286"/>
    </row>
    <row r="681" spans="1:30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  <c r="AD681" s="286"/>
    </row>
    <row r="682" spans="1:30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  <c r="AD682" s="286"/>
    </row>
    <row r="683" spans="1:30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  <c r="AD683" s="286"/>
    </row>
    <row r="684" spans="1:30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  <c r="AD684" s="286"/>
    </row>
    <row r="685" spans="1:30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  <c r="AD685" s="286"/>
    </row>
    <row r="686" spans="1:30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  <c r="AD686" s="286"/>
    </row>
    <row r="687" spans="1:30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  <c r="AD687" s="286"/>
    </row>
    <row r="688" spans="1:30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  <c r="AD688" s="286"/>
    </row>
    <row r="689" spans="1:30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  <c r="AD689" s="286"/>
    </row>
    <row r="690" spans="1:30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  <c r="AD690" s="286"/>
    </row>
    <row r="691" spans="1:30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  <c r="AD691" s="286"/>
    </row>
    <row r="692" spans="1:30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  <c r="AD692" s="286"/>
    </row>
    <row r="693" spans="1:30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  <c r="AD693" s="286"/>
    </row>
    <row r="694" spans="1:30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  <c r="AD694" s="286"/>
    </row>
    <row r="695" spans="1:30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  <c r="AD695" s="286"/>
    </row>
    <row r="696" spans="1:30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  <c r="AD696" s="286"/>
    </row>
    <row r="697" spans="1:30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  <c r="AD697" s="286"/>
    </row>
    <row r="698" spans="1:30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  <c r="AD698" s="286"/>
    </row>
    <row r="699" spans="1:30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  <c r="AD699" s="286"/>
    </row>
    <row r="700" spans="1:30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  <c r="AD700" s="286"/>
    </row>
    <row r="701" spans="1:30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  <c r="AD701" s="286"/>
    </row>
    <row r="702" spans="1:30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  <c r="AD702" s="286"/>
    </row>
    <row r="703" spans="1:30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  <c r="AD703" s="286"/>
    </row>
    <row r="704" spans="1:30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  <c r="AD704" s="286"/>
    </row>
    <row r="705" spans="1:30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  <c r="AD705" s="286"/>
    </row>
    <row r="706" spans="1:30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  <c r="AD706" s="286"/>
    </row>
    <row r="707" spans="1:30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  <c r="AD707" s="286"/>
    </row>
    <row r="708" spans="1:30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  <c r="AD708" s="286"/>
    </row>
    <row r="709" spans="1:30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  <c r="AD709" s="286"/>
    </row>
    <row r="710" spans="1:30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  <c r="AD710" s="286"/>
    </row>
    <row r="711" spans="1:30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  <c r="AD711" s="286"/>
    </row>
    <row r="712" spans="1:30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  <c r="AD712" s="286"/>
    </row>
    <row r="713" spans="1:30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  <c r="AD713" s="286"/>
    </row>
    <row r="714" spans="1:30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  <c r="AD714" s="286"/>
    </row>
    <row r="715" spans="1:30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  <c r="AD715" s="286"/>
    </row>
    <row r="716" spans="1:30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  <c r="AD716" s="286"/>
    </row>
    <row r="717" spans="1:30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  <c r="AD717" s="286"/>
    </row>
    <row r="718" spans="1:30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  <c r="AD718" s="286"/>
    </row>
    <row r="719" spans="1:30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  <c r="AD719" s="286"/>
    </row>
    <row r="720" spans="1:30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  <c r="AD720" s="286"/>
    </row>
    <row r="721" spans="1:30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  <c r="AD721" s="286"/>
    </row>
    <row r="722" spans="1:30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  <c r="AD722" s="286"/>
    </row>
    <row r="723" spans="1:30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  <c r="AD723" s="286"/>
    </row>
    <row r="724" spans="1:30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  <c r="AD724" s="286"/>
    </row>
    <row r="725" spans="1:30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  <c r="AD725" s="286"/>
    </row>
    <row r="726" spans="1:30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  <c r="AD726" s="286"/>
    </row>
    <row r="727" spans="1:30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  <c r="AD727" s="286"/>
    </row>
    <row r="728" spans="1:30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  <c r="AD728" s="286"/>
    </row>
    <row r="729" spans="1:30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  <c r="AD729" s="286"/>
    </row>
    <row r="730" spans="1:30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  <c r="AD730" s="286"/>
    </row>
    <row r="731" spans="1:30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  <c r="AD731" s="286"/>
    </row>
    <row r="732" spans="1:30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  <c r="AD732" s="286"/>
    </row>
    <row r="733" spans="1:30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  <c r="AD733" s="286"/>
    </row>
    <row r="734" spans="1:30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  <c r="AD734" s="286"/>
    </row>
    <row r="735" spans="1:30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  <c r="AD735" s="286"/>
    </row>
    <row r="736" spans="1:30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  <c r="AD736" s="286"/>
    </row>
    <row r="737" spans="1:30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  <c r="AD737" s="286"/>
    </row>
    <row r="738" spans="1:30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  <c r="AD738" s="286"/>
    </row>
    <row r="739" spans="1:30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  <c r="AD739" s="286"/>
    </row>
    <row r="740" spans="1:30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  <c r="AD740" s="286"/>
    </row>
    <row r="741" spans="1:30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  <c r="AD741" s="286"/>
    </row>
    <row r="742" spans="1:30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  <c r="AD742" s="286"/>
    </row>
    <row r="743" spans="1:30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  <c r="AD743" s="286"/>
    </row>
    <row r="744" spans="1:30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  <c r="AD744" s="286"/>
    </row>
    <row r="745" spans="1:30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  <c r="AD745" s="286"/>
    </row>
    <row r="746" spans="1:30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  <c r="AD746" s="286"/>
    </row>
    <row r="747" spans="1:30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  <c r="AD747" s="286"/>
    </row>
    <row r="748" spans="1:30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  <c r="AD748" s="286"/>
    </row>
    <row r="749" spans="1:30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  <c r="AD749" s="286"/>
    </row>
    <row r="750" spans="1:30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  <c r="AD750" s="286"/>
    </row>
    <row r="751" spans="1:30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  <c r="AD751" s="286"/>
    </row>
    <row r="752" spans="1:30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  <c r="AD752" s="286"/>
    </row>
    <row r="753" spans="1:30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  <c r="AD753" s="286"/>
    </row>
    <row r="754" spans="1:30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  <c r="AD754" s="286"/>
    </row>
    <row r="755" spans="1:30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  <c r="AD755" s="286"/>
    </row>
    <row r="756" spans="1:30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  <c r="AD756" s="286"/>
    </row>
    <row r="757" spans="1:30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  <c r="AD757" s="286"/>
    </row>
    <row r="758" spans="1:30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  <c r="AD758" s="286"/>
    </row>
    <row r="759" spans="1:30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  <c r="AD759" s="286"/>
    </row>
    <row r="760" spans="1:30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  <c r="AD760" s="286"/>
    </row>
    <row r="761" spans="1:30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  <c r="AD761" s="286"/>
    </row>
    <row r="762" spans="1:30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  <c r="AD762" s="286"/>
    </row>
    <row r="763" spans="1:30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  <c r="AD763" s="286"/>
    </row>
    <row r="764" spans="1:30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  <c r="AD764" s="286"/>
    </row>
    <row r="765" spans="1:30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  <c r="AD765" s="286"/>
    </row>
    <row r="766" spans="1:30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  <c r="AD766" s="286"/>
    </row>
    <row r="767" spans="1:30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  <c r="AD767" s="286"/>
    </row>
    <row r="768" spans="1:30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  <c r="AD768" s="286"/>
    </row>
    <row r="769" spans="1:30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  <c r="AD769" s="286"/>
    </row>
    <row r="770" spans="1:30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  <c r="AD770" s="286"/>
    </row>
    <row r="771" spans="1:30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  <c r="AD771" s="286"/>
    </row>
    <row r="772" spans="1:30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  <c r="AD772" s="286"/>
    </row>
    <row r="773" spans="1:30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  <c r="AD773" s="286"/>
    </row>
    <row r="774" spans="1:30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  <c r="AD774" s="286"/>
    </row>
    <row r="775" spans="1:30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  <c r="AD775" s="286"/>
    </row>
    <row r="776" spans="1:30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  <c r="AD776" s="286"/>
    </row>
    <row r="777" spans="1:30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  <c r="AD777" s="286"/>
    </row>
    <row r="778" spans="1:30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  <c r="AD778" s="286"/>
    </row>
    <row r="779" spans="1:30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  <c r="AD779" s="286"/>
    </row>
    <row r="780" spans="1:30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  <c r="AD780" s="286"/>
    </row>
    <row r="781" spans="1:30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  <c r="AD781" s="286"/>
    </row>
    <row r="782" spans="1:30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  <c r="AD782" s="286"/>
    </row>
    <row r="783" spans="1:30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  <c r="AD783" s="286"/>
    </row>
    <row r="784" spans="1:30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  <c r="AD784" s="286"/>
    </row>
    <row r="785" spans="1:30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  <c r="AD785" s="286"/>
    </row>
    <row r="786" spans="1:30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  <c r="AD786" s="286"/>
    </row>
    <row r="787" spans="1:30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  <c r="AD787" s="286"/>
    </row>
    <row r="788" spans="1:30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  <c r="AD788" s="286"/>
    </row>
    <row r="789" spans="1:30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  <c r="AD789" s="286"/>
    </row>
    <row r="790" spans="1:30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  <c r="AD790" s="286"/>
    </row>
    <row r="791" spans="1:30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  <c r="AD791" s="286"/>
    </row>
    <row r="792" spans="1:30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  <c r="AD792" s="286"/>
    </row>
    <row r="793" spans="1:30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  <c r="AD793" s="286"/>
    </row>
    <row r="794" spans="1:30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  <c r="AD794" s="286"/>
    </row>
    <row r="795" spans="1:30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  <c r="AD795" s="286"/>
    </row>
    <row r="796" spans="1:30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  <c r="AD796" s="286"/>
    </row>
    <row r="797" spans="1:30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  <c r="AD797" s="286"/>
    </row>
    <row r="798" spans="1:30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  <c r="AD798" s="286"/>
    </row>
    <row r="799" spans="1:30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  <c r="AD799" s="286"/>
    </row>
    <row r="800" spans="1:30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  <c r="AD800" s="286"/>
    </row>
    <row r="801" spans="1:30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  <c r="AD801" s="286"/>
    </row>
    <row r="802" spans="1:30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  <c r="AD802" s="286"/>
    </row>
    <row r="803" spans="1:30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  <c r="AD803" s="286"/>
    </row>
    <row r="804" spans="1:30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  <c r="AD804" s="286"/>
    </row>
    <row r="805" spans="1:30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  <c r="AD805" s="286"/>
    </row>
    <row r="806" spans="1:30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  <c r="AD806" s="286"/>
    </row>
    <row r="807" spans="1:30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  <c r="AD807" s="286"/>
    </row>
    <row r="808" spans="1:30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  <c r="AD808" s="286"/>
    </row>
    <row r="809" spans="1:30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  <c r="AD809" s="286"/>
    </row>
    <row r="810" spans="1:30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  <c r="AD810" s="286"/>
    </row>
    <row r="811" spans="1:30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  <c r="AD811" s="286"/>
    </row>
    <row r="812" spans="1:30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  <c r="AD812" s="286"/>
    </row>
    <row r="813" spans="1:30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  <c r="AD813" s="286"/>
    </row>
    <row r="814" spans="1:30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  <c r="AD814" s="286"/>
    </row>
    <row r="815" spans="1:30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  <c r="AD815" s="286"/>
    </row>
    <row r="816" spans="1:30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  <c r="AD816" s="286"/>
    </row>
    <row r="817" spans="1:30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  <c r="AD817" s="286"/>
    </row>
    <row r="818" spans="1:30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  <c r="AD818" s="286"/>
    </row>
    <row r="819" spans="1:30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  <c r="AD819" s="286"/>
    </row>
    <row r="820" spans="1:30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  <c r="AD820" s="286"/>
    </row>
    <row r="821" spans="1:30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  <c r="AD821" s="286"/>
    </row>
    <row r="822" spans="1:30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  <c r="AD822" s="286"/>
    </row>
    <row r="823" spans="1:30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  <c r="AD823" s="286"/>
    </row>
    <row r="824" spans="1:30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  <c r="AD824" s="286"/>
    </row>
    <row r="825" spans="1:30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  <c r="AD825" s="286"/>
    </row>
    <row r="826" spans="1:30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  <c r="AD826" s="286"/>
    </row>
    <row r="827" spans="1:30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  <c r="AD827" s="286"/>
    </row>
    <row r="828" spans="1:30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  <c r="AD828" s="286"/>
    </row>
    <row r="829" spans="1:30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  <c r="AD829" s="286"/>
    </row>
    <row r="830" spans="1:30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  <c r="AD830" s="286"/>
    </row>
    <row r="831" spans="1:30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  <c r="AD831" s="286"/>
    </row>
    <row r="832" spans="1:30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  <c r="AD832" s="286"/>
    </row>
    <row r="833" spans="1:30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  <c r="AD833" s="286"/>
    </row>
    <row r="834" spans="1:30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  <c r="AD834" s="286"/>
    </row>
    <row r="835" spans="1:30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  <c r="AD835" s="286"/>
    </row>
    <row r="836" spans="1:30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  <c r="AD836" s="286"/>
    </row>
    <row r="837" spans="1:30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  <c r="AD837" s="286"/>
    </row>
    <row r="838" spans="1:30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  <c r="AD838" s="286"/>
    </row>
    <row r="839" spans="1:30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  <c r="AD839" s="286"/>
    </row>
    <row r="840" spans="1:30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  <c r="AD840" s="286"/>
    </row>
    <row r="841" spans="1:30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  <c r="AD841" s="286"/>
    </row>
    <row r="842" spans="1:30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  <c r="AD842" s="286"/>
    </row>
    <row r="843" spans="1:30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  <c r="AD843" s="286"/>
    </row>
    <row r="844" spans="1:30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  <c r="AD844" s="286"/>
    </row>
    <row r="845" spans="1:30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  <c r="AD845" s="286"/>
    </row>
    <row r="846" spans="1:30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  <c r="AD846" s="286"/>
    </row>
    <row r="847" spans="1:30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  <c r="AD847" s="286"/>
    </row>
    <row r="848" spans="1:30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  <c r="AD848" s="286"/>
    </row>
    <row r="849" spans="1:30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  <c r="AD849" s="286"/>
    </row>
    <row r="850" spans="1:30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  <c r="AD850" s="286"/>
    </row>
    <row r="851" spans="1:30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  <c r="AD851" s="286"/>
    </row>
    <row r="852" spans="1:30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  <c r="AD852" s="286"/>
    </row>
    <row r="853" spans="1:30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  <c r="AD853" s="286"/>
    </row>
    <row r="854" spans="1:30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  <c r="AD854" s="286"/>
    </row>
    <row r="855" spans="1:30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  <c r="AD855" s="286"/>
    </row>
    <row r="856" spans="1:30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  <c r="AD856" s="286"/>
    </row>
    <row r="857" spans="1:30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  <c r="AD857" s="286"/>
    </row>
    <row r="858" spans="1:30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  <c r="AD858" s="286"/>
    </row>
    <row r="859" spans="1:30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  <c r="AD859" s="286"/>
    </row>
    <row r="860" spans="1:30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  <c r="AD860" s="286"/>
    </row>
    <row r="861" spans="1:30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  <c r="AD861" s="286"/>
    </row>
    <row r="862" spans="1:30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  <c r="AD862" s="286"/>
    </row>
    <row r="863" spans="1:30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  <c r="AD863" s="286"/>
    </row>
    <row r="864" spans="1:30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  <c r="AD864" s="286"/>
    </row>
    <row r="865" spans="1:30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  <c r="AD865" s="286"/>
    </row>
    <row r="866" spans="1:30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  <c r="AD866" s="286"/>
    </row>
    <row r="867" spans="1:30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  <c r="AD867" s="286"/>
    </row>
    <row r="868" spans="1:30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  <c r="AD868" s="286"/>
    </row>
    <row r="869" spans="1:30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  <c r="AD869" s="286"/>
    </row>
    <row r="870" spans="1:30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  <c r="AD870" s="286"/>
    </row>
    <row r="871" spans="1:30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  <c r="AD871" s="286"/>
    </row>
    <row r="872" spans="1:30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  <c r="AD872" s="286"/>
    </row>
    <row r="873" spans="1:30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  <c r="AD873" s="286"/>
    </row>
    <row r="874" spans="1:30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  <c r="AD874" s="286"/>
    </row>
    <row r="875" spans="1:30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  <c r="AD875" s="286"/>
    </row>
    <row r="876" spans="1:30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  <c r="AD876" s="286"/>
    </row>
    <row r="877" spans="1:30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  <c r="AD877" s="286"/>
    </row>
    <row r="878" spans="1:30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  <c r="AD878" s="286"/>
    </row>
    <row r="879" spans="1:30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  <c r="AD879" s="286"/>
    </row>
    <row r="880" spans="1:30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  <c r="AD880" s="286"/>
    </row>
    <row r="881" spans="1:30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  <c r="AD881" s="286"/>
    </row>
    <row r="882" spans="1:30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  <c r="AD882" s="286"/>
    </row>
    <row r="883" spans="1:30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  <c r="AD883" s="286"/>
    </row>
    <row r="884" spans="1:30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  <c r="AD884" s="286"/>
    </row>
    <row r="885" spans="1:30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  <c r="AD885" s="286"/>
    </row>
    <row r="886" spans="1:30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  <c r="AD886" s="286"/>
    </row>
    <row r="887" spans="1:30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  <c r="AD887" s="286"/>
    </row>
    <row r="888" spans="1:30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  <c r="AD888" s="286"/>
    </row>
    <row r="889" spans="1:30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  <c r="AD889" s="286"/>
    </row>
    <row r="890" spans="1:30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  <c r="AD890" s="286"/>
    </row>
    <row r="891" spans="1:30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  <c r="AD891" s="286"/>
    </row>
    <row r="892" spans="1:30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  <c r="AD892" s="286"/>
    </row>
    <row r="893" spans="1:30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  <c r="AD893" s="286"/>
    </row>
    <row r="894" spans="1:30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  <c r="AD894" s="286"/>
    </row>
    <row r="895" spans="1:30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  <c r="AD895" s="286"/>
    </row>
    <row r="896" spans="1:30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  <c r="AD896" s="286"/>
    </row>
    <row r="897" spans="1:30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  <c r="AD897" s="286"/>
    </row>
    <row r="898" spans="1:30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  <c r="AD898" s="286"/>
    </row>
    <row r="899" spans="1:30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  <c r="AD899" s="286"/>
    </row>
    <row r="900" spans="1:30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  <c r="AD900" s="286"/>
    </row>
    <row r="901" spans="1:30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  <c r="AD901" s="286"/>
    </row>
    <row r="902" spans="1:30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  <c r="AD902" s="286"/>
    </row>
    <row r="903" spans="1:30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  <c r="AD903" s="286"/>
    </row>
    <row r="904" spans="1:30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  <c r="AD904" s="286"/>
    </row>
    <row r="905" spans="1:30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  <c r="AD905" s="286"/>
    </row>
    <row r="906" spans="1:30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  <c r="AD906" s="286"/>
    </row>
    <row r="907" spans="1:30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  <c r="AD907" s="286"/>
    </row>
    <row r="908" spans="1:30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  <c r="AD908" s="286"/>
    </row>
    <row r="909" spans="1:30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  <c r="AD909" s="286"/>
    </row>
    <row r="910" spans="1:30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  <c r="AD910" s="286"/>
    </row>
    <row r="911" spans="1:30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  <c r="AD911" s="286"/>
    </row>
    <row r="912" spans="1:30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  <c r="AD912" s="286"/>
    </row>
    <row r="913" spans="1:30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  <c r="AD913" s="286"/>
    </row>
    <row r="914" spans="1:30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  <c r="AD914" s="286"/>
    </row>
    <row r="915" spans="1:30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  <c r="AD915" s="286"/>
    </row>
    <row r="916" spans="1:30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  <c r="AD916" s="286"/>
    </row>
    <row r="917" spans="1:30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  <c r="AD917" s="286"/>
    </row>
    <row r="918" spans="1:30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  <c r="AD918" s="286"/>
    </row>
    <row r="919" spans="1:30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  <c r="AD919" s="286"/>
    </row>
    <row r="920" spans="1:30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  <c r="AD920" s="286"/>
    </row>
    <row r="921" spans="1:30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  <c r="AD921" s="286"/>
    </row>
    <row r="922" spans="1:30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  <c r="AD922" s="286"/>
    </row>
    <row r="923" spans="1:30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  <c r="AD923" s="286"/>
    </row>
    <row r="924" spans="1:30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  <c r="AD924" s="286"/>
    </row>
    <row r="925" spans="1:30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  <c r="AD925" s="286"/>
    </row>
    <row r="926" spans="1:30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  <c r="AD926" s="286"/>
    </row>
    <row r="927" spans="1:30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  <c r="AD927" s="286"/>
    </row>
    <row r="928" spans="1:30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  <c r="AD928" s="286"/>
    </row>
    <row r="929" spans="1:30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  <c r="AD929" s="286"/>
    </row>
    <row r="930" spans="1:30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  <c r="AD930" s="286"/>
    </row>
    <row r="931" spans="1:30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  <c r="AD931" s="286"/>
    </row>
    <row r="932" spans="1:30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  <c r="AD932" s="286"/>
    </row>
    <row r="933" spans="1:30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  <c r="AD933" s="286"/>
    </row>
    <row r="934" spans="1:30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  <c r="AD934" s="286"/>
    </row>
    <row r="935" spans="1:30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  <c r="AD935" s="286"/>
    </row>
    <row r="936" spans="1:30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  <c r="AD936" s="286"/>
    </row>
    <row r="937" spans="1:30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  <c r="AD937" s="286"/>
    </row>
    <row r="938" spans="1:30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  <c r="AD938" s="286"/>
    </row>
    <row r="939" spans="1:30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  <c r="AD939" s="286"/>
    </row>
    <row r="940" spans="1:30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  <c r="AD940" s="286"/>
    </row>
    <row r="941" spans="1:30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  <c r="AD941" s="286"/>
    </row>
    <row r="942" spans="1:30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  <c r="AD942" s="286"/>
    </row>
    <row r="943" spans="1:30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  <c r="AD943" s="286"/>
    </row>
    <row r="944" spans="1:30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  <c r="AD944" s="286"/>
    </row>
    <row r="945" spans="1:30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  <c r="AD945" s="286"/>
    </row>
    <row r="946" spans="1:30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  <c r="AD946" s="286"/>
    </row>
    <row r="947" spans="1:30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  <c r="AD947" s="286"/>
    </row>
    <row r="948" spans="1:30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  <c r="AD948" s="286"/>
    </row>
    <row r="949" spans="1:30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  <c r="AD949" s="286"/>
    </row>
    <row r="950" spans="1:30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  <c r="AD950" s="286"/>
    </row>
    <row r="951" spans="1:30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  <c r="AD951" s="286"/>
    </row>
    <row r="952" spans="1:30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  <c r="AD952" s="286"/>
    </row>
    <row r="953" spans="1:30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  <c r="AD953" s="286"/>
    </row>
    <row r="954" spans="1:30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  <c r="AD954" s="286"/>
    </row>
    <row r="955" spans="1:30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  <c r="AD955" s="286"/>
    </row>
    <row r="956" spans="1:30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  <c r="AD956" s="286"/>
    </row>
    <row r="957" spans="1:30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  <c r="AD957" s="286"/>
    </row>
    <row r="958" spans="1:30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  <c r="AD958" s="286"/>
    </row>
    <row r="959" spans="1:30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  <c r="AD959" s="286"/>
    </row>
    <row r="960" spans="1:30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  <c r="AD960" s="286"/>
    </row>
    <row r="961" spans="1:30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  <c r="AD961" s="286"/>
    </row>
    <row r="962" spans="1:30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  <c r="AD962" s="286"/>
    </row>
    <row r="963" spans="1:30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  <c r="AD963" s="286"/>
    </row>
    <row r="964" spans="1:30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  <c r="AD964" s="286"/>
    </row>
    <row r="965" spans="1:30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  <c r="AD965" s="286"/>
    </row>
    <row r="966" spans="1:30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  <c r="AD966" s="286"/>
    </row>
    <row r="967" spans="1:30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  <c r="AD967" s="286"/>
    </row>
    <row r="968" spans="1:30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  <c r="AD968" s="286"/>
    </row>
    <row r="969" spans="1:30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  <c r="AD969" s="286"/>
    </row>
    <row r="970" spans="1:30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  <c r="AD970" s="286"/>
    </row>
    <row r="971" spans="1:30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  <c r="AD971" s="286"/>
    </row>
    <row r="972" spans="1:30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  <c r="AD972" s="286"/>
    </row>
    <row r="973" spans="1:30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  <c r="AD973" s="286"/>
    </row>
    <row r="974" spans="1:30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  <c r="AD974" s="286"/>
    </row>
    <row r="975" spans="1:30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  <c r="AD975" s="286"/>
    </row>
    <row r="976" spans="1:30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  <c r="AD976" s="286"/>
    </row>
    <row r="977" spans="1:30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  <c r="AD977" s="286"/>
    </row>
    <row r="978" spans="1:30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  <c r="AD978" s="286"/>
    </row>
    <row r="979" spans="1:30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  <c r="AD979" s="286"/>
    </row>
    <row r="980" spans="1:30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  <c r="AD980" s="286"/>
    </row>
    <row r="981" spans="1:30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  <c r="AD981" s="286"/>
    </row>
    <row r="982" spans="1:30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  <c r="AD982" s="286"/>
    </row>
    <row r="983" spans="1:30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  <c r="AD983" s="286"/>
    </row>
    <row r="984" spans="1:30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  <c r="AD984" s="286"/>
    </row>
    <row r="985" spans="1:30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  <c r="AD985" s="286"/>
    </row>
    <row r="986" spans="1:30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  <c r="AD986" s="286"/>
    </row>
    <row r="987" spans="1:30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  <c r="AD987" s="286"/>
    </row>
    <row r="988" spans="1:30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  <c r="AD988" s="286"/>
    </row>
    <row r="989" spans="1:30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  <c r="AD989" s="286"/>
    </row>
    <row r="990" spans="1:30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  <c r="AD990" s="286"/>
    </row>
    <row r="991" spans="1:30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  <c r="AD991" s="286"/>
    </row>
    <row r="992" spans="1:30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  <c r="AD992" s="286"/>
    </row>
    <row r="993" spans="1:30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  <c r="AD993" s="286"/>
    </row>
    <row r="994" spans="1:30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  <c r="AD994" s="286"/>
    </row>
    <row r="995" spans="1:30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  <c r="AD995" s="286"/>
    </row>
    <row r="996" spans="1:30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  <c r="AD996" s="286"/>
    </row>
    <row r="997" spans="1:30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  <c r="AD997" s="286"/>
    </row>
    <row r="998" spans="1:30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  <c r="AD998" s="286"/>
    </row>
    <row r="999" spans="1:30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  <c r="AD999" s="286"/>
    </row>
    <row r="1000" spans="1:30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  <c r="AD1000" s="286"/>
    </row>
    <row r="1001" spans="1:30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  <c r="AD1001" s="286"/>
    </row>
    <row r="1002" spans="1:30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  <c r="AD1002" s="286"/>
    </row>
    <row r="1003" spans="1:30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  <c r="AD1003" s="286"/>
    </row>
    <row r="1004" spans="1:30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  <c r="AD1004" s="286"/>
    </row>
    <row r="1005" spans="1:30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  <c r="AD1005" s="286"/>
    </row>
    <row r="1006" spans="1:30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  <c r="AD1006" s="286"/>
    </row>
    <row r="1007" spans="1:30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  <c r="AD1007" s="286"/>
    </row>
    <row r="1008" spans="1:30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  <c r="AD1008" s="286"/>
    </row>
    <row r="1009" spans="1:30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  <c r="AD1009" s="286"/>
    </row>
    <row r="1010" spans="1:30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  <c r="AD1010" s="286"/>
    </row>
    <row r="1011" spans="1:30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  <c r="AD1011" s="286"/>
    </row>
    <row r="1012" spans="1:30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  <c r="AD1012" s="286"/>
    </row>
    <row r="1013" spans="1:30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  <c r="AD1013" s="28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80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.75" customHeight="1"/>
  <cols>
    <col min="1" max="1" width="46.5703125" customWidth="1"/>
  </cols>
  <sheetData>
    <row r="1" spans="1:26">
      <c r="A1" s="287" t="s">
        <v>108</v>
      </c>
      <c r="B1" s="287" t="s">
        <v>109</v>
      </c>
      <c r="C1" s="287" t="s">
        <v>110</v>
      </c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185"/>
    </row>
    <row r="2" spans="1:26">
      <c r="A2" s="222" t="s">
        <v>123</v>
      </c>
      <c r="B2" s="222" t="s">
        <v>115</v>
      </c>
      <c r="C2" s="222">
        <v>6.14</v>
      </c>
    </row>
    <row r="3" spans="1:26">
      <c r="A3" s="222" t="s">
        <v>123</v>
      </c>
      <c r="B3" s="222" t="s">
        <v>95</v>
      </c>
      <c r="C3" s="222">
        <v>4.75</v>
      </c>
    </row>
    <row r="4" spans="1:26">
      <c r="A4" s="222" t="s">
        <v>123</v>
      </c>
      <c r="B4" s="222" t="s">
        <v>116</v>
      </c>
      <c r="C4" s="222">
        <v>4.87</v>
      </c>
    </row>
    <row r="5" spans="1:26">
      <c r="A5" s="222" t="s">
        <v>123</v>
      </c>
      <c r="B5" s="222" t="s">
        <v>103</v>
      </c>
      <c r="C5" s="222">
        <v>55.01</v>
      </c>
    </row>
    <row r="6" spans="1:26">
      <c r="A6" s="222" t="s">
        <v>123</v>
      </c>
      <c r="B6" s="222" t="s">
        <v>117</v>
      </c>
      <c r="C6" s="222">
        <v>24.82</v>
      </c>
    </row>
    <row r="7" spans="1:26">
      <c r="A7" s="222" t="s">
        <v>123</v>
      </c>
      <c r="B7" s="222" t="s">
        <v>119</v>
      </c>
      <c r="C7" s="222">
        <v>90.87</v>
      </c>
    </row>
    <row r="8" spans="1:26">
      <c r="A8" s="222" t="s">
        <v>123</v>
      </c>
      <c r="B8" s="222" t="s">
        <v>121</v>
      </c>
      <c r="C8" s="222">
        <v>25.54</v>
      </c>
    </row>
    <row r="9" spans="1:26">
      <c r="A9" s="222" t="s">
        <v>114</v>
      </c>
      <c r="B9" s="222" t="s">
        <v>115</v>
      </c>
      <c r="C9" s="222">
        <v>112.97</v>
      </c>
    </row>
    <row r="10" spans="1:26">
      <c r="A10" s="222" t="s">
        <v>114</v>
      </c>
      <c r="B10" s="222" t="s">
        <v>95</v>
      </c>
      <c r="C10" s="222">
        <v>16.309999999999999</v>
      </c>
    </row>
    <row r="11" spans="1:26">
      <c r="A11" s="222" t="s">
        <v>114</v>
      </c>
      <c r="B11" s="222" t="s">
        <v>116</v>
      </c>
      <c r="C11" s="222">
        <v>414.61</v>
      </c>
    </row>
    <row r="12" spans="1:26">
      <c r="A12" s="222" t="s">
        <v>114</v>
      </c>
      <c r="B12" s="222" t="s">
        <v>103</v>
      </c>
      <c r="C12" s="222">
        <v>85.43</v>
      </c>
    </row>
    <row r="13" spans="1:26">
      <c r="A13" s="222" t="s">
        <v>114</v>
      </c>
      <c r="B13" s="222" t="s">
        <v>117</v>
      </c>
      <c r="C13" s="222">
        <v>23.71</v>
      </c>
    </row>
    <row r="14" spans="1:26">
      <c r="A14" s="222" t="s">
        <v>114</v>
      </c>
      <c r="B14" s="222" t="s">
        <v>119</v>
      </c>
      <c r="C14" s="222">
        <v>39.06</v>
      </c>
    </row>
    <row r="15" spans="1:26">
      <c r="A15" s="222" t="s">
        <v>114</v>
      </c>
      <c r="B15" s="222" t="s">
        <v>121</v>
      </c>
      <c r="C15" s="222">
        <v>25.86</v>
      </c>
    </row>
    <row r="16" spans="1:26">
      <c r="A16" s="222" t="s">
        <v>140</v>
      </c>
      <c r="B16" s="222" t="s">
        <v>115</v>
      </c>
      <c r="C16" s="222">
        <v>1.34</v>
      </c>
    </row>
    <row r="17" spans="1:3">
      <c r="A17" s="222" t="s">
        <v>140</v>
      </c>
      <c r="B17" s="222" t="s">
        <v>95</v>
      </c>
      <c r="C17" s="222">
        <v>2.54</v>
      </c>
    </row>
    <row r="18" spans="1:3">
      <c r="A18" s="222" t="s">
        <v>140</v>
      </c>
      <c r="B18" s="222" t="s">
        <v>116</v>
      </c>
      <c r="C18" s="222">
        <v>5.28</v>
      </c>
    </row>
    <row r="19" spans="1:3">
      <c r="A19" s="222" t="s">
        <v>140</v>
      </c>
      <c r="B19" s="222" t="s">
        <v>103</v>
      </c>
      <c r="C19" s="222">
        <v>14.32</v>
      </c>
    </row>
    <row r="20" spans="1:3">
      <c r="A20" s="222" t="s">
        <v>140</v>
      </c>
      <c r="B20" s="222" t="s">
        <v>117</v>
      </c>
      <c r="C20" s="222">
        <v>5.95</v>
      </c>
    </row>
    <row r="21" spans="1:3">
      <c r="A21" s="222" t="s">
        <v>140</v>
      </c>
      <c r="B21" s="222" t="s">
        <v>119</v>
      </c>
      <c r="C21" s="222">
        <v>45.88</v>
      </c>
    </row>
    <row r="22" spans="1:3">
      <c r="A22" s="222" t="s">
        <v>140</v>
      </c>
      <c r="B22" s="222" t="s">
        <v>121</v>
      </c>
      <c r="C22" s="222">
        <v>7.59</v>
      </c>
    </row>
    <row r="23" spans="1:3">
      <c r="A23" s="222" t="s">
        <v>71</v>
      </c>
      <c r="B23" s="222" t="s">
        <v>115</v>
      </c>
      <c r="C23" s="222">
        <v>4.28</v>
      </c>
    </row>
    <row r="24" spans="1:3">
      <c r="A24" s="222" t="s">
        <v>71</v>
      </c>
      <c r="B24" s="222" t="s">
        <v>95</v>
      </c>
      <c r="C24" s="222">
        <v>8.66</v>
      </c>
    </row>
    <row r="25" spans="1:3">
      <c r="A25" s="222" t="s">
        <v>71</v>
      </c>
      <c r="B25" s="222" t="s">
        <v>116</v>
      </c>
      <c r="C25" s="222">
        <v>4.4800000000000004</v>
      </c>
    </row>
    <row r="26" spans="1:3">
      <c r="A26" s="222" t="s">
        <v>71</v>
      </c>
      <c r="B26" s="222" t="s">
        <v>103</v>
      </c>
      <c r="C26" s="222">
        <v>27.94</v>
      </c>
    </row>
    <row r="27" spans="1:3">
      <c r="A27" s="222" t="s">
        <v>71</v>
      </c>
      <c r="B27" s="222" t="s">
        <v>117</v>
      </c>
      <c r="C27" s="222">
        <v>23.71</v>
      </c>
    </row>
    <row r="28" spans="1:3">
      <c r="A28" s="222" t="s">
        <v>71</v>
      </c>
      <c r="B28" s="222" t="s">
        <v>119</v>
      </c>
      <c r="C28" s="222">
        <v>39.06</v>
      </c>
    </row>
    <row r="29" spans="1:3">
      <c r="A29" s="222" t="s">
        <v>71</v>
      </c>
      <c r="B29" s="222" t="s">
        <v>121</v>
      </c>
      <c r="C29" s="222">
        <v>25.86</v>
      </c>
    </row>
    <row r="30" spans="1:3">
      <c r="A30" s="222" t="s">
        <v>125</v>
      </c>
      <c r="B30" s="222" t="s">
        <v>115</v>
      </c>
      <c r="C30" s="222">
        <v>33.32</v>
      </c>
    </row>
    <row r="31" spans="1:3">
      <c r="A31" s="222" t="s">
        <v>125</v>
      </c>
      <c r="B31" s="222" t="s">
        <v>95</v>
      </c>
      <c r="C31" s="222">
        <v>44.76</v>
      </c>
    </row>
    <row r="32" spans="1:3">
      <c r="A32" s="222" t="s">
        <v>125</v>
      </c>
      <c r="B32" s="222" t="s">
        <v>116</v>
      </c>
      <c r="C32" s="222">
        <v>107.76</v>
      </c>
    </row>
    <row r="33" spans="1:3">
      <c r="A33" s="222" t="s">
        <v>125</v>
      </c>
      <c r="B33" s="222" t="s">
        <v>103</v>
      </c>
      <c r="C33" s="222">
        <v>359.92</v>
      </c>
    </row>
    <row r="34" spans="1:3">
      <c r="A34" s="222" t="s">
        <v>125</v>
      </c>
      <c r="B34" s="222" t="s">
        <v>117</v>
      </c>
      <c r="C34" s="222">
        <v>140.22</v>
      </c>
    </row>
    <row r="35" spans="1:3">
      <c r="A35" s="222" t="s">
        <v>125</v>
      </c>
      <c r="B35" s="222" t="s">
        <v>119</v>
      </c>
      <c r="C35" s="222">
        <v>26.74</v>
      </c>
    </row>
    <row r="36" spans="1:3">
      <c r="A36" s="222" t="s">
        <v>125</v>
      </c>
      <c r="B36" s="222" t="s">
        <v>121</v>
      </c>
      <c r="C36" s="222">
        <v>128.27000000000001</v>
      </c>
    </row>
    <row r="37" spans="1:3">
      <c r="A37" s="222" t="s">
        <v>72</v>
      </c>
      <c r="B37" s="222" t="s">
        <v>115</v>
      </c>
      <c r="C37" s="222">
        <v>6.71</v>
      </c>
    </row>
    <row r="38" spans="1:3">
      <c r="A38" s="222" t="s">
        <v>72</v>
      </c>
      <c r="B38" s="222" t="s">
        <v>95</v>
      </c>
      <c r="C38" s="222">
        <v>5.31</v>
      </c>
    </row>
    <row r="39" spans="1:3">
      <c r="A39" s="222" t="s">
        <v>72</v>
      </c>
      <c r="B39" s="222" t="s">
        <v>116</v>
      </c>
      <c r="C39" s="222">
        <v>9.9600000000000009</v>
      </c>
    </row>
    <row r="40" spans="1:3">
      <c r="A40" s="222" t="s">
        <v>72</v>
      </c>
      <c r="B40" s="222" t="s">
        <v>103</v>
      </c>
      <c r="C40" s="222">
        <v>19.82</v>
      </c>
    </row>
    <row r="41" spans="1:3">
      <c r="A41" s="222" t="s">
        <v>72</v>
      </c>
      <c r="B41" s="222" t="s">
        <v>117</v>
      </c>
      <c r="C41" s="222">
        <v>8.75</v>
      </c>
    </row>
    <row r="42" spans="1:3">
      <c r="A42" s="222" t="s">
        <v>72</v>
      </c>
      <c r="B42" s="222" t="s">
        <v>119</v>
      </c>
      <c r="C42" s="222">
        <v>97.12</v>
      </c>
    </row>
    <row r="43" spans="1:3">
      <c r="A43" s="222" t="s">
        <v>72</v>
      </c>
      <c r="B43" s="222" t="s">
        <v>121</v>
      </c>
      <c r="C43" s="222">
        <v>7.32</v>
      </c>
    </row>
    <row r="44" spans="1:3">
      <c r="A44" s="222" t="s">
        <v>66</v>
      </c>
      <c r="B44" s="222" t="s">
        <v>115</v>
      </c>
      <c r="C44" s="222">
        <v>34.700000000000003</v>
      </c>
    </row>
    <row r="45" spans="1:3">
      <c r="A45" s="222" t="s">
        <v>66</v>
      </c>
      <c r="B45" s="222" t="s">
        <v>95</v>
      </c>
      <c r="C45" s="222">
        <v>57.3</v>
      </c>
    </row>
    <row r="46" spans="1:3">
      <c r="A46" s="222" t="s">
        <v>66</v>
      </c>
      <c r="B46" s="222" t="s">
        <v>116</v>
      </c>
      <c r="C46" s="222">
        <v>114.66</v>
      </c>
    </row>
    <row r="47" spans="1:3">
      <c r="A47" s="222" t="s">
        <v>66</v>
      </c>
      <c r="B47" s="222" t="s">
        <v>103</v>
      </c>
      <c r="C47" s="222">
        <v>163.21</v>
      </c>
    </row>
    <row r="48" spans="1:3">
      <c r="A48" s="222" t="s">
        <v>66</v>
      </c>
      <c r="B48" s="222" t="s">
        <v>117</v>
      </c>
      <c r="C48" s="222">
        <v>44.77</v>
      </c>
    </row>
    <row r="49" spans="1:3">
      <c r="A49" s="222" t="s">
        <v>66</v>
      </c>
      <c r="B49" s="222" t="s">
        <v>119</v>
      </c>
      <c r="C49" s="222">
        <v>675.19</v>
      </c>
    </row>
    <row r="50" spans="1:3">
      <c r="A50" s="222" t="s">
        <v>66</v>
      </c>
      <c r="B50" s="222" t="s">
        <v>121</v>
      </c>
      <c r="C50" s="222">
        <v>40.07</v>
      </c>
    </row>
    <row r="51" spans="1:3">
      <c r="A51" s="222" t="s">
        <v>67</v>
      </c>
      <c r="B51" s="222" t="s">
        <v>115</v>
      </c>
      <c r="C51" s="222">
        <v>63.55</v>
      </c>
    </row>
    <row r="52" spans="1:3">
      <c r="A52" s="222" t="s">
        <v>67</v>
      </c>
      <c r="B52" s="222" t="s">
        <v>95</v>
      </c>
      <c r="C52" s="222">
        <v>63.12</v>
      </c>
    </row>
    <row r="53" spans="1:3">
      <c r="A53" s="222" t="s">
        <v>67</v>
      </c>
      <c r="B53" s="222" t="s">
        <v>116</v>
      </c>
      <c r="C53" s="222">
        <v>121.91</v>
      </c>
    </row>
    <row r="54" spans="1:3">
      <c r="A54" s="222" t="s">
        <v>67</v>
      </c>
      <c r="B54" s="222" t="s">
        <v>103</v>
      </c>
      <c r="C54" s="222">
        <v>176.72</v>
      </c>
    </row>
    <row r="55" spans="1:3">
      <c r="A55" s="222" t="s">
        <v>67</v>
      </c>
      <c r="B55" s="222" t="s">
        <v>117</v>
      </c>
      <c r="C55" s="222">
        <v>46.18</v>
      </c>
    </row>
    <row r="56" spans="1:3">
      <c r="A56" s="222" t="s">
        <v>67</v>
      </c>
      <c r="B56" s="222" t="s">
        <v>119</v>
      </c>
      <c r="C56" s="222">
        <v>312</v>
      </c>
    </row>
    <row r="57" spans="1:3">
      <c r="A57" s="222" t="s">
        <v>67</v>
      </c>
      <c r="B57" s="222" t="s">
        <v>121</v>
      </c>
      <c r="C57" s="222">
        <v>99.52</v>
      </c>
    </row>
    <row r="58" spans="1:3">
      <c r="A58" s="222" t="s">
        <v>141</v>
      </c>
      <c r="B58" s="222" t="s">
        <v>115</v>
      </c>
      <c r="C58" s="222">
        <v>61.74</v>
      </c>
    </row>
    <row r="59" spans="1:3">
      <c r="A59" s="222" t="s">
        <v>141</v>
      </c>
      <c r="B59" s="222" t="s">
        <v>95</v>
      </c>
      <c r="C59" s="222">
        <v>17.8</v>
      </c>
    </row>
    <row r="60" spans="1:3">
      <c r="A60" s="222" t="s">
        <v>141</v>
      </c>
      <c r="B60" s="222" t="s">
        <v>116</v>
      </c>
      <c r="C60" s="222">
        <v>127.16</v>
      </c>
    </row>
    <row r="61" spans="1:3">
      <c r="A61" s="222" t="s">
        <v>141</v>
      </c>
      <c r="B61" s="222" t="s">
        <v>103</v>
      </c>
      <c r="C61" s="222">
        <v>33.72</v>
      </c>
    </row>
    <row r="62" spans="1:3">
      <c r="A62" s="222" t="s">
        <v>141</v>
      </c>
      <c r="B62" s="222" t="s">
        <v>117</v>
      </c>
      <c r="C62" s="222">
        <v>20.079999999999998</v>
      </c>
    </row>
    <row r="63" spans="1:3">
      <c r="A63" s="222" t="s">
        <v>141</v>
      </c>
      <c r="B63" s="222" t="s">
        <v>119</v>
      </c>
      <c r="C63" s="222">
        <v>140.49</v>
      </c>
    </row>
    <row r="64" spans="1:3">
      <c r="A64" s="222" t="s">
        <v>141</v>
      </c>
      <c r="B64" s="222" t="s">
        <v>121</v>
      </c>
      <c r="C64" s="222">
        <v>39.020000000000003</v>
      </c>
    </row>
    <row r="65" spans="1:3">
      <c r="A65" s="222" t="s">
        <v>65</v>
      </c>
      <c r="B65" s="222" t="s">
        <v>115</v>
      </c>
      <c r="C65" s="222">
        <v>199.48</v>
      </c>
    </row>
    <row r="66" spans="1:3">
      <c r="A66" s="222" t="s">
        <v>65</v>
      </c>
      <c r="B66" s="222" t="s">
        <v>95</v>
      </c>
      <c r="C66" s="222">
        <v>186.22</v>
      </c>
    </row>
    <row r="67" spans="1:3">
      <c r="A67" s="222" t="s">
        <v>65</v>
      </c>
      <c r="B67" s="222" t="s">
        <v>116</v>
      </c>
      <c r="C67" s="222">
        <v>560.72</v>
      </c>
    </row>
    <row r="68" spans="1:3">
      <c r="A68" s="222" t="s">
        <v>65</v>
      </c>
      <c r="B68" s="222" t="s">
        <v>103</v>
      </c>
      <c r="C68" s="222">
        <v>378.25</v>
      </c>
    </row>
    <row r="69" spans="1:3">
      <c r="A69" s="222" t="s">
        <v>65</v>
      </c>
      <c r="B69" s="222" t="s">
        <v>117</v>
      </c>
      <c r="C69" s="222">
        <v>91.64</v>
      </c>
    </row>
    <row r="70" spans="1:3">
      <c r="A70" s="222" t="s">
        <v>65</v>
      </c>
      <c r="B70" s="222" t="s">
        <v>119</v>
      </c>
      <c r="C70" s="222">
        <v>1046.55</v>
      </c>
    </row>
    <row r="71" spans="1:3">
      <c r="A71" s="222" t="s">
        <v>65</v>
      </c>
      <c r="B71" s="222" t="s">
        <v>121</v>
      </c>
      <c r="C71" s="222">
        <v>204.13</v>
      </c>
    </row>
    <row r="72" spans="1:3">
      <c r="A72" s="222" t="s">
        <v>76</v>
      </c>
      <c r="B72" s="222" t="s">
        <v>115</v>
      </c>
      <c r="C72" s="222">
        <v>0.16</v>
      </c>
    </row>
    <row r="73" spans="1:3">
      <c r="A73" s="222" t="s">
        <v>76</v>
      </c>
      <c r="B73" s="222" t="s">
        <v>95</v>
      </c>
      <c r="C73" s="222">
        <v>0.45</v>
      </c>
    </row>
    <row r="74" spans="1:3">
      <c r="A74" s="222" t="s">
        <v>76</v>
      </c>
      <c r="B74" s="222" t="s">
        <v>116</v>
      </c>
      <c r="C74" s="222">
        <v>0.73</v>
      </c>
    </row>
    <row r="75" spans="1:3">
      <c r="A75" s="222" t="s">
        <v>76</v>
      </c>
      <c r="B75" s="222" t="s">
        <v>103</v>
      </c>
      <c r="C75" s="222">
        <v>1.1200000000000001</v>
      </c>
    </row>
    <row r="76" spans="1:3">
      <c r="A76" s="222" t="s">
        <v>76</v>
      </c>
      <c r="B76" s="222" t="s">
        <v>117</v>
      </c>
      <c r="C76" s="222">
        <v>0.47</v>
      </c>
    </row>
    <row r="77" spans="1:3">
      <c r="A77" s="222" t="s">
        <v>76</v>
      </c>
      <c r="B77" s="222" t="s">
        <v>119</v>
      </c>
      <c r="C77" s="222">
        <v>2.2000000000000002</v>
      </c>
    </row>
    <row r="78" spans="1:3">
      <c r="A78" s="222" t="s">
        <v>76</v>
      </c>
      <c r="B78" s="222" t="s">
        <v>121</v>
      </c>
      <c r="C78" s="222">
        <v>0.17</v>
      </c>
    </row>
    <row r="80" spans="1:3">
      <c r="C80" s="286">
        <f>SUM(C2:C78)</f>
        <v>7268.02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74"/>
  <sheetViews>
    <sheetView topLeftCell="A136" workbookViewId="0">
      <selection activeCell="A6" sqref="A6"/>
    </sheetView>
  </sheetViews>
  <sheetFormatPr defaultColWidth="14.42578125" defaultRowHeight="15.75" customHeight="1"/>
  <cols>
    <col min="1" max="1" width="38.5703125" customWidth="1"/>
  </cols>
  <sheetData>
    <row r="1" spans="1:2" s="255" customFormat="1" ht="15.75" customHeight="1">
      <c r="A1" s="255" t="s">
        <v>2826</v>
      </c>
      <c r="B1" s="255" t="s">
        <v>2827</v>
      </c>
    </row>
    <row r="2" spans="1:2" ht="12.75">
      <c r="A2" s="480" t="s">
        <v>279</v>
      </c>
      <c r="B2" s="480">
        <v>1.18</v>
      </c>
    </row>
    <row r="3" spans="1:2" ht="12.75">
      <c r="A3" s="480" t="s">
        <v>240</v>
      </c>
      <c r="B3" s="480">
        <v>4.38</v>
      </c>
    </row>
    <row r="4" spans="1:2" ht="12.75">
      <c r="A4" s="480" t="s">
        <v>219</v>
      </c>
      <c r="B4" s="480">
        <v>1.54</v>
      </c>
    </row>
    <row r="5" spans="1:2" ht="12.75">
      <c r="A5" s="480" t="s">
        <v>173</v>
      </c>
      <c r="B5" s="480">
        <v>0.08</v>
      </c>
    </row>
    <row r="6" spans="1:2" ht="12.75">
      <c r="A6" s="480" t="s">
        <v>405</v>
      </c>
      <c r="B6" s="480">
        <v>0.34</v>
      </c>
    </row>
    <row r="7" spans="1:2" ht="12.75">
      <c r="A7" s="480" t="s">
        <v>307</v>
      </c>
      <c r="B7" s="480">
        <v>0.4</v>
      </c>
    </row>
    <row r="8" spans="1:2" ht="12.75">
      <c r="A8" s="480" t="s">
        <v>280</v>
      </c>
      <c r="B8" s="480">
        <v>1.69</v>
      </c>
    </row>
    <row r="9" spans="1:2" ht="12.75">
      <c r="A9" s="480" t="s">
        <v>292</v>
      </c>
      <c r="B9" s="480">
        <v>4.8099999999999996</v>
      </c>
    </row>
    <row r="10" spans="1:2" ht="12.75">
      <c r="A10" s="480" t="s">
        <v>241</v>
      </c>
      <c r="B10" s="480">
        <v>4.78</v>
      </c>
    </row>
    <row r="11" spans="1:2" ht="12.75">
      <c r="A11" s="480" t="s">
        <v>406</v>
      </c>
      <c r="B11" s="480">
        <v>3.76</v>
      </c>
    </row>
    <row r="12" spans="1:2" ht="12.75">
      <c r="A12" s="480" t="s">
        <v>407</v>
      </c>
      <c r="B12" s="480">
        <v>0.51</v>
      </c>
    </row>
    <row r="13" spans="1:2" ht="12.75">
      <c r="A13" s="480" t="s">
        <v>236</v>
      </c>
      <c r="B13" s="480">
        <v>0.85</v>
      </c>
    </row>
    <row r="14" spans="1:2" ht="12.75">
      <c r="A14" s="480" t="s">
        <v>408</v>
      </c>
      <c r="B14" s="480">
        <v>1.22</v>
      </c>
    </row>
    <row r="15" spans="1:2" ht="12.75">
      <c r="A15" s="480" t="s">
        <v>242</v>
      </c>
      <c r="B15" s="480">
        <v>2.61</v>
      </c>
    </row>
    <row r="16" spans="1:2" ht="12.75">
      <c r="A16" s="480" t="s">
        <v>243</v>
      </c>
      <c r="B16" s="480">
        <v>2.66</v>
      </c>
    </row>
    <row r="17" spans="1:2" ht="12.75">
      <c r="A17" s="480" t="s">
        <v>308</v>
      </c>
      <c r="B17" s="480">
        <v>0.65</v>
      </c>
    </row>
    <row r="18" spans="1:2" ht="12.75">
      <c r="A18" s="480" t="s">
        <v>174</v>
      </c>
      <c r="B18" s="480">
        <v>4.8499999999999996</v>
      </c>
    </row>
    <row r="19" spans="1:2" ht="12.75">
      <c r="A19" s="480" t="s">
        <v>409</v>
      </c>
      <c r="B19" s="480">
        <v>7.54</v>
      </c>
    </row>
    <row r="20" spans="1:2" ht="12.75">
      <c r="A20" s="480" t="s">
        <v>244</v>
      </c>
      <c r="B20" s="480">
        <v>1.77</v>
      </c>
    </row>
    <row r="21" spans="1:2" ht="12.75">
      <c r="A21" s="480" t="s">
        <v>175</v>
      </c>
      <c r="B21" s="480">
        <v>0.09</v>
      </c>
    </row>
    <row r="22" spans="1:2" ht="12.75">
      <c r="A22" s="480" t="s">
        <v>310</v>
      </c>
      <c r="B22" s="480">
        <v>0.7</v>
      </c>
    </row>
    <row r="23" spans="1:2" ht="12.75">
      <c r="A23" s="480" t="s">
        <v>245</v>
      </c>
      <c r="B23" s="480">
        <v>1.37</v>
      </c>
    </row>
    <row r="24" spans="1:2" ht="12.75">
      <c r="A24" s="480" t="s">
        <v>176</v>
      </c>
      <c r="B24" s="480">
        <v>0.28999999999999998</v>
      </c>
    </row>
    <row r="25" spans="1:2" ht="12.75">
      <c r="A25" s="480" t="s">
        <v>410</v>
      </c>
      <c r="B25" s="480">
        <v>0.27</v>
      </c>
    </row>
    <row r="26" spans="1:2" ht="12.75">
      <c r="A26" s="480" t="s">
        <v>294</v>
      </c>
      <c r="B26" s="480">
        <v>0.2</v>
      </c>
    </row>
    <row r="27" spans="1:2" ht="12.75">
      <c r="A27" s="480" t="s">
        <v>178</v>
      </c>
      <c r="B27" s="480">
        <v>2.0499999999999998</v>
      </c>
    </row>
    <row r="28" spans="1:2" ht="12.75">
      <c r="A28" s="480" t="s">
        <v>290</v>
      </c>
      <c r="B28" s="480">
        <v>2.93</v>
      </c>
    </row>
    <row r="29" spans="1:2" ht="12.75">
      <c r="A29" s="480" t="s">
        <v>180</v>
      </c>
      <c r="B29" s="480">
        <v>0.01</v>
      </c>
    </row>
    <row r="30" spans="1:2" ht="12.75">
      <c r="A30" s="480" t="s">
        <v>181</v>
      </c>
      <c r="B30" s="480">
        <v>0</v>
      </c>
    </row>
    <row r="31" spans="1:2" ht="12.75">
      <c r="A31" s="480" t="s">
        <v>311</v>
      </c>
      <c r="B31" s="480">
        <v>1.17</v>
      </c>
    </row>
    <row r="32" spans="1:2" ht="12.75">
      <c r="A32" s="480" t="s">
        <v>411</v>
      </c>
      <c r="B32" s="480">
        <v>6.14</v>
      </c>
    </row>
    <row r="33" spans="1:2" ht="12.75">
      <c r="A33" s="480" t="s">
        <v>412</v>
      </c>
      <c r="B33" s="480">
        <v>2.2200000000000002</v>
      </c>
    </row>
    <row r="34" spans="1:2" ht="12.75">
      <c r="A34" s="480" t="s">
        <v>413</v>
      </c>
      <c r="B34" s="480">
        <v>2.5099999999999998</v>
      </c>
    </row>
    <row r="35" spans="1:2" ht="12.75">
      <c r="A35" s="480" t="s">
        <v>414</v>
      </c>
      <c r="B35" s="480">
        <v>5.33</v>
      </c>
    </row>
    <row r="36" spans="1:2" ht="12.75">
      <c r="A36" s="480" t="s">
        <v>312</v>
      </c>
      <c r="B36" s="480">
        <v>1.27</v>
      </c>
    </row>
    <row r="37" spans="1:2" ht="12.75">
      <c r="A37" s="480" t="s">
        <v>415</v>
      </c>
      <c r="B37" s="480">
        <v>0.01</v>
      </c>
    </row>
    <row r="38" spans="1:2" ht="12.75">
      <c r="A38" s="480" t="s">
        <v>313</v>
      </c>
      <c r="B38" s="480">
        <v>0.56000000000000005</v>
      </c>
    </row>
    <row r="39" spans="1:2" ht="12.75">
      <c r="A39" s="480" t="s">
        <v>183</v>
      </c>
      <c r="B39" s="480">
        <v>2.78</v>
      </c>
    </row>
    <row r="40" spans="1:2" ht="12.75">
      <c r="A40" s="480" t="s">
        <v>246</v>
      </c>
      <c r="B40" s="480">
        <v>2.42</v>
      </c>
    </row>
    <row r="41" spans="1:2" ht="12.75">
      <c r="A41" s="480" t="s">
        <v>416</v>
      </c>
      <c r="B41" s="480">
        <v>0.01</v>
      </c>
    </row>
    <row r="42" spans="1:2" ht="12.75">
      <c r="A42" s="480" t="s">
        <v>417</v>
      </c>
      <c r="B42" s="480">
        <v>2.88</v>
      </c>
    </row>
    <row r="43" spans="1:2" ht="12.75">
      <c r="A43" s="480" t="s">
        <v>247</v>
      </c>
      <c r="B43" s="480">
        <v>0.81</v>
      </c>
    </row>
    <row r="44" spans="1:2" ht="12.75">
      <c r="A44" s="480" t="s">
        <v>418</v>
      </c>
      <c r="B44" s="480">
        <v>0.6</v>
      </c>
    </row>
    <row r="45" spans="1:2" ht="12.75">
      <c r="A45" s="480" t="s">
        <v>248</v>
      </c>
      <c r="B45" s="480">
        <v>2.44</v>
      </c>
    </row>
    <row r="46" spans="1:2" ht="12.75">
      <c r="A46" s="480" t="s">
        <v>184</v>
      </c>
      <c r="B46" s="480">
        <v>0.01</v>
      </c>
    </row>
    <row r="47" spans="1:2" ht="12.75">
      <c r="A47" s="480" t="s">
        <v>419</v>
      </c>
      <c r="B47" s="480">
        <v>0.06</v>
      </c>
    </row>
    <row r="48" spans="1:2" ht="12.75">
      <c r="A48" s="480" t="s">
        <v>420</v>
      </c>
      <c r="B48" s="480">
        <v>0.25</v>
      </c>
    </row>
    <row r="49" spans="1:2" ht="12.75">
      <c r="A49" s="480" t="s">
        <v>314</v>
      </c>
      <c r="B49" s="480">
        <v>0.21</v>
      </c>
    </row>
    <row r="50" spans="1:2" ht="12.75">
      <c r="A50" s="480" t="s">
        <v>224</v>
      </c>
      <c r="B50" s="480">
        <v>0.38</v>
      </c>
    </row>
    <row r="51" spans="1:2" ht="12.75">
      <c r="A51" s="480" t="s">
        <v>315</v>
      </c>
      <c r="B51" s="480">
        <v>0.15</v>
      </c>
    </row>
    <row r="52" spans="1:2" ht="12.75">
      <c r="A52" s="480" t="s">
        <v>249</v>
      </c>
      <c r="B52" s="480">
        <v>1.85</v>
      </c>
    </row>
    <row r="53" spans="1:2" ht="12.75">
      <c r="A53" s="480" t="s">
        <v>421</v>
      </c>
      <c r="B53" s="480">
        <v>1.1100000000000001</v>
      </c>
    </row>
    <row r="54" spans="1:2" ht="12.75">
      <c r="A54" s="480" t="s">
        <v>187</v>
      </c>
      <c r="B54" s="480">
        <v>0.47</v>
      </c>
    </row>
    <row r="55" spans="1:2" ht="12.75">
      <c r="A55" s="480" t="s">
        <v>422</v>
      </c>
      <c r="B55" s="480">
        <v>0.49</v>
      </c>
    </row>
    <row r="56" spans="1:2" ht="12.75">
      <c r="A56" s="480" t="s">
        <v>250</v>
      </c>
      <c r="B56" s="480">
        <v>1.02</v>
      </c>
    </row>
    <row r="57" spans="1:2" ht="12.75">
      <c r="A57" s="480" t="s">
        <v>251</v>
      </c>
      <c r="B57" s="480">
        <v>4.01</v>
      </c>
    </row>
    <row r="58" spans="1:2" ht="12.75">
      <c r="A58" s="480" t="s">
        <v>423</v>
      </c>
      <c r="B58" s="480">
        <v>0.79</v>
      </c>
    </row>
    <row r="59" spans="1:2" ht="12.75">
      <c r="A59" s="480" t="s">
        <v>188</v>
      </c>
      <c r="B59" s="480">
        <v>0.04</v>
      </c>
    </row>
    <row r="60" spans="1:2" ht="12.75">
      <c r="A60" s="480" t="s">
        <v>424</v>
      </c>
      <c r="B60" s="480">
        <v>0.76</v>
      </c>
    </row>
    <row r="61" spans="1:2" ht="12.75">
      <c r="A61" s="480" t="s">
        <v>282</v>
      </c>
      <c r="B61" s="480">
        <v>2.38</v>
      </c>
    </row>
    <row r="62" spans="1:2" ht="12.75">
      <c r="A62" s="480" t="s">
        <v>252</v>
      </c>
      <c r="B62" s="480">
        <v>3.64</v>
      </c>
    </row>
    <row r="63" spans="1:2" ht="12.75">
      <c r="A63" s="480" t="s">
        <v>190</v>
      </c>
      <c r="B63" s="480">
        <v>0.77</v>
      </c>
    </row>
    <row r="64" spans="1:2" ht="12.75">
      <c r="A64" s="480" t="s">
        <v>253</v>
      </c>
      <c r="B64" s="480">
        <v>13.56</v>
      </c>
    </row>
    <row r="65" spans="1:2" ht="12.75">
      <c r="A65" s="480" t="s">
        <v>425</v>
      </c>
      <c r="B65" s="480">
        <v>0.05</v>
      </c>
    </row>
    <row r="66" spans="1:2" ht="12.75">
      <c r="A66" s="480" t="s">
        <v>316</v>
      </c>
      <c r="B66" s="480">
        <v>1.31</v>
      </c>
    </row>
    <row r="67" spans="1:2" ht="12.75">
      <c r="A67" s="480" t="s">
        <v>191</v>
      </c>
      <c r="B67" s="480">
        <v>0.02</v>
      </c>
    </row>
    <row r="68" spans="1:2" ht="12.75">
      <c r="A68" s="480" t="s">
        <v>192</v>
      </c>
      <c r="B68" s="480">
        <v>3.36</v>
      </c>
    </row>
    <row r="69" spans="1:2" ht="12.75">
      <c r="A69" s="480" t="s">
        <v>317</v>
      </c>
      <c r="B69" s="480">
        <v>0.74</v>
      </c>
    </row>
    <row r="70" spans="1:2" ht="12.75">
      <c r="A70" s="480" t="s">
        <v>426</v>
      </c>
      <c r="B70" s="480">
        <v>0</v>
      </c>
    </row>
    <row r="71" spans="1:2" ht="12.75">
      <c r="A71" s="480" t="s">
        <v>318</v>
      </c>
      <c r="B71" s="480">
        <v>0.27</v>
      </c>
    </row>
    <row r="72" spans="1:2" ht="12.75">
      <c r="A72" s="480" t="s">
        <v>254</v>
      </c>
      <c r="B72" s="480">
        <v>0.27</v>
      </c>
    </row>
    <row r="73" spans="1:2" ht="12.75">
      <c r="A73" s="480" t="s">
        <v>255</v>
      </c>
      <c r="B73" s="480">
        <v>1.51</v>
      </c>
    </row>
    <row r="74" spans="1:2" ht="12.75">
      <c r="A74" s="480" t="s">
        <v>237</v>
      </c>
      <c r="B74" s="480">
        <v>1.67</v>
      </c>
    </row>
    <row r="75" spans="1:2" ht="12.75">
      <c r="A75" s="480" t="s">
        <v>296</v>
      </c>
      <c r="B75" s="480">
        <v>0.61</v>
      </c>
    </row>
    <row r="76" spans="1:2" ht="12.75">
      <c r="A76" s="480" t="s">
        <v>427</v>
      </c>
      <c r="B76" s="480">
        <v>12.12</v>
      </c>
    </row>
    <row r="77" spans="1:2" ht="12.75">
      <c r="A77" s="480" t="s">
        <v>226</v>
      </c>
      <c r="B77" s="480">
        <v>1.0900000000000001</v>
      </c>
    </row>
    <row r="78" spans="1:2" ht="12.75">
      <c r="A78" s="480" t="s">
        <v>256</v>
      </c>
      <c r="B78" s="480">
        <v>1.46</v>
      </c>
    </row>
    <row r="79" spans="1:2" ht="12.75">
      <c r="A79" s="480" t="s">
        <v>227</v>
      </c>
      <c r="B79" s="480">
        <v>3.88</v>
      </c>
    </row>
    <row r="80" spans="1:2" ht="12.75">
      <c r="A80" s="480" t="s">
        <v>257</v>
      </c>
      <c r="B80" s="480">
        <v>8.0500000000000007</v>
      </c>
    </row>
    <row r="81" spans="1:2" ht="12.75">
      <c r="A81" s="480" t="s">
        <v>428</v>
      </c>
      <c r="B81" s="480">
        <v>0.13</v>
      </c>
    </row>
    <row r="82" spans="1:2" ht="12.75">
      <c r="A82" s="480" t="s">
        <v>297</v>
      </c>
      <c r="B82" s="480">
        <v>0.95</v>
      </c>
    </row>
    <row r="83" spans="1:2" ht="12.75">
      <c r="A83" s="480" t="s">
        <v>228</v>
      </c>
      <c r="B83" s="480">
        <v>1.46</v>
      </c>
    </row>
    <row r="84" spans="1:2" ht="12.75">
      <c r="A84" s="480" t="s">
        <v>283</v>
      </c>
      <c r="B84" s="480">
        <v>1.68</v>
      </c>
    </row>
    <row r="85" spans="1:2" ht="12.75">
      <c r="A85" s="480" t="s">
        <v>193</v>
      </c>
      <c r="B85" s="480">
        <v>0.59</v>
      </c>
    </row>
    <row r="86" spans="1:2" ht="12.75">
      <c r="A86" s="480" t="s">
        <v>429</v>
      </c>
      <c r="B86" s="480">
        <v>2.4500000000000002</v>
      </c>
    </row>
    <row r="87" spans="1:2" ht="12.75">
      <c r="A87" s="480" t="s">
        <v>229</v>
      </c>
      <c r="B87" s="480">
        <v>1.99</v>
      </c>
    </row>
    <row r="88" spans="1:2" ht="12.75">
      <c r="A88" s="480" t="s">
        <v>430</v>
      </c>
      <c r="B88" s="480">
        <v>4.0999999999999996</v>
      </c>
    </row>
    <row r="89" spans="1:2" ht="12.75">
      <c r="A89" s="480" t="s">
        <v>431</v>
      </c>
      <c r="B89" s="480">
        <v>0.4</v>
      </c>
    </row>
    <row r="90" spans="1:2" ht="12.75">
      <c r="A90" s="480" t="s">
        <v>258</v>
      </c>
      <c r="B90" s="480">
        <v>1.53</v>
      </c>
    </row>
    <row r="91" spans="1:2" ht="12.75">
      <c r="A91" s="480" t="s">
        <v>230</v>
      </c>
      <c r="B91" s="480">
        <v>6.85</v>
      </c>
    </row>
    <row r="92" spans="1:2" ht="12.75">
      <c r="A92" s="480" t="s">
        <v>194</v>
      </c>
      <c r="B92" s="480">
        <v>0.02</v>
      </c>
    </row>
    <row r="93" spans="1:2" ht="12.75">
      <c r="A93" s="480" t="s">
        <v>195</v>
      </c>
      <c r="B93" s="480">
        <v>0.56000000000000005</v>
      </c>
    </row>
    <row r="94" spans="1:2" ht="12.75">
      <c r="A94" s="480" t="s">
        <v>259</v>
      </c>
      <c r="B94" s="480">
        <v>1.46</v>
      </c>
    </row>
    <row r="95" spans="1:2" ht="12.75">
      <c r="A95" s="480" t="s">
        <v>260</v>
      </c>
      <c r="B95" s="480">
        <v>0.49</v>
      </c>
    </row>
    <row r="96" spans="1:2" ht="12.75">
      <c r="A96" s="480" t="s">
        <v>196</v>
      </c>
      <c r="B96" s="480">
        <v>0.12</v>
      </c>
    </row>
    <row r="97" spans="1:2" ht="12.75">
      <c r="A97" s="480" t="s">
        <v>197</v>
      </c>
      <c r="B97" s="480">
        <v>0.11</v>
      </c>
    </row>
    <row r="98" spans="1:2" ht="12.75">
      <c r="A98" s="480" t="s">
        <v>298</v>
      </c>
      <c r="B98" s="480">
        <v>0.95</v>
      </c>
    </row>
    <row r="99" spans="1:2" ht="12.75">
      <c r="A99" s="480" t="s">
        <v>432</v>
      </c>
      <c r="B99" s="480">
        <v>7.79</v>
      </c>
    </row>
    <row r="100" spans="1:2" ht="12.75">
      <c r="A100" s="480" t="s">
        <v>198</v>
      </c>
      <c r="B100" s="480">
        <v>3.14</v>
      </c>
    </row>
    <row r="101" spans="1:2" ht="12.75">
      <c r="A101" s="480" t="s">
        <v>261</v>
      </c>
      <c r="B101" s="480">
        <v>2.0299999999999998</v>
      </c>
    </row>
    <row r="102" spans="1:2" ht="12.75">
      <c r="A102" s="480" t="s">
        <v>199</v>
      </c>
      <c r="B102" s="480">
        <v>0</v>
      </c>
    </row>
    <row r="103" spans="1:2" ht="12.75">
      <c r="A103" s="480" t="s">
        <v>200</v>
      </c>
      <c r="B103" s="480">
        <v>0.35</v>
      </c>
    </row>
    <row r="104" spans="1:2" ht="12.75">
      <c r="A104" s="480" t="s">
        <v>319</v>
      </c>
      <c r="B104" s="480">
        <v>1.24</v>
      </c>
    </row>
    <row r="105" spans="1:2" ht="12.75">
      <c r="A105" s="480" t="s">
        <v>285</v>
      </c>
      <c r="B105" s="480">
        <v>0.67</v>
      </c>
    </row>
    <row r="106" spans="1:2" ht="12.75">
      <c r="A106" s="480" t="s">
        <v>262</v>
      </c>
      <c r="B106" s="480">
        <v>2.37</v>
      </c>
    </row>
    <row r="107" spans="1:2" ht="12.75">
      <c r="A107" s="480" t="s">
        <v>220</v>
      </c>
      <c r="B107" s="480">
        <v>3.69</v>
      </c>
    </row>
    <row r="108" spans="1:2" ht="12.75">
      <c r="A108" s="480" t="s">
        <v>201</v>
      </c>
      <c r="B108" s="480">
        <v>2.2999999999999998</v>
      </c>
    </row>
    <row r="109" spans="1:2" ht="12.75">
      <c r="A109" s="480" t="s">
        <v>299</v>
      </c>
      <c r="B109" s="480">
        <v>1.62</v>
      </c>
    </row>
    <row r="110" spans="1:2" ht="12.75">
      <c r="A110" s="480" t="s">
        <v>202</v>
      </c>
      <c r="B110" s="480">
        <v>0.1</v>
      </c>
    </row>
    <row r="111" spans="1:2" ht="12.75">
      <c r="A111" s="480" t="s">
        <v>238</v>
      </c>
      <c r="B111" s="480">
        <v>1.29</v>
      </c>
    </row>
    <row r="112" spans="1:2" ht="12.75">
      <c r="A112" s="480" t="s">
        <v>263</v>
      </c>
      <c r="B112" s="480">
        <v>2.58</v>
      </c>
    </row>
    <row r="113" spans="1:2" ht="12.75">
      <c r="A113" s="480" t="s">
        <v>433</v>
      </c>
      <c r="B113" s="480">
        <v>0.63</v>
      </c>
    </row>
    <row r="114" spans="1:2" ht="12.75">
      <c r="A114" s="480" t="s">
        <v>300</v>
      </c>
      <c r="B114" s="480">
        <v>2.23</v>
      </c>
    </row>
    <row r="115" spans="1:2" ht="12.75">
      <c r="A115" s="480" t="s">
        <v>320</v>
      </c>
      <c r="B115" s="480">
        <v>0.03</v>
      </c>
    </row>
    <row r="116" spans="1:2" ht="12.75">
      <c r="A116" s="480" t="s">
        <v>203</v>
      </c>
      <c r="B116" s="480">
        <v>0</v>
      </c>
    </row>
    <row r="117" spans="1:2" ht="12.75">
      <c r="A117" s="480" t="s">
        <v>204</v>
      </c>
      <c r="B117" s="480">
        <v>0.99</v>
      </c>
    </row>
    <row r="118" spans="1:2" ht="12.75">
      <c r="A118" s="480" t="s">
        <v>264</v>
      </c>
      <c r="B118" s="480">
        <v>3.73</v>
      </c>
    </row>
    <row r="119" spans="1:2" ht="12.75">
      <c r="A119" s="480" t="s">
        <v>265</v>
      </c>
      <c r="B119" s="480">
        <v>1.98</v>
      </c>
    </row>
    <row r="120" spans="1:2" ht="12.75">
      <c r="A120" s="480" t="s">
        <v>231</v>
      </c>
      <c r="B120" s="480">
        <v>0.68</v>
      </c>
    </row>
    <row r="121" spans="1:2" ht="12.75">
      <c r="A121" s="480" t="s">
        <v>239</v>
      </c>
      <c r="B121" s="480">
        <v>0.64</v>
      </c>
    </row>
    <row r="122" spans="1:2" ht="12.75">
      <c r="A122" s="480" t="s">
        <v>321</v>
      </c>
      <c r="B122" s="480">
        <v>0.47</v>
      </c>
    </row>
    <row r="123" spans="1:2" ht="12.75">
      <c r="A123" s="480" t="s">
        <v>302</v>
      </c>
      <c r="B123" s="480">
        <v>0.62</v>
      </c>
    </row>
    <row r="124" spans="1:2" ht="12.75">
      <c r="A124" s="480" t="s">
        <v>322</v>
      </c>
      <c r="B124" s="480">
        <v>0.04</v>
      </c>
    </row>
    <row r="125" spans="1:2" ht="12.75">
      <c r="A125" s="480" t="s">
        <v>323</v>
      </c>
      <c r="B125" s="480">
        <v>0.31</v>
      </c>
    </row>
    <row r="126" spans="1:2" ht="12.75">
      <c r="A126" s="480" t="s">
        <v>434</v>
      </c>
      <c r="B126" s="480">
        <v>1.68</v>
      </c>
    </row>
    <row r="127" spans="1:2" ht="12.75">
      <c r="A127" s="480" t="s">
        <v>266</v>
      </c>
      <c r="B127" s="480">
        <v>1.25</v>
      </c>
    </row>
    <row r="128" spans="1:2" ht="12.75">
      <c r="A128" s="480" t="s">
        <v>267</v>
      </c>
      <c r="B128" s="480">
        <v>4.37</v>
      </c>
    </row>
    <row r="129" spans="1:2" ht="12.75">
      <c r="A129" s="480" t="s">
        <v>435</v>
      </c>
      <c r="B129" s="480">
        <v>2.74</v>
      </c>
    </row>
    <row r="130" spans="1:2" ht="12.75">
      <c r="A130" s="480" t="s">
        <v>268</v>
      </c>
      <c r="B130" s="480">
        <v>1.66</v>
      </c>
    </row>
    <row r="131" spans="1:2" ht="12.75">
      <c r="A131" s="480" t="s">
        <v>269</v>
      </c>
      <c r="B131" s="480">
        <v>2.5</v>
      </c>
    </row>
    <row r="132" spans="1:2" ht="12.75">
      <c r="A132" s="480" t="s">
        <v>270</v>
      </c>
      <c r="B132" s="480">
        <v>0.28999999999999998</v>
      </c>
    </row>
    <row r="133" spans="1:2" ht="12.75">
      <c r="A133" s="480" t="s">
        <v>205</v>
      </c>
      <c r="B133" s="480">
        <v>0</v>
      </c>
    </row>
    <row r="134" spans="1:2" ht="12.75">
      <c r="A134" s="480" t="s">
        <v>436</v>
      </c>
      <c r="B134" s="480">
        <v>0.37</v>
      </c>
    </row>
    <row r="135" spans="1:2" ht="12.75">
      <c r="A135" s="480" t="s">
        <v>437</v>
      </c>
      <c r="B135" s="480">
        <v>0.75</v>
      </c>
    </row>
    <row r="136" spans="1:2" ht="12.75">
      <c r="A136" s="480" t="s">
        <v>438</v>
      </c>
      <c r="B136" s="480">
        <v>0.51</v>
      </c>
    </row>
    <row r="137" spans="1:2" ht="12.75">
      <c r="A137" s="480" t="s">
        <v>439</v>
      </c>
      <c r="B137" s="480">
        <v>0.23</v>
      </c>
    </row>
    <row r="138" spans="1:2" ht="12.75">
      <c r="A138" s="480" t="s">
        <v>206</v>
      </c>
      <c r="B138" s="480">
        <v>0.01</v>
      </c>
    </row>
    <row r="139" spans="1:2" ht="12.75">
      <c r="A139" s="480" t="s">
        <v>232</v>
      </c>
      <c r="B139" s="480">
        <v>1.26</v>
      </c>
    </row>
    <row r="140" spans="1:2" ht="12.75">
      <c r="A140" s="480" t="s">
        <v>207</v>
      </c>
      <c r="B140" s="480">
        <v>0.49</v>
      </c>
    </row>
    <row r="141" spans="1:2" ht="12.75">
      <c r="A141" s="480" t="s">
        <v>271</v>
      </c>
      <c r="B141" s="480">
        <v>1.62</v>
      </c>
    </row>
    <row r="142" spans="1:2" ht="12.75">
      <c r="A142" s="480" t="s">
        <v>208</v>
      </c>
      <c r="B142" s="480">
        <v>1.01</v>
      </c>
    </row>
    <row r="143" spans="1:2" ht="12.75">
      <c r="A143" s="480" t="s">
        <v>272</v>
      </c>
      <c r="B143" s="480">
        <v>1.5</v>
      </c>
    </row>
    <row r="144" spans="1:2" ht="12.75">
      <c r="A144" s="480" t="s">
        <v>273</v>
      </c>
      <c r="B144" s="480">
        <v>2.3199999999999998</v>
      </c>
    </row>
    <row r="145" spans="1:2" ht="12.75">
      <c r="A145" s="480" t="s">
        <v>440</v>
      </c>
      <c r="B145" s="480">
        <v>0.46</v>
      </c>
    </row>
    <row r="146" spans="1:2" ht="12.75">
      <c r="A146" s="480" t="s">
        <v>210</v>
      </c>
      <c r="B146" s="480">
        <v>0.14000000000000001</v>
      </c>
    </row>
    <row r="147" spans="1:2" ht="12.75">
      <c r="A147" s="480" t="s">
        <v>274</v>
      </c>
      <c r="B147" s="480">
        <v>8.59</v>
      </c>
    </row>
    <row r="148" spans="1:2" ht="12.75">
      <c r="A148" s="480" t="s">
        <v>441</v>
      </c>
      <c r="B148" s="480">
        <v>2.82</v>
      </c>
    </row>
    <row r="149" spans="1:2" ht="12.75">
      <c r="A149" s="480" t="s">
        <v>221</v>
      </c>
      <c r="B149" s="480">
        <v>0</v>
      </c>
    </row>
    <row r="150" spans="1:2" ht="12.75">
      <c r="A150" s="480" t="s">
        <v>324</v>
      </c>
      <c r="B150" s="480">
        <v>0.04</v>
      </c>
    </row>
    <row r="151" spans="1:2" ht="12.75">
      <c r="A151" s="480" t="s">
        <v>275</v>
      </c>
      <c r="B151" s="480">
        <v>2.0099999999999998</v>
      </c>
    </row>
    <row r="152" spans="1:2" ht="12.75">
      <c r="A152" s="480" t="s">
        <v>276</v>
      </c>
      <c r="B152" s="480">
        <v>4.5</v>
      </c>
    </row>
    <row r="153" spans="1:2" ht="12.75">
      <c r="A153" s="480" t="s">
        <v>286</v>
      </c>
      <c r="B153" s="480">
        <v>0.61</v>
      </c>
    </row>
    <row r="154" spans="1:2" ht="12.75">
      <c r="A154" s="480" t="s">
        <v>305</v>
      </c>
      <c r="B154" s="480">
        <v>0.8</v>
      </c>
    </row>
    <row r="155" spans="1:2" ht="12.75">
      <c r="A155" s="480" t="s">
        <v>442</v>
      </c>
      <c r="B155" s="480">
        <v>0.01</v>
      </c>
    </row>
    <row r="156" spans="1:2" ht="12.75">
      <c r="A156" s="480" t="s">
        <v>213</v>
      </c>
      <c r="B156" s="480">
        <v>0.05</v>
      </c>
    </row>
    <row r="157" spans="1:2" ht="12.75">
      <c r="A157" s="480" t="s">
        <v>443</v>
      </c>
      <c r="B157" s="480">
        <v>0.9</v>
      </c>
    </row>
    <row r="158" spans="1:2" ht="12.75">
      <c r="A158" s="480" t="s">
        <v>222</v>
      </c>
      <c r="B158" s="480">
        <v>5.68</v>
      </c>
    </row>
    <row r="159" spans="1:2" ht="12.75">
      <c r="A159" s="480" t="s">
        <v>288</v>
      </c>
      <c r="B159" s="480">
        <v>6.84</v>
      </c>
    </row>
    <row r="160" spans="1:2" ht="12.75">
      <c r="A160" s="480" t="s">
        <v>289</v>
      </c>
      <c r="B160" s="480">
        <v>0.37</v>
      </c>
    </row>
    <row r="161" spans="1:2" ht="12.75">
      <c r="A161" s="480" t="s">
        <v>214</v>
      </c>
      <c r="B161" s="480">
        <v>0</v>
      </c>
    </row>
    <row r="162" spans="1:2" ht="12.75">
      <c r="A162" s="480" t="s">
        <v>277</v>
      </c>
      <c r="B162" s="480">
        <v>1.69</v>
      </c>
    </row>
    <row r="163" spans="1:2" ht="12.75">
      <c r="A163" s="480" t="s">
        <v>444</v>
      </c>
      <c r="B163" s="480">
        <v>2.62</v>
      </c>
    </row>
    <row r="164" spans="1:2" ht="12.75">
      <c r="A164" s="480" t="s">
        <v>445</v>
      </c>
      <c r="B164" s="480">
        <v>1.35</v>
      </c>
    </row>
    <row r="165" spans="1:2" ht="12.75">
      <c r="A165" s="480" t="s">
        <v>446</v>
      </c>
      <c r="B165" s="480">
        <v>1.28</v>
      </c>
    </row>
    <row r="166" spans="1:2" ht="12.75">
      <c r="A166" s="480" t="s">
        <v>447</v>
      </c>
      <c r="B166" s="480">
        <v>3.96</v>
      </c>
    </row>
    <row r="167" spans="1:2" ht="12.75">
      <c r="A167" s="480" t="s">
        <v>325</v>
      </c>
      <c r="B167" s="480">
        <v>0.23</v>
      </c>
    </row>
    <row r="168" spans="1:2" ht="12.75">
      <c r="A168" s="480" t="s">
        <v>287</v>
      </c>
      <c r="B168" s="480">
        <v>1.56</v>
      </c>
    </row>
    <row r="169" spans="1:2" ht="12.75">
      <c r="A169" s="480" t="s">
        <v>448</v>
      </c>
      <c r="B169" s="480">
        <v>0.03</v>
      </c>
    </row>
    <row r="170" spans="1:2" ht="12.75">
      <c r="A170" s="480" t="s">
        <v>449</v>
      </c>
      <c r="B170" s="480">
        <v>0</v>
      </c>
    </row>
    <row r="171" spans="1:2" ht="12.75">
      <c r="A171" s="480" t="s">
        <v>450</v>
      </c>
      <c r="B171" s="480">
        <v>22.63</v>
      </c>
    </row>
    <row r="172" spans="1:2" ht="12.75">
      <c r="A172" s="480" t="s">
        <v>235</v>
      </c>
      <c r="B172" s="480">
        <v>0.28000000000000003</v>
      </c>
    </row>
    <row r="173" spans="1:2" ht="12.75">
      <c r="A173" s="480" t="s">
        <v>215</v>
      </c>
      <c r="B173" s="480">
        <v>0</v>
      </c>
    </row>
    <row r="174" spans="1:2" ht="12.75">
      <c r="A174" s="480" t="s">
        <v>216</v>
      </c>
      <c r="B174" s="480">
        <v>0.09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cols>
    <col min="1" max="1" width="22.85546875" customWidth="1"/>
    <col min="2" max="2" width="19.7109375" customWidth="1"/>
    <col min="8" max="8" width="17.85546875" customWidth="1"/>
  </cols>
  <sheetData>
    <row r="1" spans="1:11">
      <c r="B1" s="287" t="s">
        <v>154</v>
      </c>
      <c r="C1" s="222" t="s">
        <v>451</v>
      </c>
      <c r="D1" s="222" t="s">
        <v>452</v>
      </c>
      <c r="E1" s="222" t="s">
        <v>453</v>
      </c>
      <c r="F1" s="222" t="s">
        <v>454</v>
      </c>
      <c r="G1" s="222" t="s">
        <v>455</v>
      </c>
      <c r="H1" s="222" t="s">
        <v>456</v>
      </c>
      <c r="I1" s="222" t="s">
        <v>457</v>
      </c>
      <c r="J1" s="222" t="s">
        <v>458</v>
      </c>
      <c r="K1" s="222" t="s">
        <v>459</v>
      </c>
    </row>
    <row r="2" spans="1:11">
      <c r="A2" s="481" t="s">
        <v>279</v>
      </c>
      <c r="B2" s="482">
        <f t="shared" ref="B2:B174" si="0">SUM(C2:J2)</f>
        <v>177.59</v>
      </c>
      <c r="C2" s="481">
        <v>158.66</v>
      </c>
      <c r="D2" s="481">
        <v>15.84</v>
      </c>
      <c r="E2" s="481">
        <v>1.37</v>
      </c>
      <c r="F2" s="481">
        <v>1.72</v>
      </c>
      <c r="G2" s="481">
        <v>0</v>
      </c>
      <c r="H2" s="481">
        <v>0</v>
      </c>
      <c r="J2" s="481"/>
      <c r="K2" s="481">
        <v>0.32</v>
      </c>
    </row>
    <row r="3" spans="1:11">
      <c r="A3" s="481" t="s">
        <v>240</v>
      </c>
      <c r="B3" s="482">
        <f t="shared" si="0"/>
        <v>150.44</v>
      </c>
      <c r="C3" s="481">
        <v>134.78</v>
      </c>
      <c r="D3" s="481">
        <v>12.7</v>
      </c>
      <c r="E3" s="481">
        <v>0.14000000000000001</v>
      </c>
      <c r="F3" s="481">
        <v>2.2999999999999998</v>
      </c>
      <c r="G3" s="481">
        <v>0.03</v>
      </c>
      <c r="H3" s="481">
        <v>0</v>
      </c>
      <c r="J3" s="481">
        <v>0.49</v>
      </c>
    </row>
    <row r="4" spans="1:11">
      <c r="A4" s="481" t="s">
        <v>219</v>
      </c>
      <c r="B4" s="482">
        <f t="shared" si="0"/>
        <v>218.3</v>
      </c>
      <c r="C4" s="481">
        <v>184.58</v>
      </c>
      <c r="D4" s="481">
        <v>4.03</v>
      </c>
      <c r="E4" s="481">
        <v>14.7</v>
      </c>
      <c r="F4" s="481">
        <v>14.86</v>
      </c>
      <c r="G4" s="481">
        <v>0.04</v>
      </c>
      <c r="H4" s="481">
        <v>0.01</v>
      </c>
      <c r="I4" s="481">
        <v>0.08</v>
      </c>
      <c r="J4" s="481"/>
    </row>
    <row r="5" spans="1:11">
      <c r="A5" s="481" t="s">
        <v>173</v>
      </c>
      <c r="B5" s="482">
        <f t="shared" si="0"/>
        <v>95.72</v>
      </c>
      <c r="C5" s="481">
        <v>36.049999999999997</v>
      </c>
      <c r="D5" s="481">
        <v>11.95</v>
      </c>
      <c r="E5" s="481">
        <v>0</v>
      </c>
      <c r="F5" s="481">
        <v>47.69</v>
      </c>
      <c r="G5" s="481">
        <v>0.03</v>
      </c>
      <c r="H5" s="481">
        <v>0</v>
      </c>
      <c r="I5" s="481">
        <v>0</v>
      </c>
      <c r="J5" s="481"/>
      <c r="K5" s="481">
        <v>1.28</v>
      </c>
    </row>
    <row r="6" spans="1:11">
      <c r="A6" s="481" t="s">
        <v>405</v>
      </c>
      <c r="B6" s="482">
        <f t="shared" si="0"/>
        <v>82.79</v>
      </c>
      <c r="C6" s="481">
        <v>67.86</v>
      </c>
      <c r="D6" s="481">
        <v>12.42</v>
      </c>
      <c r="E6" s="481">
        <v>0</v>
      </c>
      <c r="F6" s="481">
        <v>1.0900000000000001</v>
      </c>
      <c r="G6" s="481">
        <v>0.74</v>
      </c>
      <c r="H6" s="481">
        <v>0.65</v>
      </c>
      <c r="I6" s="481">
        <v>0</v>
      </c>
      <c r="J6" s="481">
        <v>0.03</v>
      </c>
      <c r="K6" s="481"/>
    </row>
    <row r="7" spans="1:11">
      <c r="A7" s="481" t="s">
        <v>307</v>
      </c>
      <c r="B7" s="482">
        <f t="shared" si="0"/>
        <v>127.74</v>
      </c>
      <c r="C7" s="481">
        <v>101.71</v>
      </c>
      <c r="D7" s="481">
        <v>12.79</v>
      </c>
      <c r="F7" s="481">
        <v>11.66</v>
      </c>
      <c r="G7" s="481">
        <v>0.84</v>
      </c>
      <c r="H7" s="481">
        <v>0.74</v>
      </c>
    </row>
    <row r="8" spans="1:11">
      <c r="A8" s="481" t="s">
        <v>280</v>
      </c>
      <c r="B8" s="482">
        <f t="shared" si="0"/>
        <v>152.30999999999997</v>
      </c>
      <c r="C8" s="481">
        <v>144.9</v>
      </c>
      <c r="D8" s="481">
        <v>3.29</v>
      </c>
      <c r="E8" s="481">
        <v>0.7</v>
      </c>
      <c r="F8" s="481">
        <v>0.14000000000000001</v>
      </c>
      <c r="G8" s="481">
        <v>0.59</v>
      </c>
      <c r="H8" s="481">
        <v>2.59</v>
      </c>
      <c r="J8" s="481">
        <v>0.1</v>
      </c>
    </row>
    <row r="9" spans="1:11">
      <c r="A9" s="481" t="s">
        <v>292</v>
      </c>
      <c r="B9" s="482">
        <f t="shared" si="0"/>
        <v>95.69</v>
      </c>
      <c r="C9" s="481">
        <v>75.3</v>
      </c>
      <c r="D9" s="481">
        <v>14.25</v>
      </c>
      <c r="E9" s="481">
        <v>0</v>
      </c>
      <c r="F9" s="481">
        <v>4.13</v>
      </c>
      <c r="G9" s="481">
        <v>0.7</v>
      </c>
      <c r="H9" s="481">
        <v>1.28</v>
      </c>
      <c r="I9" s="481"/>
      <c r="J9" s="481">
        <v>0.03</v>
      </c>
    </row>
    <row r="10" spans="1:11">
      <c r="A10" s="481" t="s">
        <v>241</v>
      </c>
      <c r="B10" s="482">
        <f t="shared" si="0"/>
        <v>114.34</v>
      </c>
      <c r="C10" s="481">
        <v>84.56</v>
      </c>
      <c r="D10" s="481">
        <v>5.51</v>
      </c>
      <c r="E10" s="481">
        <v>0.31</v>
      </c>
      <c r="F10" s="481">
        <v>10.86</v>
      </c>
      <c r="G10" s="481">
        <v>2.3199999999999998</v>
      </c>
      <c r="H10" s="481">
        <v>0.98</v>
      </c>
      <c r="I10" s="481"/>
      <c r="J10" s="481">
        <v>9.8000000000000007</v>
      </c>
    </row>
    <row r="11" spans="1:11">
      <c r="A11" s="481" t="s">
        <v>406</v>
      </c>
      <c r="B11" s="482">
        <f t="shared" si="0"/>
        <v>200.63</v>
      </c>
      <c r="C11" s="481">
        <v>185.93</v>
      </c>
      <c r="D11" s="481">
        <v>2.92</v>
      </c>
      <c r="E11" s="481">
        <v>0.05</v>
      </c>
      <c r="F11" s="481">
        <v>10.77</v>
      </c>
      <c r="G11" s="481">
        <v>0.12</v>
      </c>
      <c r="H11" s="481">
        <v>0.64</v>
      </c>
      <c r="J11" s="481">
        <v>0.2</v>
      </c>
    </row>
    <row r="12" spans="1:11">
      <c r="A12" s="481" t="s">
        <v>407</v>
      </c>
      <c r="B12" s="482">
        <f t="shared" si="0"/>
        <v>71.94</v>
      </c>
      <c r="C12" s="481">
        <v>31.42</v>
      </c>
      <c r="D12" s="481">
        <v>19.66</v>
      </c>
      <c r="E12" s="481">
        <v>7.87</v>
      </c>
      <c r="F12" s="481">
        <v>9.52</v>
      </c>
      <c r="G12" s="481">
        <v>2.2799999999999998</v>
      </c>
      <c r="H12" s="481">
        <v>1.19</v>
      </c>
      <c r="J12" s="481"/>
    </row>
    <row r="13" spans="1:11">
      <c r="A13" s="481" t="s">
        <v>236</v>
      </c>
      <c r="B13" s="482">
        <f t="shared" si="0"/>
        <v>279.07</v>
      </c>
      <c r="C13" s="481">
        <v>18.670000000000002</v>
      </c>
      <c r="D13" s="481">
        <v>259.7</v>
      </c>
      <c r="E13" s="481">
        <v>0</v>
      </c>
      <c r="F13" s="481">
        <v>0.69</v>
      </c>
      <c r="G13" s="481">
        <v>0.01</v>
      </c>
      <c r="H13" s="481">
        <v>0</v>
      </c>
      <c r="K13" s="481">
        <v>7.0000000000000007E-2</v>
      </c>
    </row>
    <row r="14" spans="1:11">
      <c r="A14" s="481" t="s">
        <v>408</v>
      </c>
      <c r="B14" s="482">
        <f t="shared" si="0"/>
        <v>94.81</v>
      </c>
      <c r="C14" s="481">
        <v>63.66</v>
      </c>
      <c r="D14" s="481">
        <v>16.399999999999999</v>
      </c>
      <c r="E14" s="481">
        <v>1.66</v>
      </c>
      <c r="F14" s="481">
        <v>10.49</v>
      </c>
      <c r="G14" s="481">
        <v>1.56</v>
      </c>
      <c r="H14" s="481">
        <v>1.01</v>
      </c>
      <c r="J14" s="481">
        <v>0.03</v>
      </c>
    </row>
    <row r="15" spans="1:11">
      <c r="A15" s="481" t="s">
        <v>242</v>
      </c>
      <c r="B15" s="482">
        <f t="shared" si="0"/>
        <v>109.94999999999999</v>
      </c>
      <c r="C15" s="481">
        <v>69.260000000000005</v>
      </c>
      <c r="D15" s="481">
        <v>2.94</v>
      </c>
      <c r="E15" s="481">
        <v>4.1900000000000004</v>
      </c>
      <c r="F15" s="481">
        <v>0.52</v>
      </c>
      <c r="G15" s="481">
        <v>8.1300000000000008</v>
      </c>
      <c r="H15" s="481">
        <v>2.99</v>
      </c>
      <c r="J15" s="481">
        <v>21.92</v>
      </c>
    </row>
    <row r="16" spans="1:11">
      <c r="A16" s="481" t="s">
        <v>243</v>
      </c>
      <c r="B16" s="482">
        <f t="shared" si="0"/>
        <v>125.5</v>
      </c>
      <c r="C16" s="481">
        <v>110.51</v>
      </c>
      <c r="D16" s="481">
        <v>11.37</v>
      </c>
      <c r="E16" s="481">
        <v>1.32</v>
      </c>
      <c r="F16" s="481">
        <v>1.1499999999999999</v>
      </c>
      <c r="G16" s="481">
        <v>0.16</v>
      </c>
      <c r="H16" s="481">
        <v>0.1</v>
      </c>
      <c r="J16" s="481">
        <v>0.89</v>
      </c>
    </row>
    <row r="17" spans="1:11">
      <c r="A17" s="481" t="s">
        <v>308</v>
      </c>
      <c r="B17" s="482">
        <f t="shared" si="0"/>
        <v>124.63</v>
      </c>
      <c r="C17" s="481">
        <v>53.52</v>
      </c>
      <c r="D17" s="481">
        <v>39.619999999999997</v>
      </c>
      <c r="E17" s="481">
        <v>0</v>
      </c>
      <c r="F17" s="481">
        <v>26.78</v>
      </c>
      <c r="G17" s="481">
        <v>1.77</v>
      </c>
      <c r="H17" s="481">
        <v>0.56000000000000005</v>
      </c>
      <c r="I17" s="481">
        <v>2.38</v>
      </c>
    </row>
    <row r="18" spans="1:11">
      <c r="A18" s="481" t="s">
        <v>174</v>
      </c>
      <c r="B18" s="482">
        <f t="shared" si="0"/>
        <v>148.59</v>
      </c>
      <c r="C18" s="481">
        <v>16.170000000000002</v>
      </c>
      <c r="D18" s="481">
        <v>87.69</v>
      </c>
      <c r="E18" s="481">
        <v>0.33</v>
      </c>
      <c r="F18" s="481">
        <v>33.82</v>
      </c>
      <c r="G18" s="481">
        <v>0</v>
      </c>
      <c r="H18" s="481">
        <v>0.65</v>
      </c>
      <c r="I18" s="481">
        <v>9.93</v>
      </c>
      <c r="K18" s="481">
        <v>1.45</v>
      </c>
    </row>
    <row r="19" spans="1:11">
      <c r="A19" s="481" t="s">
        <v>409</v>
      </c>
      <c r="B19" s="482">
        <f t="shared" si="0"/>
        <v>131.35</v>
      </c>
      <c r="C19" s="481">
        <v>56.28</v>
      </c>
      <c r="D19" s="481">
        <v>41.47</v>
      </c>
      <c r="E19" s="481">
        <v>0.01</v>
      </c>
      <c r="F19" s="481">
        <v>28.87</v>
      </c>
      <c r="G19" s="481">
        <v>1.76</v>
      </c>
      <c r="H19" s="481">
        <v>2.95</v>
      </c>
      <c r="I19" s="481"/>
      <c r="J19" s="481">
        <v>0.01</v>
      </c>
    </row>
    <row r="20" spans="1:11">
      <c r="A20" s="481" t="s">
        <v>244</v>
      </c>
      <c r="B20" s="482">
        <f t="shared" si="0"/>
        <v>169.23000000000002</v>
      </c>
      <c r="C20" s="481">
        <v>85.69</v>
      </c>
      <c r="D20" s="481">
        <v>2.98</v>
      </c>
      <c r="E20" s="481">
        <v>3.45</v>
      </c>
      <c r="F20" s="481">
        <v>74.73</v>
      </c>
      <c r="G20" s="481">
        <v>0.13</v>
      </c>
      <c r="H20" s="481">
        <v>0.7</v>
      </c>
      <c r="J20" s="481">
        <v>1.55</v>
      </c>
    </row>
    <row r="21" spans="1:11">
      <c r="A21" s="481" t="s">
        <v>175</v>
      </c>
      <c r="B21" s="482">
        <f t="shared" si="0"/>
        <v>120.60000000000001</v>
      </c>
      <c r="C21" s="481">
        <v>43.36</v>
      </c>
      <c r="D21" s="481">
        <v>12.51</v>
      </c>
      <c r="E21" s="481">
        <v>0.28999999999999998</v>
      </c>
      <c r="F21" s="481">
        <v>44.96</v>
      </c>
      <c r="G21" s="481">
        <v>0.03</v>
      </c>
      <c r="H21" s="481">
        <v>2.64</v>
      </c>
      <c r="I21" s="481">
        <v>16.809999999999999</v>
      </c>
      <c r="K21" s="481">
        <v>0.45</v>
      </c>
    </row>
    <row r="22" spans="1:11">
      <c r="A22" s="481" t="s">
        <v>310</v>
      </c>
      <c r="B22" s="482">
        <f t="shared" si="0"/>
        <v>134.28</v>
      </c>
      <c r="C22" s="481">
        <v>55.29</v>
      </c>
      <c r="D22" s="481">
        <v>46.17</v>
      </c>
      <c r="E22" s="481">
        <v>0</v>
      </c>
      <c r="F22" s="481">
        <v>28.45</v>
      </c>
      <c r="G22" s="481">
        <v>3.93</v>
      </c>
      <c r="H22" s="481">
        <v>0.43</v>
      </c>
      <c r="J22" s="481">
        <v>0.01</v>
      </c>
    </row>
    <row r="23" spans="1:11">
      <c r="A23" s="481" t="s">
        <v>245</v>
      </c>
      <c r="B23" s="482">
        <f t="shared" si="0"/>
        <v>131.81</v>
      </c>
      <c r="C23" s="481">
        <v>97.49</v>
      </c>
      <c r="D23" s="481">
        <v>3.37</v>
      </c>
      <c r="E23" s="481">
        <v>0.43</v>
      </c>
      <c r="F23" s="481">
        <v>29.98</v>
      </c>
      <c r="G23" s="481">
        <v>0.27</v>
      </c>
      <c r="H23" s="481">
        <v>0.13</v>
      </c>
      <c r="J23" s="481">
        <v>0.14000000000000001</v>
      </c>
    </row>
    <row r="24" spans="1:11">
      <c r="A24" s="481" t="s">
        <v>176</v>
      </c>
      <c r="B24" s="482">
        <f t="shared" si="0"/>
        <v>161.46</v>
      </c>
      <c r="C24" s="481">
        <v>14.02</v>
      </c>
      <c r="D24" s="481">
        <v>25.75</v>
      </c>
      <c r="E24" s="481">
        <v>0</v>
      </c>
      <c r="F24" s="481">
        <v>70.430000000000007</v>
      </c>
      <c r="G24" s="481">
        <v>0</v>
      </c>
      <c r="H24" s="481">
        <v>0.5</v>
      </c>
      <c r="I24" s="481">
        <v>50.76</v>
      </c>
      <c r="J24" s="481"/>
      <c r="K24" s="481">
        <v>55.64</v>
      </c>
    </row>
    <row r="25" spans="1:11">
      <c r="A25" s="481" t="s">
        <v>410</v>
      </c>
      <c r="B25" s="482">
        <f t="shared" si="0"/>
        <v>159.95000000000002</v>
      </c>
      <c r="C25" s="481">
        <v>37.31</v>
      </c>
      <c r="D25" s="481">
        <v>77.709999999999994</v>
      </c>
      <c r="E25" s="481">
        <v>0</v>
      </c>
      <c r="F25" s="481">
        <v>43.63</v>
      </c>
      <c r="G25" s="481">
        <v>0.08</v>
      </c>
      <c r="H25" s="481">
        <v>1.22</v>
      </c>
      <c r="K25" s="481"/>
    </row>
    <row r="26" spans="1:11">
      <c r="A26" s="481" t="s">
        <v>294</v>
      </c>
      <c r="B26" s="482">
        <f t="shared" si="0"/>
        <v>254.22</v>
      </c>
      <c r="C26" s="481">
        <v>2.83</v>
      </c>
      <c r="D26" s="481">
        <v>239.91</v>
      </c>
      <c r="E26" s="481">
        <v>0</v>
      </c>
      <c r="F26" s="481">
        <v>11.48</v>
      </c>
      <c r="G26" s="481">
        <v>0</v>
      </c>
      <c r="H26" s="481">
        <v>0</v>
      </c>
    </row>
    <row r="27" spans="1:11">
      <c r="A27" s="481" t="s">
        <v>178</v>
      </c>
      <c r="B27" s="482">
        <f t="shared" si="0"/>
        <v>139.62</v>
      </c>
      <c r="C27" s="481">
        <v>24.3</v>
      </c>
      <c r="D27" s="481">
        <v>40.56</v>
      </c>
      <c r="E27" s="481">
        <v>0</v>
      </c>
      <c r="F27" s="481">
        <v>49.2</v>
      </c>
      <c r="G27" s="481">
        <v>0</v>
      </c>
      <c r="H27" s="481">
        <v>0</v>
      </c>
      <c r="I27" s="481">
        <v>25.56</v>
      </c>
      <c r="K27" s="481">
        <v>3.74</v>
      </c>
    </row>
    <row r="28" spans="1:11">
      <c r="A28" s="481" t="s">
        <v>290</v>
      </c>
      <c r="B28" s="482">
        <f t="shared" si="0"/>
        <v>110.27999999999999</v>
      </c>
      <c r="C28" s="481">
        <v>75.91</v>
      </c>
      <c r="D28" s="481">
        <v>12.83</v>
      </c>
      <c r="E28" s="481">
        <v>0.34</v>
      </c>
      <c r="F28" s="481">
        <v>19.75</v>
      </c>
      <c r="G28" s="481">
        <v>0</v>
      </c>
      <c r="H28" s="481">
        <v>0.6</v>
      </c>
      <c r="J28" s="481">
        <v>0.85</v>
      </c>
    </row>
    <row r="29" spans="1:11">
      <c r="A29" s="481" t="s">
        <v>180</v>
      </c>
      <c r="B29" s="482">
        <f t="shared" si="0"/>
        <v>24.03</v>
      </c>
      <c r="C29" s="481">
        <v>1</v>
      </c>
      <c r="D29" s="481">
        <v>2.21</v>
      </c>
      <c r="E29" s="481">
        <v>0</v>
      </c>
      <c r="F29" s="481">
        <v>15.24</v>
      </c>
      <c r="G29" s="481">
        <v>0</v>
      </c>
      <c r="H29" s="481">
        <v>0</v>
      </c>
      <c r="I29" s="481">
        <v>5.58</v>
      </c>
      <c r="J29" s="481"/>
      <c r="K29" s="481">
        <v>1.95</v>
      </c>
    </row>
    <row r="30" spans="1:11">
      <c r="A30" s="481" t="s">
        <v>181</v>
      </c>
      <c r="B30" s="482">
        <f t="shared" si="0"/>
        <v>125.21000000000001</v>
      </c>
      <c r="C30" s="481">
        <v>4.78</v>
      </c>
      <c r="D30" s="481">
        <v>14.89</v>
      </c>
      <c r="E30" s="481">
        <v>0</v>
      </c>
      <c r="F30" s="481">
        <v>21.85</v>
      </c>
      <c r="G30" s="481">
        <v>0</v>
      </c>
      <c r="H30" s="481">
        <v>27.94</v>
      </c>
      <c r="I30" s="481">
        <v>55.75</v>
      </c>
      <c r="J30" s="481"/>
      <c r="K30" s="481">
        <v>39.630000000000003</v>
      </c>
    </row>
    <row r="31" spans="1:11">
      <c r="A31" s="481" t="s">
        <v>311</v>
      </c>
      <c r="B31" s="482">
        <f t="shared" si="0"/>
        <v>143.26999999999998</v>
      </c>
      <c r="C31" s="481">
        <v>106.3</v>
      </c>
      <c r="D31" s="481">
        <v>13.35</v>
      </c>
      <c r="E31" s="481">
        <v>0.75</v>
      </c>
      <c r="F31" s="481">
        <v>21.4</v>
      </c>
      <c r="G31" s="481">
        <v>0.98</v>
      </c>
      <c r="H31" s="481">
        <v>0.24</v>
      </c>
      <c r="J31" s="481">
        <v>0.25</v>
      </c>
    </row>
    <row r="32" spans="1:11">
      <c r="A32" s="481" t="s">
        <v>411</v>
      </c>
      <c r="B32" s="482">
        <f t="shared" si="0"/>
        <v>126.41</v>
      </c>
      <c r="C32" s="481">
        <v>58</v>
      </c>
      <c r="D32" s="481">
        <v>61.83</v>
      </c>
      <c r="E32" s="481">
        <v>0.04</v>
      </c>
      <c r="F32" s="481">
        <v>5.05</v>
      </c>
      <c r="G32" s="481">
        <v>1.38</v>
      </c>
      <c r="H32" s="481">
        <v>0.11</v>
      </c>
      <c r="J32" s="481"/>
    </row>
    <row r="33" spans="1:11">
      <c r="A33" s="481" t="s">
        <v>412</v>
      </c>
      <c r="B33" s="482">
        <f t="shared" si="0"/>
        <v>113.65</v>
      </c>
      <c r="C33" s="481">
        <v>52.79</v>
      </c>
      <c r="D33" s="481">
        <v>57.63</v>
      </c>
      <c r="E33" s="481">
        <v>0.13</v>
      </c>
      <c r="F33" s="481">
        <v>0.4</v>
      </c>
      <c r="G33" s="481">
        <v>0.92</v>
      </c>
      <c r="H33" s="481">
        <v>1.78</v>
      </c>
    </row>
    <row r="34" spans="1:11">
      <c r="A34" s="481" t="s">
        <v>413</v>
      </c>
      <c r="B34" s="482">
        <f t="shared" si="0"/>
        <v>194.59</v>
      </c>
      <c r="C34" s="481">
        <v>64.64</v>
      </c>
      <c r="D34" s="481">
        <v>119.45</v>
      </c>
      <c r="E34" s="481">
        <v>0.3</v>
      </c>
      <c r="F34" s="481">
        <v>7.18</v>
      </c>
      <c r="G34" s="481">
        <v>0.2</v>
      </c>
      <c r="H34" s="481">
        <v>0.46</v>
      </c>
      <c r="I34" s="481">
        <v>2.2200000000000002</v>
      </c>
      <c r="J34" s="481">
        <v>0.14000000000000001</v>
      </c>
      <c r="K34" s="481">
        <v>0.52</v>
      </c>
    </row>
    <row r="35" spans="1:11">
      <c r="A35" s="481" t="s">
        <v>414</v>
      </c>
      <c r="B35" s="482">
        <f t="shared" si="0"/>
        <v>126.59999999999998</v>
      </c>
      <c r="C35" s="481">
        <v>48.97</v>
      </c>
      <c r="D35" s="481">
        <v>67.69</v>
      </c>
      <c r="E35" s="481">
        <v>0.32</v>
      </c>
      <c r="F35" s="481">
        <v>8.14</v>
      </c>
      <c r="G35" s="481">
        <v>0.88</v>
      </c>
      <c r="H35" s="481">
        <v>0.56999999999999995</v>
      </c>
      <c r="I35" s="481">
        <v>0.03</v>
      </c>
      <c r="J35" s="481"/>
      <c r="K35" s="481">
        <v>0.11</v>
      </c>
    </row>
    <row r="36" spans="1:11">
      <c r="A36" s="481" t="s">
        <v>312</v>
      </c>
      <c r="B36" s="482">
        <f t="shared" si="0"/>
        <v>136.70000000000002</v>
      </c>
      <c r="C36" s="481">
        <v>37.06</v>
      </c>
      <c r="D36" s="481">
        <v>58.94</v>
      </c>
      <c r="E36" s="481">
        <v>1.3</v>
      </c>
      <c r="F36" s="481">
        <v>37.880000000000003</v>
      </c>
      <c r="G36" s="481">
        <v>1.52</v>
      </c>
      <c r="H36" s="481">
        <v>0</v>
      </c>
    </row>
    <row r="37" spans="1:11">
      <c r="A37" s="481" t="s">
        <v>415</v>
      </c>
      <c r="B37" s="482">
        <f t="shared" si="0"/>
        <v>85.83</v>
      </c>
      <c r="C37" s="481">
        <v>54.75</v>
      </c>
      <c r="D37" s="481">
        <v>26.63</v>
      </c>
      <c r="E37" s="481">
        <v>0</v>
      </c>
      <c r="F37" s="481">
        <v>4.3</v>
      </c>
      <c r="G37" s="481">
        <v>0.15</v>
      </c>
      <c r="H37" s="481">
        <v>0</v>
      </c>
    </row>
    <row r="38" spans="1:11">
      <c r="A38" s="481" t="s">
        <v>313</v>
      </c>
      <c r="B38" s="482">
        <f t="shared" si="0"/>
        <v>122.73</v>
      </c>
      <c r="C38" s="481">
        <v>38.26</v>
      </c>
      <c r="D38" s="481">
        <v>66.180000000000007</v>
      </c>
      <c r="E38" s="481">
        <v>2.4</v>
      </c>
      <c r="F38" s="481">
        <v>14.68</v>
      </c>
      <c r="G38" s="481">
        <v>1.21</v>
      </c>
      <c r="H38" s="481">
        <v>0</v>
      </c>
    </row>
    <row r="39" spans="1:11">
      <c r="A39" s="481" t="s">
        <v>183</v>
      </c>
      <c r="B39" s="482">
        <f t="shared" si="0"/>
        <v>149.19</v>
      </c>
      <c r="C39" s="481">
        <v>21.74</v>
      </c>
      <c r="D39" s="481">
        <v>97.77</v>
      </c>
      <c r="E39" s="481">
        <v>0</v>
      </c>
      <c r="F39" s="481">
        <v>26.71</v>
      </c>
      <c r="G39" s="481">
        <v>0.26</v>
      </c>
      <c r="H39" s="481">
        <v>0.91</v>
      </c>
      <c r="I39" s="481">
        <v>1.8</v>
      </c>
      <c r="J39" s="481"/>
      <c r="K39" s="481">
        <v>1.54</v>
      </c>
    </row>
    <row r="40" spans="1:11">
      <c r="A40" s="481" t="s">
        <v>246</v>
      </c>
      <c r="B40" s="482">
        <f t="shared" si="0"/>
        <v>106.17</v>
      </c>
      <c r="C40" s="481">
        <v>92.21</v>
      </c>
      <c r="D40" s="481">
        <v>2.5</v>
      </c>
      <c r="E40" s="481">
        <v>0.83</v>
      </c>
      <c r="F40" s="481">
        <v>8.8699999999999992</v>
      </c>
      <c r="G40" s="481">
        <v>0.25</v>
      </c>
      <c r="H40" s="481">
        <v>0.7</v>
      </c>
      <c r="J40" s="481">
        <v>0.81</v>
      </c>
    </row>
    <row r="41" spans="1:11">
      <c r="A41" s="481" t="s">
        <v>416</v>
      </c>
      <c r="B41" s="482">
        <f t="shared" si="0"/>
        <v>159.13999999999999</v>
      </c>
      <c r="C41" s="481">
        <v>51.66</v>
      </c>
      <c r="D41" s="481">
        <v>77.67</v>
      </c>
      <c r="E41" s="481">
        <v>0</v>
      </c>
      <c r="F41" s="481">
        <v>29.78</v>
      </c>
      <c r="G41" s="481">
        <v>0</v>
      </c>
      <c r="H41" s="481">
        <v>0.03</v>
      </c>
      <c r="J41" s="481"/>
    </row>
    <row r="42" spans="1:11">
      <c r="A42" s="481" t="s">
        <v>417</v>
      </c>
      <c r="B42" s="482">
        <f t="shared" si="0"/>
        <v>146.10000000000002</v>
      </c>
      <c r="C42" s="481">
        <v>120.52</v>
      </c>
      <c r="D42" s="481">
        <v>5.08</v>
      </c>
      <c r="E42" s="481">
        <v>8.43</v>
      </c>
      <c r="F42" s="481">
        <v>11.18</v>
      </c>
      <c r="G42" s="481">
        <v>0.32</v>
      </c>
      <c r="H42" s="481">
        <v>0.55000000000000004</v>
      </c>
      <c r="J42" s="481">
        <v>0.02</v>
      </c>
    </row>
    <row r="43" spans="1:11">
      <c r="A43" s="481" t="s">
        <v>247</v>
      </c>
      <c r="B43" s="482">
        <f t="shared" si="0"/>
        <v>102.11000000000001</v>
      </c>
      <c r="C43" s="481">
        <v>84.36</v>
      </c>
      <c r="D43" s="481">
        <v>6.62</v>
      </c>
      <c r="E43" s="481">
        <v>0.37</v>
      </c>
      <c r="F43" s="481">
        <v>0</v>
      </c>
      <c r="G43" s="481">
        <v>2.06</v>
      </c>
      <c r="H43" s="481">
        <v>0.92</v>
      </c>
      <c r="J43" s="481">
        <v>7.78</v>
      </c>
    </row>
    <row r="44" spans="1:11">
      <c r="A44" s="481" t="s">
        <v>418</v>
      </c>
      <c r="B44" s="482">
        <f t="shared" si="0"/>
        <v>176.96</v>
      </c>
      <c r="C44" s="481">
        <v>19.45</v>
      </c>
      <c r="D44" s="481">
        <v>111.21</v>
      </c>
      <c r="E44" s="481">
        <v>0.53</v>
      </c>
      <c r="F44" s="481">
        <v>44.37</v>
      </c>
      <c r="G44" s="481">
        <v>0.25</v>
      </c>
      <c r="H44" s="481">
        <v>0</v>
      </c>
      <c r="I44" s="481">
        <v>1.1499999999999999</v>
      </c>
      <c r="J44" s="481"/>
      <c r="K44" s="481">
        <v>1.94</v>
      </c>
    </row>
    <row r="45" spans="1:11">
      <c r="A45" s="481" t="s">
        <v>248</v>
      </c>
      <c r="B45" s="482">
        <f t="shared" si="0"/>
        <v>112.17000000000002</v>
      </c>
      <c r="C45" s="481">
        <v>85.2</v>
      </c>
      <c r="D45" s="481">
        <v>4.4000000000000004</v>
      </c>
      <c r="E45" s="481">
        <v>0.01</v>
      </c>
      <c r="F45" s="481">
        <v>6.02</v>
      </c>
      <c r="G45" s="481">
        <v>3.78</v>
      </c>
      <c r="H45" s="481">
        <v>0.09</v>
      </c>
      <c r="J45" s="481">
        <v>12.67</v>
      </c>
      <c r="K45" s="481"/>
    </row>
    <row r="46" spans="1:11">
      <c r="A46" s="481" t="s">
        <v>184</v>
      </c>
      <c r="B46" s="482">
        <f t="shared" si="0"/>
        <v>173.68</v>
      </c>
      <c r="C46" s="481">
        <v>121.98</v>
      </c>
      <c r="D46" s="481">
        <v>46.53</v>
      </c>
      <c r="E46" s="481">
        <v>0</v>
      </c>
      <c r="F46" s="481">
        <v>2.5</v>
      </c>
      <c r="G46" s="481">
        <v>0.06</v>
      </c>
      <c r="H46" s="481">
        <v>0</v>
      </c>
      <c r="I46" s="481">
        <v>2.61</v>
      </c>
    </row>
    <row r="47" spans="1:11">
      <c r="A47" s="481" t="s">
        <v>419</v>
      </c>
      <c r="B47" s="482">
        <f t="shared" si="0"/>
        <v>53.16</v>
      </c>
      <c r="C47" s="481">
        <v>37.4</v>
      </c>
      <c r="D47" s="481">
        <v>10.26</v>
      </c>
      <c r="E47" s="481">
        <v>2.08</v>
      </c>
      <c r="F47" s="481">
        <v>3.35</v>
      </c>
      <c r="G47" s="481">
        <v>0</v>
      </c>
      <c r="H47" s="481">
        <v>0.06</v>
      </c>
      <c r="J47" s="481">
        <v>0.01</v>
      </c>
    </row>
    <row r="48" spans="1:11">
      <c r="A48" s="481" t="s">
        <v>420</v>
      </c>
      <c r="B48" s="482">
        <f t="shared" si="0"/>
        <v>106.25</v>
      </c>
      <c r="C48" s="481">
        <v>26.36</v>
      </c>
      <c r="D48" s="481">
        <v>73.819999999999993</v>
      </c>
      <c r="E48" s="481">
        <v>0.03</v>
      </c>
      <c r="F48" s="481">
        <v>4.78</v>
      </c>
      <c r="G48" s="481">
        <v>1.2</v>
      </c>
      <c r="H48" s="481">
        <v>0.06</v>
      </c>
      <c r="J48" s="481"/>
    </row>
    <row r="49" spans="1:11">
      <c r="A49" s="481" t="s">
        <v>314</v>
      </c>
      <c r="B49" s="482">
        <f t="shared" si="0"/>
        <v>167.49000000000004</v>
      </c>
      <c r="C49" s="481">
        <v>66.09</v>
      </c>
      <c r="D49" s="481">
        <v>58.37</v>
      </c>
      <c r="E49" s="481">
        <v>0.01</v>
      </c>
      <c r="F49" s="481">
        <v>39.979999999999997</v>
      </c>
      <c r="G49" s="481">
        <v>2.99</v>
      </c>
      <c r="H49" s="481">
        <v>0.05</v>
      </c>
      <c r="J49" s="481"/>
    </row>
    <row r="50" spans="1:11">
      <c r="A50" s="481" t="s">
        <v>224</v>
      </c>
      <c r="B50" s="482">
        <f t="shared" si="0"/>
        <v>253.45000000000002</v>
      </c>
      <c r="C50" s="481">
        <v>144.77000000000001</v>
      </c>
      <c r="D50" s="481">
        <v>46.07</v>
      </c>
      <c r="E50" s="481">
        <v>0.09</v>
      </c>
      <c r="F50" s="481">
        <v>59.93</v>
      </c>
      <c r="G50" s="481">
        <v>0.02</v>
      </c>
      <c r="H50" s="481">
        <v>0</v>
      </c>
      <c r="I50" s="481">
        <v>2.57</v>
      </c>
      <c r="J50" s="481"/>
    </row>
    <row r="51" spans="1:11">
      <c r="A51" s="481" t="s">
        <v>315</v>
      </c>
      <c r="B51" s="482">
        <f t="shared" si="0"/>
        <v>138.16</v>
      </c>
      <c r="C51" s="481">
        <v>35.64</v>
      </c>
      <c r="D51" s="481">
        <v>14.83</v>
      </c>
      <c r="E51" s="481">
        <v>0</v>
      </c>
      <c r="F51" s="481">
        <v>74.5</v>
      </c>
      <c r="G51" s="481">
        <v>0.33</v>
      </c>
      <c r="H51" s="481">
        <v>0.17</v>
      </c>
      <c r="I51" s="481">
        <v>12.69</v>
      </c>
    </row>
    <row r="52" spans="1:11">
      <c r="A52" s="481" t="s">
        <v>249</v>
      </c>
      <c r="B52" s="482">
        <f t="shared" si="0"/>
        <v>101.1</v>
      </c>
      <c r="C52" s="481">
        <v>61.08</v>
      </c>
      <c r="D52" s="481">
        <v>2.33</v>
      </c>
      <c r="E52" s="481">
        <v>4.8600000000000003</v>
      </c>
      <c r="F52" s="481">
        <v>12.14</v>
      </c>
      <c r="G52" s="481">
        <v>3.87</v>
      </c>
      <c r="H52" s="481">
        <v>2.19</v>
      </c>
      <c r="J52" s="481">
        <v>14.63</v>
      </c>
    </row>
    <row r="53" spans="1:11">
      <c r="A53" s="481" t="s">
        <v>421</v>
      </c>
      <c r="B53" s="482">
        <f t="shared" si="0"/>
        <v>154.18000000000004</v>
      </c>
      <c r="C53" s="481">
        <v>42.24</v>
      </c>
      <c r="D53" s="481">
        <v>35</v>
      </c>
      <c r="F53" s="481">
        <v>73.81</v>
      </c>
      <c r="G53" s="481">
        <v>0.11</v>
      </c>
      <c r="H53" s="481">
        <v>0.5</v>
      </c>
      <c r="I53" s="481">
        <v>2.52</v>
      </c>
    </row>
    <row r="54" spans="1:11">
      <c r="A54" s="481" t="s">
        <v>187</v>
      </c>
      <c r="B54" s="482">
        <f t="shared" si="0"/>
        <v>163.32999999999998</v>
      </c>
      <c r="C54" s="481">
        <v>36.47</v>
      </c>
      <c r="D54" s="481">
        <v>3.97</v>
      </c>
      <c r="E54" s="481">
        <v>14.71</v>
      </c>
      <c r="F54" s="481">
        <v>46.3</v>
      </c>
      <c r="G54" s="481">
        <v>0.39</v>
      </c>
      <c r="H54" s="481">
        <v>35.58</v>
      </c>
      <c r="I54" s="481">
        <v>25.91</v>
      </c>
      <c r="K54" s="481">
        <v>7.18</v>
      </c>
    </row>
    <row r="55" spans="1:11">
      <c r="A55" s="481" t="s">
        <v>422</v>
      </c>
      <c r="B55" s="482">
        <f t="shared" si="0"/>
        <v>144.72999999999996</v>
      </c>
      <c r="C55" s="481">
        <v>81.069999999999993</v>
      </c>
      <c r="D55" s="481">
        <v>61.33</v>
      </c>
      <c r="E55" s="481">
        <v>0.1</v>
      </c>
      <c r="F55" s="481">
        <v>0.63</v>
      </c>
      <c r="G55" s="481">
        <v>0.53</v>
      </c>
      <c r="H55" s="481">
        <v>1.07</v>
      </c>
    </row>
    <row r="56" spans="1:11">
      <c r="A56" s="481" t="s">
        <v>250</v>
      </c>
      <c r="B56" s="482">
        <f t="shared" si="0"/>
        <v>111.61</v>
      </c>
      <c r="C56" s="481">
        <v>70.88</v>
      </c>
      <c r="D56" s="481">
        <v>4.62</v>
      </c>
      <c r="E56" s="481">
        <v>5.4</v>
      </c>
      <c r="G56" s="481">
        <v>4</v>
      </c>
      <c r="H56" s="481">
        <v>1.08</v>
      </c>
      <c r="J56" s="481">
        <v>25.63</v>
      </c>
    </row>
    <row r="57" spans="1:11">
      <c r="A57" s="481" t="s">
        <v>251</v>
      </c>
      <c r="B57" s="482">
        <f t="shared" si="0"/>
        <v>138.55000000000001</v>
      </c>
      <c r="C57" s="481">
        <v>116.22</v>
      </c>
      <c r="D57" s="481">
        <v>7.26</v>
      </c>
      <c r="E57" s="481">
        <v>0.36</v>
      </c>
      <c r="F57" s="481">
        <v>13.34</v>
      </c>
      <c r="G57" s="481">
        <v>0.77</v>
      </c>
      <c r="H57" s="481">
        <v>0.19</v>
      </c>
      <c r="J57" s="481">
        <v>0.41</v>
      </c>
    </row>
    <row r="58" spans="1:11">
      <c r="A58" s="481" t="s">
        <v>423</v>
      </c>
      <c r="B58" s="482">
        <f t="shared" si="0"/>
        <v>100.66</v>
      </c>
      <c r="C58" s="481">
        <v>63.51</v>
      </c>
      <c r="D58" s="481">
        <v>35.450000000000003</v>
      </c>
      <c r="E58" s="481">
        <v>0.35</v>
      </c>
      <c r="F58" s="481">
        <v>0.77</v>
      </c>
      <c r="G58" s="481">
        <v>0</v>
      </c>
      <c r="H58" s="481">
        <v>0.57999999999999996</v>
      </c>
      <c r="J58" s="481"/>
    </row>
    <row r="59" spans="1:11">
      <c r="A59" s="481" t="s">
        <v>188</v>
      </c>
      <c r="B59" s="482">
        <f t="shared" si="0"/>
        <v>126.99999999999999</v>
      </c>
      <c r="C59" s="481">
        <v>57.52</v>
      </c>
      <c r="D59" s="481">
        <v>55.33</v>
      </c>
      <c r="E59" s="481">
        <v>1</v>
      </c>
      <c r="F59" s="481">
        <v>13.06</v>
      </c>
      <c r="G59" s="481">
        <v>7.0000000000000007E-2</v>
      </c>
      <c r="H59" s="481">
        <v>0.02</v>
      </c>
      <c r="J59" s="481"/>
    </row>
    <row r="60" spans="1:11">
      <c r="A60" s="481" t="s">
        <v>424</v>
      </c>
      <c r="B60" s="482">
        <f t="shared" si="0"/>
        <v>139.4</v>
      </c>
      <c r="C60" s="481">
        <v>36.880000000000003</v>
      </c>
      <c r="D60" s="481">
        <v>74.3</v>
      </c>
      <c r="E60" s="481">
        <v>0</v>
      </c>
      <c r="F60" s="481">
        <v>17.010000000000002</v>
      </c>
      <c r="G60" s="481">
        <v>0.02</v>
      </c>
      <c r="H60" s="481">
        <v>0.54</v>
      </c>
      <c r="I60" s="481">
        <v>10.65</v>
      </c>
      <c r="K60" s="481">
        <v>33.880000000000003</v>
      </c>
    </row>
    <row r="61" spans="1:11">
      <c r="A61" s="481" t="s">
        <v>282</v>
      </c>
      <c r="B61" s="482">
        <f t="shared" si="0"/>
        <v>176.54000000000002</v>
      </c>
      <c r="C61" s="481">
        <v>138.16999999999999</v>
      </c>
      <c r="D61" s="481">
        <v>2.46</v>
      </c>
      <c r="E61" s="481">
        <v>8.08</v>
      </c>
      <c r="F61" s="481">
        <v>23.46</v>
      </c>
      <c r="G61" s="481">
        <v>0.83</v>
      </c>
      <c r="H61" s="481">
        <v>3.53</v>
      </c>
      <c r="J61" s="481">
        <v>0.01</v>
      </c>
    </row>
    <row r="62" spans="1:11">
      <c r="A62" s="481" t="s">
        <v>252</v>
      </c>
      <c r="B62" s="482">
        <f t="shared" si="0"/>
        <v>114.90000000000002</v>
      </c>
      <c r="C62" s="481">
        <v>86.28</v>
      </c>
      <c r="D62" s="481">
        <v>4.7</v>
      </c>
      <c r="E62" s="481">
        <v>0.28999999999999998</v>
      </c>
      <c r="F62" s="481">
        <v>11.17</v>
      </c>
      <c r="G62" s="481">
        <v>1.2</v>
      </c>
      <c r="H62" s="481">
        <v>0.28000000000000003</v>
      </c>
      <c r="J62" s="481">
        <v>10.98</v>
      </c>
      <c r="K62" s="481">
        <v>0.12</v>
      </c>
    </row>
    <row r="63" spans="1:11">
      <c r="A63" s="481" t="s">
        <v>190</v>
      </c>
      <c r="B63" s="482">
        <f t="shared" si="0"/>
        <v>87.66</v>
      </c>
      <c r="C63" s="481">
        <v>20.27</v>
      </c>
      <c r="D63" s="481">
        <v>37.700000000000003</v>
      </c>
      <c r="E63" s="481">
        <v>0</v>
      </c>
      <c r="F63" s="481">
        <v>22.29</v>
      </c>
      <c r="G63" s="481">
        <v>0.08</v>
      </c>
      <c r="H63" s="481">
        <v>0.17</v>
      </c>
      <c r="I63" s="481">
        <v>7.15</v>
      </c>
      <c r="K63" s="481">
        <v>4.6399999999999997</v>
      </c>
    </row>
    <row r="64" spans="1:11">
      <c r="A64" s="481" t="s">
        <v>253</v>
      </c>
      <c r="B64" s="482">
        <f t="shared" si="0"/>
        <v>135.85999999999999</v>
      </c>
      <c r="C64" s="481">
        <v>126.74</v>
      </c>
      <c r="D64" s="481">
        <v>4.79</v>
      </c>
      <c r="E64" s="481">
        <v>0.16</v>
      </c>
      <c r="F64" s="481">
        <v>1.67</v>
      </c>
      <c r="G64" s="481">
        <v>0.47</v>
      </c>
      <c r="H64" s="481">
        <v>1.75</v>
      </c>
      <c r="J64" s="481">
        <v>0.28000000000000003</v>
      </c>
    </row>
    <row r="65" spans="1:11">
      <c r="A65" s="481" t="s">
        <v>425</v>
      </c>
      <c r="B65" s="482">
        <f t="shared" si="0"/>
        <v>67.240000000000009</v>
      </c>
      <c r="C65" s="481">
        <v>50.2</v>
      </c>
      <c r="D65" s="481">
        <v>10.78</v>
      </c>
      <c r="E65" s="481">
        <v>2.6</v>
      </c>
      <c r="F65" s="481">
        <v>2.95</v>
      </c>
      <c r="G65" s="481">
        <v>0.68</v>
      </c>
      <c r="H65" s="481">
        <v>0</v>
      </c>
      <c r="J65" s="481">
        <v>0.03</v>
      </c>
    </row>
    <row r="66" spans="1:11">
      <c r="A66" s="481" t="s">
        <v>316</v>
      </c>
      <c r="B66" s="482">
        <f t="shared" si="0"/>
        <v>139.85999999999999</v>
      </c>
      <c r="C66" s="481">
        <v>38.33</v>
      </c>
      <c r="D66" s="481">
        <v>8.66</v>
      </c>
      <c r="E66" s="481">
        <v>0</v>
      </c>
      <c r="F66" s="481">
        <v>90.63</v>
      </c>
      <c r="G66" s="481">
        <v>1.54</v>
      </c>
      <c r="H66" s="481">
        <v>0</v>
      </c>
      <c r="I66" s="481">
        <v>0.7</v>
      </c>
      <c r="J66" s="481"/>
    </row>
    <row r="67" spans="1:11">
      <c r="A67" s="481" t="s">
        <v>191</v>
      </c>
      <c r="B67" s="482">
        <f t="shared" si="0"/>
        <v>207.60000000000002</v>
      </c>
      <c r="C67" s="481">
        <v>17.68</v>
      </c>
      <c r="D67" s="481">
        <v>168.84</v>
      </c>
      <c r="E67" s="481">
        <v>0</v>
      </c>
      <c r="F67" s="481">
        <v>10.58</v>
      </c>
      <c r="G67" s="481">
        <v>0</v>
      </c>
      <c r="H67" s="481">
        <v>9.91</v>
      </c>
      <c r="I67" s="481">
        <v>0.59</v>
      </c>
      <c r="J67" s="481"/>
      <c r="K67" s="481">
        <v>0.72</v>
      </c>
    </row>
    <row r="68" spans="1:11">
      <c r="A68" s="481" t="s">
        <v>192</v>
      </c>
      <c r="B68" s="482">
        <f t="shared" si="0"/>
        <v>159.09</v>
      </c>
      <c r="C68" s="481">
        <v>9.5399999999999991</v>
      </c>
      <c r="D68" s="481">
        <v>134.71</v>
      </c>
      <c r="E68" s="481">
        <v>0.88</v>
      </c>
      <c r="F68" s="481">
        <v>3.31</v>
      </c>
      <c r="G68" s="481">
        <v>0</v>
      </c>
      <c r="H68" s="481">
        <v>2.78</v>
      </c>
      <c r="I68" s="481">
        <v>7.87</v>
      </c>
      <c r="J68" s="481"/>
      <c r="K68" s="481">
        <v>5.8</v>
      </c>
    </row>
    <row r="69" spans="1:11">
      <c r="A69" s="481" t="s">
        <v>317</v>
      </c>
      <c r="B69" s="482">
        <f t="shared" si="0"/>
        <v>176.14999999999995</v>
      </c>
      <c r="C69" s="481">
        <v>58.91</v>
      </c>
      <c r="D69" s="481">
        <v>114.74</v>
      </c>
      <c r="E69" s="481">
        <v>0.04</v>
      </c>
      <c r="F69" s="481">
        <v>2.29</v>
      </c>
      <c r="G69" s="481">
        <v>0.03</v>
      </c>
      <c r="H69" s="481">
        <v>0.14000000000000001</v>
      </c>
      <c r="J69" s="481"/>
      <c r="K69" s="481"/>
    </row>
    <row r="70" spans="1:11">
      <c r="A70" s="481" t="s">
        <v>426</v>
      </c>
      <c r="B70" s="482">
        <f t="shared" si="0"/>
        <v>115.12</v>
      </c>
      <c r="C70" s="481">
        <v>24.97</v>
      </c>
      <c r="D70" s="481">
        <v>64.72</v>
      </c>
      <c r="E70" s="481">
        <v>0</v>
      </c>
      <c r="F70" s="481">
        <v>22.92</v>
      </c>
      <c r="G70" s="481">
        <v>0.02</v>
      </c>
      <c r="H70" s="481">
        <v>0.01</v>
      </c>
      <c r="I70" s="481">
        <v>2.48</v>
      </c>
    </row>
    <row r="71" spans="1:11">
      <c r="A71" s="481" t="s">
        <v>318</v>
      </c>
      <c r="B71" s="482">
        <f t="shared" si="0"/>
        <v>133.22</v>
      </c>
      <c r="C71" s="481">
        <v>30.08</v>
      </c>
      <c r="D71" s="481">
        <v>22.78</v>
      </c>
      <c r="E71" s="481">
        <v>0</v>
      </c>
      <c r="F71" s="481">
        <v>78.510000000000005</v>
      </c>
      <c r="G71" s="481">
        <v>0.37</v>
      </c>
      <c r="H71" s="481">
        <v>0.39</v>
      </c>
      <c r="I71" s="481">
        <v>1.0900000000000001</v>
      </c>
    </row>
    <row r="72" spans="1:11">
      <c r="A72" s="481" t="s">
        <v>254</v>
      </c>
      <c r="B72" s="482">
        <f t="shared" si="0"/>
        <v>118.75</v>
      </c>
      <c r="C72" s="481">
        <v>109.53</v>
      </c>
      <c r="D72" s="481">
        <v>6.59</v>
      </c>
      <c r="E72" s="481">
        <v>0.14000000000000001</v>
      </c>
      <c r="F72" s="481">
        <v>0</v>
      </c>
      <c r="G72" s="481">
        <v>0.7</v>
      </c>
      <c r="H72" s="481">
        <v>0.82</v>
      </c>
      <c r="J72" s="481">
        <v>0.97</v>
      </c>
    </row>
    <row r="73" spans="1:11">
      <c r="A73" s="481" t="s">
        <v>255</v>
      </c>
      <c r="B73" s="482">
        <f t="shared" si="0"/>
        <v>84.649999999999991</v>
      </c>
      <c r="C73" s="481">
        <v>76.42</v>
      </c>
      <c r="D73" s="481">
        <v>4.24</v>
      </c>
      <c r="G73" s="481">
        <v>3.16</v>
      </c>
      <c r="H73" s="481">
        <v>0</v>
      </c>
      <c r="J73" s="481">
        <v>0.83</v>
      </c>
    </row>
    <row r="74" spans="1:11">
      <c r="A74" s="481" t="s">
        <v>237</v>
      </c>
      <c r="B74" s="482">
        <f t="shared" si="0"/>
        <v>171.14000000000004</v>
      </c>
      <c r="C74" s="481">
        <v>61.74</v>
      </c>
      <c r="D74" s="481">
        <v>97.38</v>
      </c>
      <c r="E74" s="481">
        <v>0.99</v>
      </c>
      <c r="F74" s="481">
        <v>7.87</v>
      </c>
      <c r="G74" s="481">
        <v>0.05</v>
      </c>
      <c r="H74" s="481">
        <v>0</v>
      </c>
      <c r="I74" s="481">
        <v>3.11</v>
      </c>
      <c r="K74" s="481">
        <v>7.66</v>
      </c>
    </row>
    <row r="75" spans="1:11">
      <c r="A75" s="481" t="s">
        <v>296</v>
      </c>
      <c r="B75" s="482">
        <f t="shared" si="0"/>
        <v>259.45</v>
      </c>
      <c r="C75" s="481">
        <v>36.76</v>
      </c>
      <c r="D75" s="481">
        <v>195.29</v>
      </c>
      <c r="E75" s="481">
        <v>0</v>
      </c>
      <c r="F75" s="481">
        <v>27.12</v>
      </c>
      <c r="G75" s="481">
        <v>0.06</v>
      </c>
      <c r="H75" s="481">
        <v>0.22</v>
      </c>
      <c r="K75" s="481">
        <v>0.06</v>
      </c>
    </row>
    <row r="76" spans="1:11">
      <c r="A76" s="481" t="s">
        <v>427</v>
      </c>
      <c r="B76" s="482">
        <f t="shared" si="0"/>
        <v>196.57999999999998</v>
      </c>
      <c r="C76" s="481">
        <v>149.72999999999999</v>
      </c>
      <c r="D76" s="481">
        <v>42.39</v>
      </c>
      <c r="E76" s="481">
        <v>0.55000000000000004</v>
      </c>
      <c r="F76" s="481">
        <v>3.89</v>
      </c>
      <c r="G76" s="481">
        <v>0.01</v>
      </c>
      <c r="H76" s="481">
        <v>0</v>
      </c>
      <c r="J76" s="481">
        <v>0.01</v>
      </c>
      <c r="K76" s="481"/>
    </row>
    <row r="77" spans="1:11">
      <c r="A77" s="481" t="s">
        <v>226</v>
      </c>
      <c r="B77" s="482">
        <f t="shared" si="0"/>
        <v>187.26000000000002</v>
      </c>
      <c r="C77" s="481">
        <v>134.44999999999999</v>
      </c>
      <c r="D77" s="481">
        <v>50.36</v>
      </c>
      <c r="E77" s="481">
        <v>1.52</v>
      </c>
      <c r="F77" s="481">
        <v>0.87</v>
      </c>
      <c r="G77" s="481">
        <v>0.06</v>
      </c>
      <c r="H77" s="481">
        <v>0</v>
      </c>
    </row>
    <row r="78" spans="1:11">
      <c r="A78" s="481" t="s">
        <v>256</v>
      </c>
      <c r="B78" s="482">
        <f t="shared" si="0"/>
        <v>125.47999999999999</v>
      </c>
      <c r="C78" s="481">
        <v>105.63</v>
      </c>
      <c r="D78" s="481">
        <v>4.21</v>
      </c>
      <c r="E78" s="481">
        <v>1.59</v>
      </c>
      <c r="F78" s="481">
        <v>10.9</v>
      </c>
      <c r="G78" s="481">
        <v>2.4900000000000002</v>
      </c>
      <c r="H78" s="481">
        <v>0.46</v>
      </c>
      <c r="J78" s="481">
        <v>0.2</v>
      </c>
    </row>
    <row r="79" spans="1:11">
      <c r="A79" s="481" t="s">
        <v>227</v>
      </c>
      <c r="B79" s="482">
        <f t="shared" si="0"/>
        <v>144.85999999999999</v>
      </c>
      <c r="C79" s="481">
        <v>112.58</v>
      </c>
      <c r="D79" s="481">
        <v>16.809999999999999</v>
      </c>
      <c r="E79" s="481">
        <v>0.38</v>
      </c>
      <c r="F79" s="481">
        <v>14.03</v>
      </c>
      <c r="G79" s="481">
        <v>0.87</v>
      </c>
      <c r="H79" s="481">
        <v>0.15</v>
      </c>
      <c r="J79" s="481">
        <v>0.04</v>
      </c>
    </row>
    <row r="80" spans="1:11">
      <c r="A80" s="481" t="s">
        <v>257</v>
      </c>
      <c r="B80" s="482">
        <f t="shared" si="0"/>
        <v>160.95999999999998</v>
      </c>
      <c r="C80" s="481">
        <v>145.56</v>
      </c>
      <c r="D80" s="481">
        <v>8.39</v>
      </c>
      <c r="E80" s="481">
        <v>0.31</v>
      </c>
      <c r="F80" s="481">
        <v>4.46</v>
      </c>
      <c r="G80" s="481">
        <v>0.22</v>
      </c>
      <c r="H80" s="481">
        <v>1.95</v>
      </c>
      <c r="J80" s="481">
        <v>7.0000000000000007E-2</v>
      </c>
    </row>
    <row r="81" spans="1:11">
      <c r="A81" s="481" t="s">
        <v>428</v>
      </c>
      <c r="B81" s="482">
        <f t="shared" si="0"/>
        <v>120.87</v>
      </c>
      <c r="C81" s="481">
        <v>68.84</v>
      </c>
      <c r="D81" s="481">
        <v>36.99</v>
      </c>
      <c r="E81" s="481">
        <v>0.02</v>
      </c>
      <c r="F81" s="481">
        <v>11.13</v>
      </c>
      <c r="G81" s="481">
        <v>3.39</v>
      </c>
      <c r="H81" s="481">
        <v>0.5</v>
      </c>
    </row>
    <row r="82" spans="1:11">
      <c r="A82" s="481" t="s">
        <v>297</v>
      </c>
      <c r="B82" s="482">
        <f t="shared" si="0"/>
        <v>139.65999999999997</v>
      </c>
      <c r="C82" s="481">
        <v>43.6</v>
      </c>
      <c r="D82" s="481">
        <v>81.08</v>
      </c>
      <c r="E82" s="481">
        <v>0.69</v>
      </c>
      <c r="F82" s="481">
        <v>13.25</v>
      </c>
      <c r="G82" s="481">
        <v>0.14000000000000001</v>
      </c>
      <c r="H82" s="481">
        <v>0.89</v>
      </c>
      <c r="J82" s="481">
        <v>0.01</v>
      </c>
      <c r="K82" s="481">
        <v>0.06</v>
      </c>
    </row>
    <row r="83" spans="1:11">
      <c r="A83" s="481" t="s">
        <v>228</v>
      </c>
      <c r="B83" s="482">
        <f t="shared" si="0"/>
        <v>140.78000000000003</v>
      </c>
      <c r="C83" s="481">
        <v>120.07</v>
      </c>
      <c r="D83" s="481">
        <v>18.739999999999998</v>
      </c>
      <c r="E83" s="481">
        <v>0.3</v>
      </c>
      <c r="F83" s="481">
        <v>1.6</v>
      </c>
      <c r="G83" s="481">
        <v>0.05</v>
      </c>
      <c r="H83" s="481">
        <v>0.02</v>
      </c>
    </row>
    <row r="84" spans="1:11">
      <c r="A84" s="481" t="s">
        <v>283</v>
      </c>
      <c r="B84" s="482">
        <f t="shared" si="0"/>
        <v>105.97999999999999</v>
      </c>
      <c r="C84" s="481">
        <v>82.38</v>
      </c>
      <c r="D84" s="481">
        <v>10.32</v>
      </c>
      <c r="E84" s="481">
        <v>6.98</v>
      </c>
      <c r="F84" s="481">
        <v>1.19</v>
      </c>
      <c r="G84" s="481">
        <v>2.93</v>
      </c>
      <c r="H84" s="481">
        <v>1.52</v>
      </c>
      <c r="J84" s="481">
        <v>0.66</v>
      </c>
      <c r="K84" s="481">
        <v>0.36</v>
      </c>
    </row>
    <row r="85" spans="1:11">
      <c r="A85" s="481" t="s">
        <v>193</v>
      </c>
      <c r="B85" s="482">
        <f t="shared" si="0"/>
        <v>139.72</v>
      </c>
      <c r="C85" s="481">
        <v>40.130000000000003</v>
      </c>
      <c r="D85" s="481">
        <v>21.91</v>
      </c>
      <c r="E85" s="481">
        <v>0.05</v>
      </c>
      <c r="F85" s="481">
        <v>75.38</v>
      </c>
      <c r="G85" s="481">
        <v>0.09</v>
      </c>
      <c r="H85" s="481">
        <v>0</v>
      </c>
      <c r="I85" s="481">
        <v>2.16</v>
      </c>
      <c r="K85" s="481">
        <v>1.29</v>
      </c>
    </row>
    <row r="86" spans="1:11">
      <c r="A86" s="481" t="s">
        <v>429</v>
      </c>
      <c r="B86" s="482">
        <f t="shared" si="0"/>
        <v>105.67999999999999</v>
      </c>
      <c r="C86" s="481">
        <v>37.44</v>
      </c>
      <c r="D86" s="481">
        <v>68.16</v>
      </c>
      <c r="E86" s="481">
        <v>0</v>
      </c>
      <c r="F86" s="481">
        <v>0.03</v>
      </c>
      <c r="G86" s="481">
        <v>0.02</v>
      </c>
      <c r="H86" s="481">
        <v>0.03</v>
      </c>
      <c r="K86" s="481"/>
    </row>
    <row r="87" spans="1:11">
      <c r="A87" s="481" t="s">
        <v>229</v>
      </c>
      <c r="B87" s="482">
        <f t="shared" si="0"/>
        <v>157.72</v>
      </c>
      <c r="C87" s="481">
        <v>100.46</v>
      </c>
      <c r="D87" s="481">
        <v>53.41</v>
      </c>
      <c r="E87" s="481">
        <v>0.01</v>
      </c>
      <c r="F87" s="481">
        <v>3.53</v>
      </c>
      <c r="H87" s="481">
        <v>0.31</v>
      </c>
      <c r="K87" s="481"/>
    </row>
    <row r="88" spans="1:11">
      <c r="A88" s="481" t="s">
        <v>430</v>
      </c>
      <c r="B88" s="482">
        <f t="shared" si="0"/>
        <v>165.82999999999998</v>
      </c>
      <c r="C88" s="481">
        <v>130.21</v>
      </c>
      <c r="D88" s="481">
        <v>6.76</v>
      </c>
      <c r="E88" s="481">
        <v>7.0000000000000007E-2</v>
      </c>
      <c r="F88" s="481">
        <v>27.98</v>
      </c>
      <c r="G88" s="481">
        <v>0.09</v>
      </c>
      <c r="H88" s="481">
        <v>0.72</v>
      </c>
      <c r="J88" s="481">
        <v>0</v>
      </c>
    </row>
    <row r="89" spans="1:11">
      <c r="A89" s="481" t="s">
        <v>431</v>
      </c>
      <c r="B89" s="482">
        <f t="shared" si="0"/>
        <v>263.94</v>
      </c>
      <c r="C89" s="481">
        <v>3.42</v>
      </c>
      <c r="D89" s="481">
        <v>243.7</v>
      </c>
      <c r="E89" s="481">
        <v>0.93</v>
      </c>
      <c r="F89" s="481">
        <v>15.89</v>
      </c>
      <c r="G89" s="481">
        <v>0</v>
      </c>
      <c r="H89" s="481">
        <v>0</v>
      </c>
    </row>
    <row r="90" spans="1:11">
      <c r="A90" s="481" t="s">
        <v>258</v>
      </c>
      <c r="B90" s="482">
        <f t="shared" si="0"/>
        <v>117.30000000000001</v>
      </c>
      <c r="C90" s="481">
        <v>62.37</v>
      </c>
      <c r="D90" s="481">
        <v>2.86</v>
      </c>
      <c r="E90" s="481">
        <v>19.29</v>
      </c>
      <c r="F90" s="481">
        <v>0.65</v>
      </c>
      <c r="G90" s="481">
        <v>1.92</v>
      </c>
      <c r="H90" s="481">
        <v>5.53</v>
      </c>
      <c r="J90" s="481">
        <v>24.68</v>
      </c>
    </row>
    <row r="91" spans="1:11">
      <c r="A91" s="481" t="s">
        <v>230</v>
      </c>
      <c r="B91" s="482">
        <f t="shared" si="0"/>
        <v>141.9</v>
      </c>
      <c r="C91" s="481">
        <v>129.77000000000001</v>
      </c>
      <c r="D91" s="481">
        <v>11.31</v>
      </c>
      <c r="E91" s="481">
        <v>0.28999999999999998</v>
      </c>
      <c r="G91" s="481">
        <v>0.21</v>
      </c>
      <c r="H91" s="481">
        <v>0.32</v>
      </c>
    </row>
    <row r="92" spans="1:11">
      <c r="A92" s="481" t="s">
        <v>194</v>
      </c>
      <c r="B92" s="482">
        <f t="shared" si="0"/>
        <v>172.48</v>
      </c>
      <c r="C92" s="481">
        <v>26.1</v>
      </c>
      <c r="D92" s="481">
        <v>4.93</v>
      </c>
      <c r="E92" s="481">
        <v>0.17</v>
      </c>
      <c r="F92" s="481">
        <v>133.44</v>
      </c>
      <c r="G92" s="481">
        <v>0.21</v>
      </c>
      <c r="H92" s="481">
        <v>0.7</v>
      </c>
      <c r="I92" s="481">
        <v>6.93</v>
      </c>
    </row>
    <row r="93" spans="1:11">
      <c r="A93" s="481" t="s">
        <v>195</v>
      </c>
      <c r="B93" s="482">
        <f t="shared" si="0"/>
        <v>126.97000000000001</v>
      </c>
      <c r="C93" s="481">
        <v>15.15</v>
      </c>
      <c r="D93" s="481">
        <v>111.2</v>
      </c>
      <c r="E93" s="481">
        <v>0.27</v>
      </c>
      <c r="F93" s="481">
        <v>0.2</v>
      </c>
      <c r="G93" s="481">
        <v>0.15</v>
      </c>
      <c r="H93" s="481">
        <v>0</v>
      </c>
    </row>
    <row r="94" spans="1:11">
      <c r="A94" s="481" t="s">
        <v>259</v>
      </c>
      <c r="B94" s="482">
        <f t="shared" si="0"/>
        <v>145.56000000000003</v>
      </c>
      <c r="C94" s="481">
        <v>119.98</v>
      </c>
      <c r="D94" s="481">
        <v>3.09</v>
      </c>
      <c r="E94" s="481">
        <v>14.37</v>
      </c>
      <c r="F94" s="481">
        <v>0.83</v>
      </c>
      <c r="G94" s="481">
        <v>0.06</v>
      </c>
      <c r="H94" s="481">
        <v>1.08</v>
      </c>
      <c r="J94" s="481">
        <v>6.15</v>
      </c>
    </row>
    <row r="95" spans="1:11">
      <c r="A95" s="481" t="s">
        <v>260</v>
      </c>
      <c r="B95" s="482">
        <f t="shared" si="0"/>
        <v>118.05000000000001</v>
      </c>
      <c r="C95" s="481">
        <v>105.06</v>
      </c>
      <c r="D95" s="481">
        <v>4.53</v>
      </c>
      <c r="E95" s="481">
        <v>1.73</v>
      </c>
      <c r="F95" s="481">
        <v>2.2799999999999998</v>
      </c>
      <c r="G95" s="481">
        <v>1.62</v>
      </c>
      <c r="H95" s="481">
        <v>1.52</v>
      </c>
      <c r="J95" s="481">
        <v>1.31</v>
      </c>
    </row>
    <row r="96" spans="1:11">
      <c r="A96" s="481" t="s">
        <v>196</v>
      </c>
      <c r="B96" s="482">
        <f t="shared" si="0"/>
        <v>178.75</v>
      </c>
      <c r="C96" s="481">
        <v>13.85</v>
      </c>
      <c r="D96" s="481">
        <v>156.56</v>
      </c>
      <c r="E96" s="481">
        <v>0</v>
      </c>
      <c r="F96" s="481">
        <v>8.18</v>
      </c>
      <c r="G96" s="481">
        <v>0</v>
      </c>
      <c r="H96" s="481">
        <v>0</v>
      </c>
      <c r="I96" s="481">
        <v>0.16</v>
      </c>
      <c r="J96" s="481">
        <v>0</v>
      </c>
    </row>
    <row r="97" spans="1:11">
      <c r="A97" s="481" t="s">
        <v>197</v>
      </c>
      <c r="B97" s="482">
        <f t="shared" si="0"/>
        <v>138.99999999999997</v>
      </c>
      <c r="C97" s="481">
        <v>7.88</v>
      </c>
      <c r="D97" s="481">
        <v>6.03</v>
      </c>
      <c r="E97" s="481">
        <v>0</v>
      </c>
      <c r="F97" s="481">
        <v>122.85</v>
      </c>
      <c r="G97" s="481">
        <v>0.01</v>
      </c>
      <c r="H97" s="481">
        <v>0</v>
      </c>
      <c r="I97" s="481">
        <v>2.23</v>
      </c>
      <c r="J97" s="481">
        <v>0</v>
      </c>
      <c r="K97" s="481">
        <v>1.53</v>
      </c>
    </row>
    <row r="98" spans="1:11">
      <c r="A98" s="481" t="s">
        <v>298</v>
      </c>
      <c r="B98" s="482">
        <f t="shared" si="0"/>
        <v>175.12</v>
      </c>
      <c r="C98" s="481">
        <v>47.44</v>
      </c>
      <c r="D98" s="481">
        <v>109.62</v>
      </c>
      <c r="E98" s="481">
        <v>0</v>
      </c>
      <c r="F98" s="481">
        <v>15.59</v>
      </c>
      <c r="G98" s="481">
        <v>1.45</v>
      </c>
      <c r="H98" s="481">
        <v>1.02</v>
      </c>
    </row>
    <row r="99" spans="1:11">
      <c r="A99" s="481" t="s">
        <v>432</v>
      </c>
      <c r="B99" s="482">
        <f t="shared" si="0"/>
        <v>114.49000000000001</v>
      </c>
      <c r="C99" s="481">
        <v>61.34</v>
      </c>
      <c r="D99" s="481">
        <v>51.58</v>
      </c>
      <c r="E99" s="481">
        <v>0.01</v>
      </c>
      <c r="F99" s="481">
        <v>0.92</v>
      </c>
      <c r="G99" s="481">
        <v>0.22</v>
      </c>
      <c r="H99" s="481">
        <v>0.42</v>
      </c>
      <c r="K99" s="481">
        <v>0.13</v>
      </c>
    </row>
    <row r="100" spans="1:11">
      <c r="A100" s="481" t="s">
        <v>198</v>
      </c>
      <c r="B100" s="482">
        <f t="shared" si="0"/>
        <v>173.1</v>
      </c>
      <c r="C100" s="481">
        <v>16.559999999999999</v>
      </c>
      <c r="D100" s="481">
        <v>63.52</v>
      </c>
      <c r="E100" s="481">
        <v>0.05</v>
      </c>
      <c r="F100" s="481">
        <v>42.46</v>
      </c>
      <c r="G100" s="481">
        <v>0</v>
      </c>
      <c r="H100" s="481">
        <v>1.22</v>
      </c>
      <c r="I100" s="481">
        <v>49.29</v>
      </c>
      <c r="J100" s="481">
        <v>0</v>
      </c>
      <c r="K100" s="481">
        <v>61.31</v>
      </c>
    </row>
    <row r="101" spans="1:11">
      <c r="A101" s="481" t="s">
        <v>261</v>
      </c>
      <c r="B101" s="482">
        <f t="shared" si="0"/>
        <v>147.69</v>
      </c>
      <c r="C101" s="481">
        <v>135.35</v>
      </c>
      <c r="D101" s="481">
        <v>4.75</v>
      </c>
      <c r="E101" s="481">
        <v>0</v>
      </c>
      <c r="F101" s="481">
        <v>5.05</v>
      </c>
      <c r="G101" s="481">
        <v>1.87</v>
      </c>
      <c r="H101" s="481">
        <v>0.67</v>
      </c>
    </row>
    <row r="102" spans="1:11">
      <c r="A102" s="481" t="s">
        <v>199</v>
      </c>
      <c r="B102" s="482">
        <f t="shared" si="0"/>
        <v>200.83</v>
      </c>
      <c r="C102" s="481">
        <v>117.65</v>
      </c>
      <c r="D102" s="481">
        <v>64.349999999999994</v>
      </c>
      <c r="E102" s="481">
        <v>0.5</v>
      </c>
      <c r="F102" s="481">
        <v>3.51</v>
      </c>
      <c r="G102" s="481">
        <v>0.02</v>
      </c>
      <c r="H102" s="481">
        <v>0.55000000000000004</v>
      </c>
      <c r="I102" s="481">
        <v>14.25</v>
      </c>
      <c r="J102" s="481"/>
      <c r="K102" s="481">
        <v>0.52</v>
      </c>
    </row>
    <row r="103" spans="1:11">
      <c r="A103" s="481" t="s">
        <v>200</v>
      </c>
      <c r="B103" s="482">
        <f t="shared" si="0"/>
        <v>173.7</v>
      </c>
      <c r="C103" s="481">
        <v>115.13</v>
      </c>
      <c r="D103" s="481">
        <v>53.53</v>
      </c>
      <c r="E103" s="481">
        <v>1.05</v>
      </c>
      <c r="F103" s="481">
        <v>3.17</v>
      </c>
      <c r="G103" s="481">
        <v>0.53</v>
      </c>
      <c r="H103" s="481">
        <v>0.28999999999999998</v>
      </c>
      <c r="J103" s="481"/>
    </row>
    <row r="104" spans="1:11">
      <c r="A104" s="481" t="s">
        <v>319</v>
      </c>
      <c r="B104" s="482">
        <f t="shared" si="0"/>
        <v>157.44</v>
      </c>
      <c r="C104" s="481">
        <v>30.73</v>
      </c>
      <c r="D104" s="481">
        <v>8.3800000000000008</v>
      </c>
      <c r="E104" s="481">
        <v>0</v>
      </c>
      <c r="F104" s="481">
        <v>117.38</v>
      </c>
      <c r="G104" s="481">
        <v>0.95</v>
      </c>
      <c r="H104" s="481">
        <v>0</v>
      </c>
    </row>
    <row r="105" spans="1:11">
      <c r="A105" s="481" t="s">
        <v>285</v>
      </c>
      <c r="B105" s="482">
        <f t="shared" si="0"/>
        <v>125.50999999999999</v>
      </c>
      <c r="C105" s="481">
        <v>112.49</v>
      </c>
      <c r="D105" s="481">
        <v>9.1199999999999992</v>
      </c>
      <c r="E105" s="481">
        <v>0.82</v>
      </c>
      <c r="F105" s="481">
        <v>0.02</v>
      </c>
      <c r="G105" s="481">
        <v>0.2</v>
      </c>
      <c r="H105" s="481">
        <v>2.83</v>
      </c>
      <c r="J105" s="481">
        <v>0.03</v>
      </c>
    </row>
    <row r="106" spans="1:11">
      <c r="A106" s="481" t="s">
        <v>262</v>
      </c>
      <c r="B106" s="482">
        <f t="shared" si="0"/>
        <v>130.29</v>
      </c>
      <c r="C106" s="481">
        <v>119.97</v>
      </c>
      <c r="D106" s="481">
        <v>2.0699999999999998</v>
      </c>
      <c r="E106" s="481">
        <v>0.04</v>
      </c>
      <c r="F106" s="481">
        <v>3.46</v>
      </c>
      <c r="G106" s="481">
        <v>0.09</v>
      </c>
      <c r="H106" s="481">
        <v>4</v>
      </c>
      <c r="J106" s="481">
        <v>0.66</v>
      </c>
      <c r="K106" s="481">
        <v>0.03</v>
      </c>
    </row>
    <row r="107" spans="1:11">
      <c r="A107" s="481" t="s">
        <v>220</v>
      </c>
      <c r="B107" s="482">
        <f t="shared" si="0"/>
        <v>263.64000000000004</v>
      </c>
      <c r="C107" s="481">
        <v>180.61</v>
      </c>
      <c r="D107" s="481">
        <v>2.06</v>
      </c>
      <c r="E107" s="481">
        <v>42.8</v>
      </c>
      <c r="F107" s="481">
        <v>37.979999999999997</v>
      </c>
      <c r="G107" s="481">
        <v>0.13</v>
      </c>
      <c r="H107" s="481">
        <v>0</v>
      </c>
      <c r="I107" s="481">
        <v>0.01</v>
      </c>
      <c r="J107" s="481">
        <v>0.05</v>
      </c>
      <c r="K107" s="481">
        <v>0.15</v>
      </c>
    </row>
    <row r="108" spans="1:11">
      <c r="A108" s="481" t="s">
        <v>201</v>
      </c>
      <c r="B108" s="482">
        <f t="shared" si="0"/>
        <v>98.949999999999989</v>
      </c>
      <c r="C108" s="481">
        <v>22.82</v>
      </c>
      <c r="D108" s="481">
        <v>36.57</v>
      </c>
      <c r="E108" s="481">
        <v>0</v>
      </c>
      <c r="F108" s="481">
        <v>36.869999999999997</v>
      </c>
      <c r="G108" s="481">
        <v>0</v>
      </c>
      <c r="H108" s="481">
        <v>0</v>
      </c>
      <c r="I108" s="481">
        <v>2.69</v>
      </c>
      <c r="J108" s="481"/>
      <c r="K108" s="481">
        <v>0.52</v>
      </c>
    </row>
    <row r="109" spans="1:11">
      <c r="A109" s="481" t="s">
        <v>299</v>
      </c>
      <c r="B109" s="482">
        <f t="shared" si="0"/>
        <v>213.13000000000005</v>
      </c>
      <c r="C109" s="481">
        <v>8.9600000000000009</v>
      </c>
      <c r="D109" s="481">
        <v>197.05</v>
      </c>
      <c r="E109" s="481">
        <v>0.12</v>
      </c>
      <c r="F109" s="481">
        <v>4.8</v>
      </c>
      <c r="G109" s="481">
        <v>0</v>
      </c>
      <c r="H109" s="481">
        <v>0.21</v>
      </c>
      <c r="I109" s="481">
        <v>1.99</v>
      </c>
      <c r="K109" s="481">
        <v>0.38</v>
      </c>
    </row>
    <row r="110" spans="1:11">
      <c r="A110" s="481" t="s">
        <v>202</v>
      </c>
      <c r="B110" s="482">
        <f t="shared" si="0"/>
        <v>114.02</v>
      </c>
      <c r="C110" s="481">
        <v>51.46</v>
      </c>
      <c r="D110" s="481">
        <v>9.4</v>
      </c>
      <c r="F110" s="481">
        <v>50.18</v>
      </c>
      <c r="G110" s="481">
        <v>0.89</v>
      </c>
      <c r="H110" s="481">
        <v>0.43</v>
      </c>
      <c r="I110" s="481">
        <v>1.45</v>
      </c>
      <c r="J110" s="481">
        <v>0.21</v>
      </c>
      <c r="K110" s="481">
        <v>18.34</v>
      </c>
    </row>
    <row r="111" spans="1:11">
      <c r="A111" s="481" t="s">
        <v>238</v>
      </c>
      <c r="B111" s="482">
        <f t="shared" si="0"/>
        <v>231.15000000000003</v>
      </c>
      <c r="C111" s="481">
        <v>50.43</v>
      </c>
      <c r="D111" s="481">
        <v>135.83000000000001</v>
      </c>
      <c r="E111" s="481">
        <v>0.65</v>
      </c>
      <c r="F111" s="481">
        <v>43.84</v>
      </c>
      <c r="G111" s="481">
        <v>0.03</v>
      </c>
      <c r="H111" s="481">
        <v>0.37</v>
      </c>
      <c r="I111" s="481"/>
      <c r="K111" s="481">
        <v>9.8699999999999992</v>
      </c>
    </row>
    <row r="112" spans="1:11">
      <c r="A112" s="481" t="s">
        <v>263</v>
      </c>
      <c r="B112" s="482">
        <f t="shared" si="0"/>
        <v>92.990000000000009</v>
      </c>
      <c r="C112" s="481">
        <v>68.42</v>
      </c>
      <c r="D112" s="481">
        <v>4.57</v>
      </c>
      <c r="E112" s="481">
        <v>1.78</v>
      </c>
      <c r="F112" s="481">
        <v>3.31</v>
      </c>
      <c r="G112" s="481">
        <v>1.99</v>
      </c>
      <c r="H112" s="481">
        <v>11.77</v>
      </c>
      <c r="J112" s="481">
        <v>1.1499999999999999</v>
      </c>
    </row>
    <row r="113" spans="1:11">
      <c r="A113" s="481" t="s">
        <v>433</v>
      </c>
      <c r="B113" s="482">
        <f t="shared" si="0"/>
        <v>117.03000000000002</v>
      </c>
      <c r="C113" s="481">
        <v>96.38</v>
      </c>
      <c r="D113" s="481">
        <v>20.059999999999999</v>
      </c>
      <c r="E113" s="481">
        <v>0.01</v>
      </c>
      <c r="F113" s="481">
        <v>0.48</v>
      </c>
      <c r="G113" s="481">
        <v>0.04</v>
      </c>
      <c r="H113" s="481">
        <v>0.04</v>
      </c>
      <c r="J113" s="481">
        <v>0.02</v>
      </c>
      <c r="K113" s="481">
        <v>0.15</v>
      </c>
    </row>
    <row r="114" spans="1:11">
      <c r="A114" s="481" t="s">
        <v>300</v>
      </c>
      <c r="B114" s="482">
        <f t="shared" si="0"/>
        <v>112.78000000000002</v>
      </c>
      <c r="C114" s="481">
        <v>90.64</v>
      </c>
      <c r="D114" s="481">
        <v>10.78</v>
      </c>
      <c r="E114" s="481">
        <v>0.78</v>
      </c>
      <c r="F114" s="481">
        <v>5.01</v>
      </c>
      <c r="G114" s="481">
        <v>2.31</v>
      </c>
      <c r="H114" s="481">
        <v>3.26</v>
      </c>
      <c r="J114" s="481"/>
    </row>
    <row r="115" spans="1:11">
      <c r="A115" s="481" t="s">
        <v>320</v>
      </c>
      <c r="B115" s="482">
        <f t="shared" si="0"/>
        <v>165.45999999999998</v>
      </c>
      <c r="C115" s="481">
        <v>31.45</v>
      </c>
      <c r="D115" s="481">
        <v>66.94</v>
      </c>
      <c r="E115" s="481">
        <v>0</v>
      </c>
      <c r="F115" s="481">
        <v>64.2</v>
      </c>
      <c r="G115" s="481">
        <v>1.29</v>
      </c>
      <c r="H115" s="481">
        <v>0.6</v>
      </c>
      <c r="I115" s="481">
        <v>0.98</v>
      </c>
      <c r="J115" s="481"/>
    </row>
    <row r="116" spans="1:11">
      <c r="A116" s="481" t="s">
        <v>203</v>
      </c>
      <c r="B116" s="482">
        <f t="shared" si="0"/>
        <v>96.08</v>
      </c>
      <c r="C116" s="481">
        <v>2.94</v>
      </c>
      <c r="D116" s="481">
        <v>28.36</v>
      </c>
      <c r="E116" s="481">
        <v>0</v>
      </c>
      <c r="F116" s="481">
        <v>2.6</v>
      </c>
      <c r="G116" s="481">
        <v>0</v>
      </c>
      <c r="H116" s="481">
        <v>0.28999999999999998</v>
      </c>
      <c r="I116" s="481">
        <v>61.89</v>
      </c>
      <c r="K116" s="481">
        <v>124</v>
      </c>
    </row>
    <row r="117" spans="1:11">
      <c r="A117" s="481" t="s">
        <v>204</v>
      </c>
      <c r="B117" s="482">
        <f t="shared" si="0"/>
        <v>127.53</v>
      </c>
      <c r="C117" s="481">
        <v>25.56</v>
      </c>
      <c r="D117" s="481">
        <v>39.08</v>
      </c>
      <c r="E117" s="481">
        <v>0</v>
      </c>
      <c r="F117" s="481">
        <v>33.700000000000003</v>
      </c>
      <c r="G117" s="481">
        <v>0.04</v>
      </c>
      <c r="H117" s="481">
        <v>0.35</v>
      </c>
      <c r="I117" s="481">
        <v>28.8</v>
      </c>
      <c r="K117" s="481">
        <v>8.82</v>
      </c>
    </row>
    <row r="118" spans="1:11">
      <c r="A118" s="481" t="s">
        <v>264</v>
      </c>
      <c r="B118" s="482">
        <f t="shared" si="0"/>
        <v>130.02000000000001</v>
      </c>
      <c r="C118" s="481">
        <v>100.02</v>
      </c>
      <c r="D118" s="481">
        <v>3.73</v>
      </c>
      <c r="F118" s="481">
        <v>24.81</v>
      </c>
      <c r="G118" s="481">
        <v>0.89</v>
      </c>
      <c r="H118" s="481">
        <v>0.08</v>
      </c>
      <c r="J118" s="481">
        <v>0.49</v>
      </c>
    </row>
    <row r="119" spans="1:11">
      <c r="A119" s="481" t="s">
        <v>265</v>
      </c>
      <c r="B119" s="482">
        <f t="shared" si="0"/>
        <v>111.58000000000001</v>
      </c>
      <c r="C119" s="481">
        <v>92.81</v>
      </c>
      <c r="D119" s="481">
        <v>4.6900000000000004</v>
      </c>
      <c r="E119" s="481">
        <v>7.42</v>
      </c>
      <c r="F119" s="481">
        <v>0</v>
      </c>
      <c r="G119" s="481">
        <v>4.01</v>
      </c>
      <c r="H119" s="481">
        <v>0.03</v>
      </c>
      <c r="J119" s="481">
        <v>2.62</v>
      </c>
    </row>
    <row r="120" spans="1:11">
      <c r="A120" s="481" t="s">
        <v>231</v>
      </c>
      <c r="B120" s="482">
        <f t="shared" si="0"/>
        <v>131.82999999999998</v>
      </c>
      <c r="C120" s="481">
        <v>70.28</v>
      </c>
      <c r="D120" s="481">
        <v>48.13</v>
      </c>
      <c r="E120" s="481">
        <v>0</v>
      </c>
      <c r="F120" s="481">
        <v>12.73</v>
      </c>
      <c r="G120" s="481">
        <v>0.36</v>
      </c>
      <c r="H120" s="481">
        <v>0.13</v>
      </c>
      <c r="J120" s="481">
        <v>0.2</v>
      </c>
    </row>
    <row r="121" spans="1:11">
      <c r="A121" s="481" t="s">
        <v>239</v>
      </c>
      <c r="B121" s="482">
        <f t="shared" si="0"/>
        <v>149.20999999999995</v>
      </c>
      <c r="C121" s="481">
        <v>109.36</v>
      </c>
      <c r="D121" s="481">
        <v>20.21</v>
      </c>
      <c r="E121" s="481">
        <v>0.26</v>
      </c>
      <c r="F121" s="481">
        <v>18.45</v>
      </c>
      <c r="G121" s="481">
        <v>0.01</v>
      </c>
      <c r="H121" s="481">
        <v>0.17</v>
      </c>
      <c r="I121" s="481">
        <v>0.75</v>
      </c>
      <c r="J121" s="481"/>
      <c r="K121" s="481">
        <v>0.76</v>
      </c>
    </row>
    <row r="122" spans="1:11">
      <c r="A122" s="481" t="s">
        <v>321</v>
      </c>
      <c r="B122" s="482">
        <f t="shared" si="0"/>
        <v>187.22</v>
      </c>
      <c r="C122" s="481">
        <v>31.81</v>
      </c>
      <c r="D122" s="481">
        <v>122.44</v>
      </c>
      <c r="E122" s="481">
        <v>0.01</v>
      </c>
      <c r="F122" s="481">
        <v>31.77</v>
      </c>
      <c r="G122" s="481">
        <v>0.92</v>
      </c>
      <c r="H122" s="481">
        <v>0.27</v>
      </c>
      <c r="J122" s="481"/>
      <c r="K122" s="481"/>
    </row>
    <row r="123" spans="1:11">
      <c r="A123" s="481" t="s">
        <v>302</v>
      </c>
      <c r="B123" s="482">
        <f t="shared" si="0"/>
        <v>69.449999999999989</v>
      </c>
      <c r="C123" s="481">
        <v>36.479999999999997</v>
      </c>
      <c r="D123" s="481">
        <v>28.57</v>
      </c>
      <c r="E123" s="481">
        <v>0.01</v>
      </c>
      <c r="F123" s="481">
        <v>1.91</v>
      </c>
      <c r="G123" s="481">
        <v>0</v>
      </c>
      <c r="H123" s="481">
        <v>7.0000000000000007E-2</v>
      </c>
      <c r="I123" s="481">
        <v>2.41</v>
      </c>
      <c r="J123" s="481"/>
    </row>
    <row r="124" spans="1:11">
      <c r="A124" s="481" t="s">
        <v>322</v>
      </c>
      <c r="B124" s="482">
        <f t="shared" si="0"/>
        <v>111.15</v>
      </c>
      <c r="C124" s="481">
        <v>31.45</v>
      </c>
      <c r="D124" s="481">
        <v>8.39</v>
      </c>
      <c r="E124" s="481">
        <v>0.19</v>
      </c>
      <c r="F124" s="481">
        <v>71.02</v>
      </c>
      <c r="G124" s="481">
        <v>0.09</v>
      </c>
      <c r="H124" s="481">
        <v>0.01</v>
      </c>
      <c r="I124" s="481"/>
      <c r="J124" s="481"/>
    </row>
    <row r="125" spans="1:11">
      <c r="A125" s="481" t="s">
        <v>323</v>
      </c>
      <c r="B125" s="482">
        <f t="shared" si="0"/>
        <v>160.51999999999998</v>
      </c>
      <c r="C125" s="481">
        <v>55.36</v>
      </c>
      <c r="D125" s="481">
        <v>77.38</v>
      </c>
      <c r="E125" s="481">
        <v>4.26</v>
      </c>
      <c r="F125" s="481">
        <v>21.79</v>
      </c>
      <c r="G125" s="481">
        <v>0.48</v>
      </c>
      <c r="H125" s="481">
        <v>1.25</v>
      </c>
    </row>
    <row r="126" spans="1:11">
      <c r="A126" s="481" t="s">
        <v>434</v>
      </c>
      <c r="B126" s="482">
        <f t="shared" si="0"/>
        <v>229.95</v>
      </c>
      <c r="C126" s="481">
        <v>31.69</v>
      </c>
      <c r="D126" s="481">
        <v>176.49</v>
      </c>
      <c r="E126" s="481">
        <v>0.14000000000000001</v>
      </c>
      <c r="F126" s="481">
        <v>21.39</v>
      </c>
      <c r="G126" s="481">
        <v>0.21</v>
      </c>
      <c r="H126" s="481">
        <v>0.03</v>
      </c>
    </row>
    <row r="127" spans="1:11">
      <c r="A127" s="481" t="s">
        <v>266</v>
      </c>
      <c r="B127" s="482">
        <f t="shared" si="0"/>
        <v>144.51000000000002</v>
      </c>
      <c r="C127" s="481">
        <v>106.64</v>
      </c>
      <c r="D127" s="481">
        <v>1.77</v>
      </c>
      <c r="E127" s="481">
        <v>6.29</v>
      </c>
      <c r="G127" s="481">
        <v>1.92</v>
      </c>
      <c r="H127" s="481">
        <v>2.5099999999999998</v>
      </c>
      <c r="J127" s="481">
        <v>25.38</v>
      </c>
    </row>
    <row r="128" spans="1:11">
      <c r="A128" s="481" t="s">
        <v>267</v>
      </c>
      <c r="B128" s="482">
        <f t="shared" si="0"/>
        <v>137.77000000000001</v>
      </c>
      <c r="C128" s="481">
        <v>90.67</v>
      </c>
      <c r="D128" s="481">
        <v>18.84</v>
      </c>
      <c r="E128" s="481">
        <v>3.78</v>
      </c>
      <c r="F128" s="481">
        <v>19.16</v>
      </c>
      <c r="G128" s="481">
        <v>1.89</v>
      </c>
      <c r="H128" s="481">
        <v>0.36</v>
      </c>
      <c r="J128" s="481">
        <v>3.07</v>
      </c>
    </row>
    <row r="129" spans="1:11">
      <c r="A129" s="481" t="s">
        <v>435</v>
      </c>
      <c r="B129" s="482">
        <f t="shared" si="0"/>
        <v>187.62</v>
      </c>
      <c r="C129" s="481">
        <v>51.37</v>
      </c>
      <c r="D129" s="481">
        <v>119.47</v>
      </c>
      <c r="E129" s="481">
        <v>0.88</v>
      </c>
      <c r="F129" s="481">
        <v>14.65</v>
      </c>
      <c r="G129" s="481">
        <v>0.02</v>
      </c>
      <c r="H129" s="481">
        <v>0.32</v>
      </c>
      <c r="J129" s="481">
        <v>0.91</v>
      </c>
    </row>
    <row r="130" spans="1:11">
      <c r="A130" s="481" t="s">
        <v>268</v>
      </c>
      <c r="B130" s="482">
        <f t="shared" si="0"/>
        <v>126.72000000000001</v>
      </c>
      <c r="C130" s="481">
        <v>32.35</v>
      </c>
      <c r="D130" s="481">
        <v>3.29</v>
      </c>
      <c r="E130" s="481">
        <v>0.6</v>
      </c>
      <c r="F130" s="481">
        <v>88.34</v>
      </c>
      <c r="G130" s="481">
        <v>0.8</v>
      </c>
      <c r="H130" s="481">
        <v>1.34</v>
      </c>
    </row>
    <row r="131" spans="1:11">
      <c r="A131" s="481" t="s">
        <v>269</v>
      </c>
      <c r="B131" s="482">
        <f t="shared" si="0"/>
        <v>170.79999999999995</v>
      </c>
      <c r="C131" s="481">
        <v>128.47999999999999</v>
      </c>
      <c r="D131" s="481">
        <v>4.88</v>
      </c>
      <c r="E131" s="481">
        <v>1.35</v>
      </c>
      <c r="F131" s="481">
        <v>33.700000000000003</v>
      </c>
      <c r="G131" s="481">
        <v>0.26</v>
      </c>
      <c r="H131" s="481">
        <v>0.97</v>
      </c>
      <c r="J131" s="481">
        <v>1.1599999999999999</v>
      </c>
    </row>
    <row r="132" spans="1:11">
      <c r="A132" s="481" t="s">
        <v>270</v>
      </c>
      <c r="B132" s="482">
        <f t="shared" si="0"/>
        <v>147.72</v>
      </c>
      <c r="C132" s="481">
        <v>130.91999999999999</v>
      </c>
      <c r="D132" s="481">
        <v>7.49</v>
      </c>
      <c r="E132" s="481">
        <v>1.39</v>
      </c>
      <c r="F132" s="481">
        <v>0.49</v>
      </c>
      <c r="G132" s="481">
        <v>1.72</v>
      </c>
      <c r="H132" s="481">
        <v>0.16</v>
      </c>
      <c r="J132" s="481">
        <v>5.55</v>
      </c>
    </row>
    <row r="133" spans="1:11">
      <c r="A133" s="481" t="s">
        <v>205</v>
      </c>
      <c r="B133" s="482">
        <f t="shared" si="0"/>
        <v>46.449999999999996</v>
      </c>
      <c r="C133" s="481">
        <v>12.02</v>
      </c>
      <c r="D133" s="481">
        <v>11.2</v>
      </c>
      <c r="E133" s="481">
        <v>0</v>
      </c>
      <c r="F133" s="481">
        <v>12.04</v>
      </c>
      <c r="G133" s="481">
        <v>0</v>
      </c>
      <c r="H133" s="481">
        <v>0</v>
      </c>
      <c r="I133" s="481">
        <v>11.19</v>
      </c>
      <c r="J133" s="481"/>
    </row>
    <row r="134" spans="1:11">
      <c r="A134" s="481" t="s">
        <v>436</v>
      </c>
      <c r="B134" s="482">
        <f t="shared" si="0"/>
        <v>68.39</v>
      </c>
      <c r="C134" s="481">
        <v>42.5</v>
      </c>
      <c r="D134" s="481">
        <v>24.33</v>
      </c>
      <c r="E134" s="481">
        <v>0</v>
      </c>
      <c r="F134" s="481">
        <v>0.69</v>
      </c>
      <c r="G134" s="481">
        <v>0.5</v>
      </c>
      <c r="H134" s="481">
        <v>0.37</v>
      </c>
      <c r="J134" s="481"/>
    </row>
    <row r="135" spans="1:11">
      <c r="A135" s="481" t="s">
        <v>437</v>
      </c>
      <c r="B135" s="482">
        <f t="shared" si="0"/>
        <v>97.940000000000012</v>
      </c>
      <c r="C135" s="481">
        <v>84.18</v>
      </c>
      <c r="D135" s="481">
        <v>7.87</v>
      </c>
      <c r="E135" s="481">
        <v>0.01</v>
      </c>
      <c r="F135" s="481">
        <v>4.43</v>
      </c>
      <c r="G135" s="481">
        <v>1.39</v>
      </c>
      <c r="H135" s="481">
        <v>0.06</v>
      </c>
      <c r="J135" s="481"/>
    </row>
    <row r="136" spans="1:11">
      <c r="A136" s="481" t="s">
        <v>438</v>
      </c>
      <c r="B136" s="482">
        <f t="shared" si="0"/>
        <v>105.66000000000001</v>
      </c>
      <c r="C136" s="481">
        <v>77.930000000000007</v>
      </c>
      <c r="D136" s="481">
        <v>17.22</v>
      </c>
      <c r="E136" s="481">
        <v>0</v>
      </c>
      <c r="F136" s="481">
        <v>9.81</v>
      </c>
      <c r="G136" s="481">
        <v>0.59</v>
      </c>
      <c r="H136" s="481">
        <v>0.11</v>
      </c>
      <c r="J136" s="481"/>
    </row>
    <row r="137" spans="1:11">
      <c r="A137" s="481" t="s">
        <v>439</v>
      </c>
      <c r="B137" s="482">
        <f t="shared" si="0"/>
        <v>69.240000000000009</v>
      </c>
      <c r="C137" s="481">
        <v>52.96</v>
      </c>
      <c r="D137" s="481">
        <v>14.22</v>
      </c>
      <c r="E137" s="481">
        <v>0</v>
      </c>
      <c r="F137" s="481">
        <v>1.35</v>
      </c>
      <c r="G137" s="481">
        <v>0.34</v>
      </c>
      <c r="H137" s="481">
        <v>0.37</v>
      </c>
      <c r="J137" s="481"/>
    </row>
    <row r="138" spans="1:11">
      <c r="A138" s="481" t="s">
        <v>206</v>
      </c>
      <c r="B138" s="482">
        <f t="shared" si="0"/>
        <v>96.75</v>
      </c>
      <c r="C138" s="481">
        <v>47.96</v>
      </c>
      <c r="D138" s="481">
        <v>35.03</v>
      </c>
      <c r="E138" s="481">
        <v>5.66</v>
      </c>
      <c r="F138" s="481">
        <v>8.07</v>
      </c>
      <c r="G138" s="481">
        <v>0.01</v>
      </c>
      <c r="H138" s="481">
        <v>0.02</v>
      </c>
    </row>
    <row r="139" spans="1:11">
      <c r="A139" s="481" t="s">
        <v>232</v>
      </c>
      <c r="B139" s="482">
        <f t="shared" si="0"/>
        <v>189.55</v>
      </c>
      <c r="C139" s="481">
        <v>100.35</v>
      </c>
      <c r="D139" s="481">
        <v>55.58</v>
      </c>
      <c r="E139" s="481">
        <v>0</v>
      </c>
      <c r="F139" s="481">
        <v>28.15</v>
      </c>
      <c r="G139" s="481">
        <v>0.45</v>
      </c>
      <c r="H139" s="481">
        <v>1.58</v>
      </c>
      <c r="I139" s="481">
        <v>3.44</v>
      </c>
      <c r="K139" s="481">
        <v>0.46</v>
      </c>
    </row>
    <row r="140" spans="1:11">
      <c r="A140" s="481" t="s">
        <v>207</v>
      </c>
      <c r="B140" s="482">
        <f t="shared" si="0"/>
        <v>204.24</v>
      </c>
      <c r="C140" s="481">
        <v>42.59</v>
      </c>
      <c r="D140" s="481">
        <v>119.64</v>
      </c>
      <c r="E140" s="481">
        <v>0</v>
      </c>
      <c r="F140" s="481">
        <v>34.619999999999997</v>
      </c>
      <c r="G140" s="481">
        <v>0</v>
      </c>
      <c r="H140" s="481">
        <v>0.14000000000000001</v>
      </c>
      <c r="I140" s="481">
        <v>7.25</v>
      </c>
      <c r="K140" s="481">
        <v>24.91</v>
      </c>
    </row>
    <row r="141" spans="1:11">
      <c r="A141" s="481" t="s">
        <v>271</v>
      </c>
      <c r="B141" s="482">
        <f t="shared" si="0"/>
        <v>145.67999999999998</v>
      </c>
      <c r="C141" s="481">
        <v>111.04</v>
      </c>
      <c r="D141" s="481">
        <v>0.96</v>
      </c>
      <c r="E141" s="481">
        <v>1.1100000000000001</v>
      </c>
      <c r="F141" s="481">
        <v>28.68</v>
      </c>
      <c r="G141" s="481">
        <v>0.64</v>
      </c>
      <c r="H141" s="481">
        <v>2.2400000000000002</v>
      </c>
      <c r="J141" s="481">
        <v>1.01</v>
      </c>
    </row>
    <row r="142" spans="1:11">
      <c r="A142" s="481" t="s">
        <v>208</v>
      </c>
      <c r="B142" s="482">
        <f t="shared" si="0"/>
        <v>179.01999999999995</v>
      </c>
      <c r="C142" s="481">
        <v>11.82</v>
      </c>
      <c r="D142" s="481">
        <v>161.16</v>
      </c>
      <c r="E142" s="481">
        <v>0.01</v>
      </c>
      <c r="F142" s="481">
        <v>2.23</v>
      </c>
      <c r="G142" s="481">
        <v>0.01</v>
      </c>
      <c r="H142" s="481">
        <v>1.28</v>
      </c>
      <c r="I142" s="481">
        <v>2.5099999999999998</v>
      </c>
      <c r="J142" s="481"/>
      <c r="K142" s="481">
        <v>5.1100000000000003</v>
      </c>
    </row>
    <row r="143" spans="1:11">
      <c r="A143" s="481" t="s">
        <v>272</v>
      </c>
      <c r="B143" s="482">
        <f t="shared" si="0"/>
        <v>101.99</v>
      </c>
      <c r="C143" s="481">
        <v>93.45</v>
      </c>
      <c r="D143" s="481">
        <v>2.38</v>
      </c>
      <c r="E143" s="481">
        <v>1.81</v>
      </c>
      <c r="F143" s="481">
        <v>0</v>
      </c>
      <c r="G143" s="481">
        <v>2.06</v>
      </c>
      <c r="H143" s="481">
        <v>1.1000000000000001</v>
      </c>
      <c r="J143" s="481">
        <v>1.19</v>
      </c>
    </row>
    <row r="144" spans="1:11">
      <c r="A144" s="481" t="s">
        <v>273</v>
      </c>
      <c r="B144" s="482">
        <f t="shared" si="0"/>
        <v>145.57000000000002</v>
      </c>
      <c r="C144" s="481">
        <v>100.28</v>
      </c>
      <c r="D144" s="481">
        <v>3.37</v>
      </c>
      <c r="E144" s="481">
        <v>2.29</v>
      </c>
      <c r="F144" s="481">
        <v>33.26</v>
      </c>
      <c r="G144" s="481">
        <v>0.67</v>
      </c>
      <c r="H144" s="481">
        <v>2.8</v>
      </c>
      <c r="J144" s="481">
        <v>2.9</v>
      </c>
    </row>
    <row r="145" spans="1:11">
      <c r="A145" s="481" t="s">
        <v>440</v>
      </c>
      <c r="B145" s="482">
        <f t="shared" si="0"/>
        <v>120.76</v>
      </c>
      <c r="C145" s="481">
        <v>28.29</v>
      </c>
      <c r="D145" s="481">
        <v>92.14</v>
      </c>
      <c r="E145" s="481">
        <v>0</v>
      </c>
      <c r="F145" s="481">
        <v>0.33</v>
      </c>
      <c r="G145" s="481">
        <v>0</v>
      </c>
      <c r="H145" s="481">
        <v>0</v>
      </c>
    </row>
    <row r="146" spans="1:11">
      <c r="A146" s="481" t="s">
        <v>210</v>
      </c>
      <c r="B146" s="482">
        <f t="shared" si="0"/>
        <v>180.46</v>
      </c>
      <c r="C146" s="481">
        <v>59.19</v>
      </c>
      <c r="D146" s="481">
        <v>23.11</v>
      </c>
      <c r="E146" s="481">
        <v>7.0000000000000007E-2</v>
      </c>
      <c r="F146" s="481">
        <v>95.11</v>
      </c>
      <c r="G146" s="481">
        <v>1.54</v>
      </c>
      <c r="H146" s="481">
        <v>0.74</v>
      </c>
      <c r="I146" s="481">
        <v>0.68</v>
      </c>
      <c r="J146" s="481">
        <v>0.02</v>
      </c>
      <c r="K146" s="481">
        <v>7.0000000000000007E-2</v>
      </c>
    </row>
    <row r="147" spans="1:11">
      <c r="A147" s="481" t="s">
        <v>274</v>
      </c>
      <c r="B147" s="482">
        <f t="shared" si="0"/>
        <v>115.99</v>
      </c>
      <c r="C147" s="481">
        <v>98.92</v>
      </c>
      <c r="D147" s="481">
        <v>12.91</v>
      </c>
      <c r="E147" s="481">
        <v>0.67</v>
      </c>
      <c r="F147" s="481">
        <v>2.09</v>
      </c>
      <c r="G147" s="481">
        <v>0.5</v>
      </c>
      <c r="H147" s="481">
        <v>0.1</v>
      </c>
      <c r="I147" s="481"/>
      <c r="J147" s="481">
        <v>0.8</v>
      </c>
    </row>
    <row r="148" spans="1:11">
      <c r="A148" s="481" t="s">
        <v>441</v>
      </c>
      <c r="B148" s="482">
        <f t="shared" si="0"/>
        <v>214.44</v>
      </c>
      <c r="C148" s="481">
        <v>41.53</v>
      </c>
      <c r="D148" s="481">
        <v>165.91</v>
      </c>
      <c r="E148" s="481">
        <v>0.02</v>
      </c>
      <c r="F148" s="481">
        <v>6.88</v>
      </c>
      <c r="G148" s="481">
        <v>0.09</v>
      </c>
      <c r="H148" s="481">
        <v>0</v>
      </c>
      <c r="I148" s="481">
        <v>0.01</v>
      </c>
      <c r="J148" s="481"/>
      <c r="K148" s="481">
        <v>0.55000000000000004</v>
      </c>
    </row>
    <row r="149" spans="1:11">
      <c r="A149" s="481" t="s">
        <v>221</v>
      </c>
      <c r="B149" s="482">
        <f t="shared" si="0"/>
        <v>137.17000000000002</v>
      </c>
      <c r="C149" s="481">
        <v>61.04</v>
      </c>
      <c r="D149" s="481">
        <v>2.91</v>
      </c>
      <c r="E149" s="481">
        <v>0</v>
      </c>
      <c r="F149" s="481">
        <v>0.26</v>
      </c>
      <c r="G149" s="481">
        <v>0</v>
      </c>
      <c r="H149" s="481">
        <v>0</v>
      </c>
      <c r="I149" s="481">
        <v>72.959999999999994</v>
      </c>
      <c r="J149" s="481"/>
      <c r="K149" s="481">
        <v>20.329999999999998</v>
      </c>
    </row>
    <row r="150" spans="1:11">
      <c r="A150" s="481" t="s">
        <v>324</v>
      </c>
      <c r="B150" s="482">
        <f t="shared" si="0"/>
        <v>165.69000000000003</v>
      </c>
      <c r="C150" s="481">
        <v>59.03</v>
      </c>
      <c r="D150" s="481">
        <v>103.33</v>
      </c>
      <c r="E150" s="481">
        <v>0.49</v>
      </c>
      <c r="F150" s="481">
        <v>2.0299999999999998</v>
      </c>
      <c r="G150" s="481">
        <v>0.4</v>
      </c>
      <c r="H150" s="481">
        <v>0.41</v>
      </c>
      <c r="J150" s="481"/>
      <c r="K150" s="481"/>
    </row>
    <row r="151" spans="1:11">
      <c r="A151" s="481" t="s">
        <v>275</v>
      </c>
      <c r="B151" s="482">
        <f t="shared" si="0"/>
        <v>109.44000000000001</v>
      </c>
      <c r="C151" s="481">
        <v>90.69</v>
      </c>
      <c r="D151" s="481">
        <v>5.95</v>
      </c>
      <c r="E151" s="481">
        <v>1.59</v>
      </c>
      <c r="F151" s="481">
        <v>1.68</v>
      </c>
      <c r="G151" s="481">
        <v>0.62</v>
      </c>
      <c r="H151" s="481">
        <v>0.31</v>
      </c>
      <c r="J151" s="481">
        <v>8.6</v>
      </c>
    </row>
    <row r="152" spans="1:11">
      <c r="A152" s="481" t="s">
        <v>276</v>
      </c>
      <c r="B152" s="482">
        <f t="shared" si="0"/>
        <v>104.33000000000001</v>
      </c>
      <c r="C152" s="481">
        <v>95.66</v>
      </c>
      <c r="D152" s="481">
        <v>2.56</v>
      </c>
      <c r="E152" s="481">
        <v>1.37</v>
      </c>
      <c r="F152" s="481">
        <v>0.78</v>
      </c>
      <c r="G152" s="481">
        <v>2.2599999999999998</v>
      </c>
      <c r="H152" s="481">
        <v>0.9</v>
      </c>
      <c r="J152" s="481">
        <v>0.8</v>
      </c>
    </row>
    <row r="153" spans="1:11">
      <c r="A153" s="481" t="s">
        <v>286</v>
      </c>
      <c r="B153" s="482">
        <f t="shared" si="0"/>
        <v>141.23999999999998</v>
      </c>
      <c r="C153" s="481">
        <v>112.48</v>
      </c>
      <c r="D153" s="481">
        <v>12.3</v>
      </c>
      <c r="E153" s="481">
        <v>7.32</v>
      </c>
      <c r="F153" s="481">
        <v>9.11</v>
      </c>
      <c r="G153" s="481">
        <v>0.02</v>
      </c>
      <c r="H153" s="481">
        <v>0</v>
      </c>
      <c r="J153" s="481">
        <v>0.01</v>
      </c>
    </row>
    <row r="154" spans="1:11">
      <c r="A154" s="481" t="s">
        <v>305</v>
      </c>
      <c r="B154" s="482">
        <f t="shared" si="0"/>
        <v>194.5</v>
      </c>
      <c r="C154" s="481">
        <v>19.52</v>
      </c>
      <c r="D154" s="481">
        <v>164.44</v>
      </c>
      <c r="E154" s="481">
        <v>0</v>
      </c>
      <c r="F154" s="481">
        <v>10.09</v>
      </c>
      <c r="G154" s="481">
        <v>0.04</v>
      </c>
      <c r="H154" s="481">
        <v>0.41</v>
      </c>
      <c r="J154" s="481"/>
    </row>
    <row r="155" spans="1:11">
      <c r="A155" s="481" t="s">
        <v>442</v>
      </c>
      <c r="B155" s="482">
        <f t="shared" si="0"/>
        <v>209.85999999999999</v>
      </c>
      <c r="C155" s="481">
        <v>17.78</v>
      </c>
      <c r="D155" s="481">
        <v>102.32</v>
      </c>
      <c r="E155" s="481">
        <v>0.11</v>
      </c>
      <c r="F155" s="481">
        <v>89.17</v>
      </c>
      <c r="G155" s="481">
        <v>0</v>
      </c>
      <c r="H155" s="481">
        <v>0.48</v>
      </c>
      <c r="J155" s="481"/>
    </row>
    <row r="156" spans="1:11">
      <c r="A156" s="481" t="s">
        <v>213</v>
      </c>
      <c r="B156" s="482">
        <f t="shared" si="0"/>
        <v>144.09</v>
      </c>
      <c r="C156" s="481">
        <v>18.39</v>
      </c>
      <c r="D156" s="481">
        <v>24.23</v>
      </c>
      <c r="E156" s="481">
        <v>0</v>
      </c>
      <c r="F156" s="481">
        <v>79.319999999999993</v>
      </c>
      <c r="G156" s="481">
        <v>0.01</v>
      </c>
      <c r="H156" s="481">
        <v>0.31</v>
      </c>
      <c r="I156" s="481">
        <v>21.83</v>
      </c>
      <c r="J156" s="481"/>
      <c r="K156" s="481">
        <v>2.5499999999999998</v>
      </c>
    </row>
    <row r="157" spans="1:11">
      <c r="A157" s="481" t="s">
        <v>443</v>
      </c>
      <c r="B157" s="482">
        <f t="shared" si="0"/>
        <v>126.58999999999999</v>
      </c>
      <c r="C157" s="481">
        <v>93.1</v>
      </c>
      <c r="D157" s="481">
        <v>14.99</v>
      </c>
      <c r="E157" s="481">
        <v>3</v>
      </c>
      <c r="F157" s="481">
        <v>10.54</v>
      </c>
      <c r="G157" s="481">
        <v>1.1399999999999999</v>
      </c>
      <c r="H157" s="481">
        <v>3.82</v>
      </c>
    </row>
    <row r="158" spans="1:11">
      <c r="A158" s="481" t="s">
        <v>222</v>
      </c>
      <c r="B158" s="482">
        <f t="shared" si="0"/>
        <v>210.05</v>
      </c>
      <c r="C158" s="481">
        <v>201.58</v>
      </c>
      <c r="D158" s="481">
        <v>1.19</v>
      </c>
      <c r="E158" s="481">
        <v>6.35</v>
      </c>
      <c r="F158" s="481">
        <v>0</v>
      </c>
      <c r="G158" s="481">
        <v>0.05</v>
      </c>
      <c r="H158" s="481">
        <v>0.79</v>
      </c>
      <c r="I158" s="481">
        <v>0.09</v>
      </c>
      <c r="K158" s="481">
        <v>0.04</v>
      </c>
    </row>
    <row r="159" spans="1:11">
      <c r="A159" s="481" t="s">
        <v>288</v>
      </c>
      <c r="B159" s="482">
        <f t="shared" si="0"/>
        <v>207.89000000000001</v>
      </c>
      <c r="C159" s="481">
        <v>170.63</v>
      </c>
      <c r="D159" s="481">
        <v>15.93</v>
      </c>
      <c r="F159" s="481">
        <v>18.920000000000002</v>
      </c>
      <c r="G159" s="481">
        <v>0.01</v>
      </c>
      <c r="H159" s="481">
        <v>0</v>
      </c>
      <c r="J159" s="481">
        <v>2.4</v>
      </c>
    </row>
    <row r="160" spans="1:11">
      <c r="A160" s="481" t="s">
        <v>289</v>
      </c>
      <c r="B160" s="482">
        <f t="shared" si="0"/>
        <v>207.84999999999997</v>
      </c>
      <c r="C160" s="481">
        <v>186.48</v>
      </c>
      <c r="D160" s="481">
        <v>19.61</v>
      </c>
      <c r="E160" s="481">
        <v>1.51</v>
      </c>
      <c r="F160" s="481">
        <v>0.06</v>
      </c>
      <c r="G160" s="481">
        <v>0.06</v>
      </c>
      <c r="H160" s="481">
        <v>0.12</v>
      </c>
      <c r="J160" s="481">
        <v>0.01</v>
      </c>
    </row>
    <row r="161" spans="1:11">
      <c r="A161" s="481" t="s">
        <v>214</v>
      </c>
      <c r="B161" s="482">
        <f t="shared" si="0"/>
        <v>67.660000000000011</v>
      </c>
      <c r="C161" s="481">
        <v>14.2</v>
      </c>
      <c r="D161" s="481">
        <v>8.5</v>
      </c>
      <c r="E161" s="481">
        <v>0</v>
      </c>
      <c r="F161" s="481">
        <v>41.75</v>
      </c>
      <c r="G161" s="481">
        <v>0</v>
      </c>
      <c r="H161" s="481">
        <v>0.68</v>
      </c>
      <c r="I161" s="481">
        <v>2.5299999999999998</v>
      </c>
      <c r="J161" s="481"/>
      <c r="K161" s="481">
        <v>3.99</v>
      </c>
    </row>
    <row r="162" spans="1:11">
      <c r="A162" s="481" t="s">
        <v>277</v>
      </c>
      <c r="B162" s="482">
        <f t="shared" si="0"/>
        <v>154.27000000000001</v>
      </c>
      <c r="C162" s="481">
        <v>112.75</v>
      </c>
      <c r="D162" s="481">
        <v>3.85</v>
      </c>
      <c r="E162" s="481">
        <v>3</v>
      </c>
      <c r="F162" s="481">
        <v>19.12</v>
      </c>
      <c r="G162" s="481">
        <v>3.62</v>
      </c>
      <c r="H162" s="481">
        <v>3.31</v>
      </c>
      <c r="I162" s="481">
        <v>1.38</v>
      </c>
      <c r="J162" s="481">
        <v>7.24</v>
      </c>
      <c r="K162" s="481">
        <v>0.81</v>
      </c>
    </row>
    <row r="163" spans="1:11">
      <c r="A163" s="481" t="s">
        <v>444</v>
      </c>
      <c r="B163" s="482">
        <f t="shared" si="0"/>
        <v>164.84000000000003</v>
      </c>
      <c r="C163" s="481">
        <v>106.08</v>
      </c>
      <c r="D163" s="481">
        <v>57.38</v>
      </c>
      <c r="F163" s="481">
        <v>1.3</v>
      </c>
      <c r="H163" s="481">
        <v>0.08</v>
      </c>
    </row>
    <row r="164" spans="1:11">
      <c r="A164" s="481" t="s">
        <v>445</v>
      </c>
      <c r="B164" s="482">
        <f t="shared" si="0"/>
        <v>126.77000000000002</v>
      </c>
      <c r="C164" s="481">
        <v>107.93</v>
      </c>
      <c r="D164" s="481">
        <v>6.76</v>
      </c>
      <c r="E164" s="481">
        <v>0.48</v>
      </c>
      <c r="F164" s="481">
        <v>3.99</v>
      </c>
      <c r="G164" s="481">
        <v>6.37</v>
      </c>
      <c r="H164" s="481">
        <v>0.54</v>
      </c>
      <c r="J164" s="481">
        <v>0.7</v>
      </c>
    </row>
    <row r="165" spans="1:11">
      <c r="A165" s="481" t="s">
        <v>446</v>
      </c>
      <c r="B165" s="482">
        <f t="shared" si="0"/>
        <v>117.14999999999999</v>
      </c>
      <c r="C165" s="481">
        <v>17.239999999999998</v>
      </c>
      <c r="D165" s="481">
        <v>35.299999999999997</v>
      </c>
      <c r="E165" s="481">
        <v>0</v>
      </c>
      <c r="F165" s="481">
        <v>59.28</v>
      </c>
      <c r="G165" s="481">
        <v>0</v>
      </c>
      <c r="H165" s="481">
        <v>0.47</v>
      </c>
      <c r="I165" s="481">
        <v>4.8600000000000003</v>
      </c>
      <c r="J165" s="481"/>
      <c r="K165" s="481">
        <v>2.42</v>
      </c>
    </row>
    <row r="166" spans="1:11">
      <c r="A166" s="481" t="s">
        <v>447</v>
      </c>
      <c r="B166" s="482">
        <f t="shared" si="0"/>
        <v>110.83</v>
      </c>
      <c r="C166" s="481">
        <v>81.09</v>
      </c>
      <c r="D166" s="481">
        <v>11.1</v>
      </c>
      <c r="E166" s="481">
        <v>0.56999999999999995</v>
      </c>
      <c r="F166" s="481">
        <v>11.98</v>
      </c>
      <c r="G166" s="481">
        <v>4.6399999999999997</v>
      </c>
      <c r="H166" s="481">
        <v>0.43</v>
      </c>
      <c r="I166" s="481">
        <v>0.61</v>
      </c>
      <c r="J166" s="481">
        <v>0.41</v>
      </c>
    </row>
    <row r="167" spans="1:11">
      <c r="A167" s="481" t="s">
        <v>325</v>
      </c>
      <c r="B167" s="482">
        <f t="shared" si="0"/>
        <v>161.41999999999999</v>
      </c>
      <c r="C167" s="481">
        <v>109.61</v>
      </c>
      <c r="D167" s="481">
        <v>17.28</v>
      </c>
      <c r="E167" s="481">
        <v>1.46</v>
      </c>
      <c r="F167" s="481">
        <v>30.84</v>
      </c>
      <c r="G167" s="481">
        <v>1.08</v>
      </c>
      <c r="H167" s="481">
        <v>1.1399999999999999</v>
      </c>
      <c r="J167" s="481">
        <v>0.01</v>
      </c>
    </row>
    <row r="168" spans="1:11">
      <c r="A168" s="481" t="s">
        <v>287</v>
      </c>
      <c r="B168" s="482">
        <f t="shared" si="0"/>
        <v>196.31</v>
      </c>
      <c r="C168" s="481">
        <v>180.32</v>
      </c>
      <c r="D168" s="481">
        <v>6.93</v>
      </c>
      <c r="E168" s="481">
        <v>2.62</v>
      </c>
      <c r="F168" s="481">
        <v>6.23</v>
      </c>
      <c r="G168" s="481">
        <v>0.13</v>
      </c>
      <c r="H168" s="481">
        <v>0.08</v>
      </c>
    </row>
    <row r="169" spans="1:11">
      <c r="A169" s="481" t="s">
        <v>448</v>
      </c>
      <c r="B169" s="482">
        <f t="shared" si="0"/>
        <v>80.72</v>
      </c>
      <c r="C169" s="481">
        <v>37.590000000000003</v>
      </c>
      <c r="D169" s="481">
        <v>42.11</v>
      </c>
      <c r="E169" s="481">
        <v>0.87</v>
      </c>
      <c r="F169" s="481">
        <v>7.0000000000000007E-2</v>
      </c>
      <c r="G169" s="481">
        <v>0</v>
      </c>
      <c r="H169" s="481">
        <v>0.08</v>
      </c>
    </row>
    <row r="170" spans="1:11">
      <c r="A170" s="481" t="s">
        <v>449</v>
      </c>
      <c r="B170" s="482">
        <f t="shared" si="0"/>
        <v>131.48000000000002</v>
      </c>
      <c r="C170" s="481">
        <v>33.94</v>
      </c>
      <c r="D170" s="481">
        <v>45.39</v>
      </c>
      <c r="E170" s="481">
        <v>0</v>
      </c>
      <c r="F170" s="481">
        <v>51.97</v>
      </c>
      <c r="G170" s="481">
        <v>0.18</v>
      </c>
      <c r="H170" s="481">
        <v>0</v>
      </c>
    </row>
    <row r="171" spans="1:11">
      <c r="A171" s="481" t="s">
        <v>450</v>
      </c>
      <c r="B171" s="482">
        <f t="shared" si="0"/>
        <v>234.44000000000003</v>
      </c>
      <c r="C171" s="481">
        <v>14.18</v>
      </c>
      <c r="D171" s="481">
        <v>205.52</v>
      </c>
      <c r="E171" s="481">
        <v>0</v>
      </c>
      <c r="F171" s="481">
        <v>14.68</v>
      </c>
      <c r="G171" s="481">
        <v>0.05</v>
      </c>
      <c r="H171" s="481">
        <v>0.01</v>
      </c>
    </row>
    <row r="172" spans="1:11">
      <c r="A172" s="481" t="s">
        <v>235</v>
      </c>
      <c r="B172" s="482">
        <f t="shared" si="0"/>
        <v>173.58</v>
      </c>
      <c r="C172" s="481">
        <v>123.42</v>
      </c>
      <c r="D172" s="481">
        <v>27.41</v>
      </c>
      <c r="E172" s="481">
        <v>0</v>
      </c>
      <c r="F172" s="481">
        <v>14.38</v>
      </c>
      <c r="G172" s="481">
        <v>0.02</v>
      </c>
      <c r="H172" s="481">
        <v>0</v>
      </c>
      <c r="I172" s="481">
        <v>8.35</v>
      </c>
      <c r="K172" s="481">
        <v>1.83</v>
      </c>
    </row>
    <row r="173" spans="1:11">
      <c r="A173" s="481" t="s">
        <v>215</v>
      </c>
      <c r="B173" s="482">
        <f t="shared" si="0"/>
        <v>137.29000000000002</v>
      </c>
      <c r="C173" s="481">
        <v>7.87</v>
      </c>
      <c r="D173" s="481">
        <v>2.99</v>
      </c>
      <c r="E173" s="481">
        <v>0</v>
      </c>
      <c r="F173" s="481">
        <v>125.31</v>
      </c>
      <c r="G173" s="481">
        <v>0.08</v>
      </c>
      <c r="H173" s="481">
        <v>0.51</v>
      </c>
      <c r="I173" s="481">
        <v>0.53</v>
      </c>
      <c r="K173" s="481">
        <v>0.6</v>
      </c>
    </row>
    <row r="174" spans="1:11">
      <c r="A174" s="481" t="s">
        <v>216</v>
      </c>
      <c r="B174" s="482">
        <f t="shared" si="0"/>
        <v>120.21000000000001</v>
      </c>
      <c r="C174" s="481">
        <v>20.61</v>
      </c>
      <c r="D174" s="481">
        <v>1.63</v>
      </c>
      <c r="E174" s="481">
        <v>0.17</v>
      </c>
      <c r="F174" s="481">
        <v>92.89</v>
      </c>
      <c r="G174" s="481">
        <v>0.03</v>
      </c>
      <c r="H174" s="481">
        <v>0.2</v>
      </c>
      <c r="I174" s="481">
        <v>4.68</v>
      </c>
      <c r="K174" s="481">
        <v>2.5299999999999998</v>
      </c>
    </row>
    <row r="175" spans="1:11">
      <c r="B175" s="185"/>
    </row>
    <row r="176" spans="1:11">
      <c r="B176" s="185"/>
    </row>
    <row r="177" spans="2:2">
      <c r="B177" s="185"/>
    </row>
    <row r="178" spans="2:2">
      <c r="B178" s="185"/>
    </row>
    <row r="179" spans="2:2">
      <c r="B179" s="185"/>
    </row>
    <row r="180" spans="2:2">
      <c r="B180" s="185"/>
    </row>
    <row r="181" spans="2:2">
      <c r="B181" s="185"/>
    </row>
    <row r="182" spans="2:2">
      <c r="B182" s="185"/>
    </row>
    <row r="183" spans="2:2">
      <c r="B183" s="185"/>
    </row>
    <row r="184" spans="2:2">
      <c r="B184" s="185"/>
    </row>
    <row r="185" spans="2:2">
      <c r="B185" s="185"/>
    </row>
    <row r="186" spans="2:2">
      <c r="B186" s="185"/>
    </row>
    <row r="187" spans="2:2">
      <c r="B187" s="185"/>
    </row>
    <row r="188" spans="2:2">
      <c r="B188" s="185"/>
    </row>
    <row r="189" spans="2:2">
      <c r="B189" s="185"/>
    </row>
    <row r="190" spans="2:2">
      <c r="B190" s="185"/>
    </row>
    <row r="191" spans="2:2">
      <c r="B191" s="185"/>
    </row>
    <row r="192" spans="2:2">
      <c r="B192" s="185"/>
    </row>
    <row r="193" spans="2:2">
      <c r="B193" s="185"/>
    </row>
    <row r="194" spans="2:2">
      <c r="B194" s="185"/>
    </row>
    <row r="195" spans="2:2">
      <c r="B195" s="185"/>
    </row>
    <row r="196" spans="2:2">
      <c r="B196" s="185"/>
    </row>
    <row r="197" spans="2:2">
      <c r="B197" s="185"/>
    </row>
    <row r="198" spans="2:2">
      <c r="B198" s="185"/>
    </row>
    <row r="199" spans="2:2">
      <c r="B199" s="185"/>
    </row>
    <row r="200" spans="2:2">
      <c r="B200" s="185"/>
    </row>
    <row r="201" spans="2:2">
      <c r="B201" s="185"/>
    </row>
    <row r="202" spans="2:2">
      <c r="B202" s="185"/>
    </row>
    <row r="203" spans="2:2">
      <c r="B203" s="185"/>
    </row>
    <row r="204" spans="2:2">
      <c r="B204" s="185"/>
    </row>
    <row r="205" spans="2:2">
      <c r="B205" s="185"/>
    </row>
    <row r="206" spans="2:2">
      <c r="B206" s="185"/>
    </row>
    <row r="207" spans="2:2">
      <c r="B207" s="185"/>
    </row>
    <row r="208" spans="2:2">
      <c r="B208" s="185"/>
    </row>
    <row r="209" spans="2:2">
      <c r="B209" s="185"/>
    </row>
    <row r="210" spans="2:2">
      <c r="B210" s="185"/>
    </row>
    <row r="211" spans="2:2">
      <c r="B211" s="185"/>
    </row>
    <row r="212" spans="2:2">
      <c r="B212" s="185"/>
    </row>
    <row r="213" spans="2:2">
      <c r="B213" s="185"/>
    </row>
    <row r="214" spans="2:2">
      <c r="B214" s="185"/>
    </row>
    <row r="215" spans="2:2">
      <c r="B215" s="185"/>
    </row>
    <row r="216" spans="2:2">
      <c r="B216" s="185"/>
    </row>
    <row r="217" spans="2:2">
      <c r="B217" s="185"/>
    </row>
    <row r="218" spans="2:2">
      <c r="B218" s="185"/>
    </row>
    <row r="219" spans="2:2">
      <c r="B219" s="185"/>
    </row>
    <row r="220" spans="2:2">
      <c r="B220" s="185"/>
    </row>
    <row r="221" spans="2:2">
      <c r="B221" s="185"/>
    </row>
    <row r="222" spans="2:2">
      <c r="B222" s="185"/>
    </row>
    <row r="223" spans="2:2">
      <c r="B223" s="185"/>
    </row>
    <row r="224" spans="2:2">
      <c r="B224" s="185"/>
    </row>
    <row r="225" spans="2:2">
      <c r="B225" s="185"/>
    </row>
    <row r="226" spans="2:2">
      <c r="B226" s="185"/>
    </row>
    <row r="227" spans="2:2">
      <c r="B227" s="185"/>
    </row>
    <row r="228" spans="2:2">
      <c r="B228" s="185"/>
    </row>
    <row r="229" spans="2:2">
      <c r="B229" s="185"/>
    </row>
    <row r="230" spans="2:2">
      <c r="B230" s="185"/>
    </row>
    <row r="231" spans="2:2">
      <c r="B231" s="185"/>
    </row>
    <row r="232" spans="2:2">
      <c r="B232" s="185"/>
    </row>
    <row r="233" spans="2:2">
      <c r="B233" s="185"/>
    </row>
    <row r="234" spans="2:2">
      <c r="B234" s="185"/>
    </row>
    <row r="235" spans="2:2">
      <c r="B235" s="185"/>
    </row>
    <row r="236" spans="2:2">
      <c r="B236" s="185"/>
    </row>
    <row r="237" spans="2:2">
      <c r="B237" s="185"/>
    </row>
    <row r="238" spans="2:2">
      <c r="B238" s="185"/>
    </row>
    <row r="239" spans="2:2">
      <c r="B239" s="185"/>
    </row>
    <row r="240" spans="2:2">
      <c r="B240" s="185"/>
    </row>
    <row r="241" spans="2:2">
      <c r="B241" s="185"/>
    </row>
    <row r="242" spans="2:2">
      <c r="B242" s="185"/>
    </row>
    <row r="243" spans="2:2">
      <c r="B243" s="185"/>
    </row>
    <row r="244" spans="2:2">
      <c r="B244" s="185"/>
    </row>
    <row r="245" spans="2:2">
      <c r="B245" s="185"/>
    </row>
    <row r="246" spans="2:2">
      <c r="B246" s="185"/>
    </row>
    <row r="247" spans="2:2">
      <c r="B247" s="185"/>
    </row>
    <row r="248" spans="2:2">
      <c r="B248" s="185"/>
    </row>
    <row r="249" spans="2:2">
      <c r="B249" s="185"/>
    </row>
    <row r="250" spans="2:2">
      <c r="B250" s="185"/>
    </row>
    <row r="251" spans="2:2">
      <c r="B251" s="185"/>
    </row>
    <row r="252" spans="2:2">
      <c r="B252" s="185"/>
    </row>
    <row r="253" spans="2:2">
      <c r="B253" s="185"/>
    </row>
    <row r="254" spans="2:2">
      <c r="B254" s="185"/>
    </row>
    <row r="255" spans="2:2">
      <c r="B255" s="185"/>
    </row>
    <row r="256" spans="2:2">
      <c r="B256" s="185"/>
    </row>
    <row r="257" spans="2:2">
      <c r="B257" s="185"/>
    </row>
    <row r="258" spans="2:2">
      <c r="B258" s="185"/>
    </row>
    <row r="259" spans="2:2">
      <c r="B259" s="185"/>
    </row>
    <row r="260" spans="2:2">
      <c r="B260" s="185"/>
    </row>
    <row r="261" spans="2:2">
      <c r="B261" s="185"/>
    </row>
    <row r="262" spans="2:2">
      <c r="B262" s="185"/>
    </row>
    <row r="263" spans="2:2">
      <c r="B263" s="185"/>
    </row>
    <row r="264" spans="2:2">
      <c r="B264" s="185"/>
    </row>
    <row r="265" spans="2:2">
      <c r="B265" s="185"/>
    </row>
    <row r="266" spans="2:2">
      <c r="B266" s="185"/>
    </row>
    <row r="267" spans="2:2">
      <c r="B267" s="185"/>
    </row>
    <row r="268" spans="2:2">
      <c r="B268" s="185"/>
    </row>
    <row r="269" spans="2:2">
      <c r="B269" s="185"/>
    </row>
    <row r="270" spans="2:2">
      <c r="B270" s="185"/>
    </row>
    <row r="271" spans="2:2">
      <c r="B271" s="185"/>
    </row>
    <row r="272" spans="2:2">
      <c r="B272" s="185"/>
    </row>
    <row r="273" spans="2:2">
      <c r="B273" s="185"/>
    </row>
    <row r="274" spans="2:2">
      <c r="B274" s="185"/>
    </row>
    <row r="275" spans="2:2">
      <c r="B275" s="185"/>
    </row>
    <row r="276" spans="2:2">
      <c r="B276" s="185"/>
    </row>
    <row r="277" spans="2:2">
      <c r="B277" s="185"/>
    </row>
    <row r="278" spans="2:2">
      <c r="B278" s="185"/>
    </row>
    <row r="279" spans="2:2">
      <c r="B279" s="185"/>
    </row>
    <row r="280" spans="2:2">
      <c r="B280" s="185"/>
    </row>
    <row r="281" spans="2:2">
      <c r="B281" s="185"/>
    </row>
    <row r="282" spans="2:2">
      <c r="B282" s="185"/>
    </row>
    <row r="283" spans="2:2">
      <c r="B283" s="185"/>
    </row>
    <row r="284" spans="2:2">
      <c r="B284" s="185"/>
    </row>
    <row r="285" spans="2:2">
      <c r="B285" s="185"/>
    </row>
    <row r="286" spans="2:2">
      <c r="B286" s="185"/>
    </row>
    <row r="287" spans="2:2">
      <c r="B287" s="185"/>
    </row>
    <row r="288" spans="2:2">
      <c r="B288" s="185"/>
    </row>
    <row r="289" spans="2:2">
      <c r="B289" s="185"/>
    </row>
    <row r="290" spans="2:2">
      <c r="B290" s="185"/>
    </row>
    <row r="291" spans="2:2">
      <c r="B291" s="185"/>
    </row>
    <row r="292" spans="2:2">
      <c r="B292" s="185"/>
    </row>
    <row r="293" spans="2:2">
      <c r="B293" s="185"/>
    </row>
    <row r="294" spans="2:2">
      <c r="B294" s="185"/>
    </row>
    <row r="295" spans="2:2">
      <c r="B295" s="185"/>
    </row>
    <row r="296" spans="2:2">
      <c r="B296" s="185"/>
    </row>
    <row r="297" spans="2:2">
      <c r="B297" s="185"/>
    </row>
    <row r="298" spans="2:2">
      <c r="B298" s="185"/>
    </row>
    <row r="299" spans="2:2">
      <c r="B299" s="185"/>
    </row>
    <row r="300" spans="2:2">
      <c r="B300" s="185"/>
    </row>
    <row r="301" spans="2:2">
      <c r="B301" s="185"/>
    </row>
    <row r="302" spans="2:2">
      <c r="B302" s="185"/>
    </row>
    <row r="303" spans="2:2">
      <c r="B303" s="185"/>
    </row>
    <row r="304" spans="2:2">
      <c r="B304" s="185"/>
    </row>
    <row r="305" spans="2:2">
      <c r="B305" s="185"/>
    </row>
    <row r="306" spans="2:2">
      <c r="B306" s="185"/>
    </row>
    <row r="307" spans="2:2">
      <c r="B307" s="185"/>
    </row>
    <row r="308" spans="2:2">
      <c r="B308" s="185"/>
    </row>
    <row r="309" spans="2:2">
      <c r="B309" s="185"/>
    </row>
    <row r="310" spans="2:2">
      <c r="B310" s="185"/>
    </row>
    <row r="311" spans="2:2">
      <c r="B311" s="185"/>
    </row>
    <row r="312" spans="2:2">
      <c r="B312" s="185"/>
    </row>
    <row r="313" spans="2:2">
      <c r="B313" s="185"/>
    </row>
    <row r="314" spans="2:2">
      <c r="B314" s="185"/>
    </row>
    <row r="315" spans="2:2">
      <c r="B315" s="185"/>
    </row>
    <row r="316" spans="2:2">
      <c r="B316" s="185"/>
    </row>
    <row r="317" spans="2:2">
      <c r="B317" s="185"/>
    </row>
    <row r="318" spans="2:2">
      <c r="B318" s="185"/>
    </row>
    <row r="319" spans="2:2">
      <c r="B319" s="185"/>
    </row>
    <row r="320" spans="2:2">
      <c r="B320" s="185"/>
    </row>
    <row r="321" spans="2:2">
      <c r="B321" s="185"/>
    </row>
    <row r="322" spans="2:2">
      <c r="B322" s="185"/>
    </row>
    <row r="323" spans="2:2">
      <c r="B323" s="185"/>
    </row>
    <row r="324" spans="2:2">
      <c r="B324" s="185"/>
    </row>
    <row r="325" spans="2:2">
      <c r="B325" s="185"/>
    </row>
    <row r="326" spans="2:2">
      <c r="B326" s="185"/>
    </row>
    <row r="327" spans="2:2">
      <c r="B327" s="185"/>
    </row>
    <row r="328" spans="2:2">
      <c r="B328" s="185"/>
    </row>
    <row r="329" spans="2:2">
      <c r="B329" s="185"/>
    </row>
    <row r="330" spans="2:2">
      <c r="B330" s="185"/>
    </row>
    <row r="331" spans="2:2">
      <c r="B331" s="185"/>
    </row>
    <row r="332" spans="2:2">
      <c r="B332" s="185"/>
    </row>
    <row r="333" spans="2:2">
      <c r="B333" s="185"/>
    </row>
    <row r="334" spans="2:2">
      <c r="B334" s="185"/>
    </row>
    <row r="335" spans="2:2">
      <c r="B335" s="185"/>
    </row>
    <row r="336" spans="2:2">
      <c r="B336" s="185"/>
    </row>
    <row r="337" spans="2:2">
      <c r="B337" s="185"/>
    </row>
    <row r="338" spans="2:2">
      <c r="B338" s="185"/>
    </row>
    <row r="339" spans="2:2">
      <c r="B339" s="185"/>
    </row>
    <row r="340" spans="2:2">
      <c r="B340" s="185"/>
    </row>
    <row r="341" spans="2:2">
      <c r="B341" s="185"/>
    </row>
    <row r="342" spans="2:2">
      <c r="B342" s="185"/>
    </row>
    <row r="343" spans="2:2">
      <c r="B343" s="185"/>
    </row>
    <row r="344" spans="2:2">
      <c r="B344" s="185"/>
    </row>
    <row r="345" spans="2:2">
      <c r="B345" s="185"/>
    </row>
    <row r="346" spans="2:2">
      <c r="B346" s="185"/>
    </row>
    <row r="347" spans="2:2">
      <c r="B347" s="185"/>
    </row>
    <row r="348" spans="2:2">
      <c r="B348" s="185"/>
    </row>
    <row r="349" spans="2:2">
      <c r="B349" s="185"/>
    </row>
    <row r="350" spans="2:2">
      <c r="B350" s="185"/>
    </row>
    <row r="351" spans="2:2">
      <c r="B351" s="185"/>
    </row>
    <row r="352" spans="2:2">
      <c r="B352" s="185"/>
    </row>
    <row r="353" spans="2:2">
      <c r="B353" s="185"/>
    </row>
    <row r="354" spans="2:2">
      <c r="B354" s="185"/>
    </row>
    <row r="355" spans="2:2">
      <c r="B355" s="185"/>
    </row>
    <row r="356" spans="2:2">
      <c r="B356" s="185"/>
    </row>
    <row r="357" spans="2:2">
      <c r="B357" s="185"/>
    </row>
    <row r="358" spans="2:2">
      <c r="B358" s="185"/>
    </row>
    <row r="359" spans="2:2">
      <c r="B359" s="185"/>
    </row>
    <row r="360" spans="2:2">
      <c r="B360" s="185"/>
    </row>
    <row r="361" spans="2:2">
      <c r="B361" s="185"/>
    </row>
    <row r="362" spans="2:2">
      <c r="B362" s="185"/>
    </row>
    <row r="363" spans="2:2">
      <c r="B363" s="185"/>
    </row>
    <row r="364" spans="2:2">
      <c r="B364" s="185"/>
    </row>
    <row r="365" spans="2:2">
      <c r="B365" s="185"/>
    </row>
    <row r="366" spans="2:2">
      <c r="B366" s="185"/>
    </row>
    <row r="367" spans="2:2">
      <c r="B367" s="185"/>
    </row>
    <row r="368" spans="2:2">
      <c r="B368" s="185"/>
    </row>
    <row r="369" spans="2:2">
      <c r="B369" s="185"/>
    </row>
    <row r="370" spans="2:2">
      <c r="B370" s="185"/>
    </row>
    <row r="371" spans="2:2">
      <c r="B371" s="185"/>
    </row>
    <row r="372" spans="2:2">
      <c r="B372" s="185"/>
    </row>
    <row r="373" spans="2:2">
      <c r="B373" s="185"/>
    </row>
    <row r="374" spans="2:2">
      <c r="B374" s="185"/>
    </row>
    <row r="375" spans="2:2">
      <c r="B375" s="185"/>
    </row>
    <row r="376" spans="2:2">
      <c r="B376" s="185"/>
    </row>
    <row r="377" spans="2:2">
      <c r="B377" s="185"/>
    </row>
    <row r="378" spans="2:2">
      <c r="B378" s="185"/>
    </row>
    <row r="379" spans="2:2">
      <c r="B379" s="185"/>
    </row>
    <row r="380" spans="2:2">
      <c r="B380" s="185"/>
    </row>
    <row r="381" spans="2:2">
      <c r="B381" s="185"/>
    </row>
    <row r="382" spans="2:2">
      <c r="B382" s="185"/>
    </row>
    <row r="383" spans="2:2">
      <c r="B383" s="185"/>
    </row>
    <row r="384" spans="2:2">
      <c r="B384" s="185"/>
    </row>
    <row r="385" spans="2:2">
      <c r="B385" s="185"/>
    </row>
    <row r="386" spans="2:2">
      <c r="B386" s="185"/>
    </row>
    <row r="387" spans="2:2">
      <c r="B387" s="185"/>
    </row>
    <row r="388" spans="2:2">
      <c r="B388" s="185"/>
    </row>
    <row r="389" spans="2:2">
      <c r="B389" s="185"/>
    </row>
    <row r="390" spans="2:2">
      <c r="B390" s="185"/>
    </row>
    <row r="391" spans="2:2">
      <c r="B391" s="185"/>
    </row>
    <row r="392" spans="2:2">
      <c r="B392" s="185"/>
    </row>
    <row r="393" spans="2:2">
      <c r="B393" s="185"/>
    </row>
    <row r="394" spans="2:2">
      <c r="B394" s="185"/>
    </row>
    <row r="395" spans="2:2">
      <c r="B395" s="185"/>
    </row>
    <row r="396" spans="2:2">
      <c r="B396" s="185"/>
    </row>
    <row r="397" spans="2:2">
      <c r="B397" s="185"/>
    </row>
    <row r="398" spans="2:2">
      <c r="B398" s="185"/>
    </row>
    <row r="399" spans="2:2">
      <c r="B399" s="185"/>
    </row>
    <row r="400" spans="2:2">
      <c r="B400" s="185"/>
    </row>
    <row r="401" spans="2:2">
      <c r="B401" s="185"/>
    </row>
    <row r="402" spans="2:2">
      <c r="B402" s="185"/>
    </row>
    <row r="403" spans="2:2">
      <c r="B403" s="185"/>
    </row>
    <row r="404" spans="2:2">
      <c r="B404" s="185"/>
    </row>
    <row r="405" spans="2:2">
      <c r="B405" s="185"/>
    </row>
    <row r="406" spans="2:2">
      <c r="B406" s="185"/>
    </row>
    <row r="407" spans="2:2">
      <c r="B407" s="185"/>
    </row>
    <row r="408" spans="2:2">
      <c r="B408" s="185"/>
    </row>
    <row r="409" spans="2:2">
      <c r="B409" s="185"/>
    </row>
    <row r="410" spans="2:2">
      <c r="B410" s="185"/>
    </row>
    <row r="411" spans="2:2">
      <c r="B411" s="185"/>
    </row>
    <row r="412" spans="2:2">
      <c r="B412" s="185"/>
    </row>
    <row r="413" spans="2:2">
      <c r="B413" s="185"/>
    </row>
    <row r="414" spans="2:2">
      <c r="B414" s="185"/>
    </row>
    <row r="415" spans="2:2">
      <c r="B415" s="185"/>
    </row>
    <row r="416" spans="2:2">
      <c r="B416" s="185"/>
    </row>
    <row r="417" spans="2:2">
      <c r="B417" s="185"/>
    </row>
    <row r="418" spans="2:2">
      <c r="B418" s="185"/>
    </row>
    <row r="419" spans="2:2">
      <c r="B419" s="185"/>
    </row>
    <row r="420" spans="2:2">
      <c r="B420" s="185"/>
    </row>
    <row r="421" spans="2:2">
      <c r="B421" s="185"/>
    </row>
    <row r="422" spans="2:2">
      <c r="B422" s="185"/>
    </row>
    <row r="423" spans="2:2">
      <c r="B423" s="185"/>
    </row>
    <row r="424" spans="2:2">
      <c r="B424" s="185"/>
    </row>
    <row r="425" spans="2:2">
      <c r="B425" s="185"/>
    </row>
    <row r="426" spans="2:2">
      <c r="B426" s="185"/>
    </row>
    <row r="427" spans="2:2">
      <c r="B427" s="185"/>
    </row>
    <row r="428" spans="2:2">
      <c r="B428" s="185"/>
    </row>
    <row r="429" spans="2:2">
      <c r="B429" s="185"/>
    </row>
    <row r="430" spans="2:2">
      <c r="B430" s="185"/>
    </row>
    <row r="431" spans="2:2">
      <c r="B431" s="185"/>
    </row>
    <row r="432" spans="2:2">
      <c r="B432" s="185"/>
    </row>
    <row r="433" spans="2:2">
      <c r="B433" s="185"/>
    </row>
    <row r="434" spans="2:2">
      <c r="B434" s="185"/>
    </row>
    <row r="435" spans="2:2">
      <c r="B435" s="185"/>
    </row>
    <row r="436" spans="2:2">
      <c r="B436" s="185"/>
    </row>
    <row r="437" spans="2:2">
      <c r="B437" s="185"/>
    </row>
    <row r="438" spans="2:2">
      <c r="B438" s="185"/>
    </row>
    <row r="439" spans="2:2">
      <c r="B439" s="185"/>
    </row>
    <row r="440" spans="2:2">
      <c r="B440" s="185"/>
    </row>
    <row r="441" spans="2:2">
      <c r="B441" s="185"/>
    </row>
    <row r="442" spans="2:2">
      <c r="B442" s="185"/>
    </row>
    <row r="443" spans="2:2">
      <c r="B443" s="185"/>
    </row>
    <row r="444" spans="2:2">
      <c r="B444" s="185"/>
    </row>
    <row r="445" spans="2:2">
      <c r="B445" s="185"/>
    </row>
    <row r="446" spans="2:2">
      <c r="B446" s="185"/>
    </row>
    <row r="447" spans="2:2">
      <c r="B447" s="185"/>
    </row>
    <row r="448" spans="2:2">
      <c r="B448" s="185"/>
    </row>
    <row r="449" spans="2:2">
      <c r="B449" s="185"/>
    </row>
    <row r="450" spans="2:2">
      <c r="B450" s="185"/>
    </row>
    <row r="451" spans="2:2">
      <c r="B451" s="185"/>
    </row>
    <row r="452" spans="2:2">
      <c r="B452" s="185"/>
    </row>
    <row r="453" spans="2:2">
      <c r="B453" s="185"/>
    </row>
    <row r="454" spans="2:2">
      <c r="B454" s="185"/>
    </row>
    <row r="455" spans="2:2">
      <c r="B455" s="185"/>
    </row>
    <row r="456" spans="2:2">
      <c r="B456" s="185"/>
    </row>
    <row r="457" spans="2:2">
      <c r="B457" s="185"/>
    </row>
    <row r="458" spans="2:2">
      <c r="B458" s="185"/>
    </row>
    <row r="459" spans="2:2">
      <c r="B459" s="185"/>
    </row>
    <row r="460" spans="2:2">
      <c r="B460" s="185"/>
    </row>
    <row r="461" spans="2:2">
      <c r="B461" s="185"/>
    </row>
    <row r="462" spans="2:2">
      <c r="B462" s="185"/>
    </row>
    <row r="463" spans="2:2">
      <c r="B463" s="185"/>
    </row>
    <row r="464" spans="2:2">
      <c r="B464" s="185"/>
    </row>
    <row r="465" spans="2:2">
      <c r="B465" s="185"/>
    </row>
    <row r="466" spans="2:2">
      <c r="B466" s="185"/>
    </row>
    <row r="467" spans="2:2">
      <c r="B467" s="185"/>
    </row>
    <row r="468" spans="2:2">
      <c r="B468" s="185"/>
    </row>
    <row r="469" spans="2:2">
      <c r="B469" s="185"/>
    </row>
    <row r="470" spans="2:2">
      <c r="B470" s="185"/>
    </row>
    <row r="471" spans="2:2">
      <c r="B471" s="185"/>
    </row>
    <row r="472" spans="2:2">
      <c r="B472" s="185"/>
    </row>
    <row r="473" spans="2:2">
      <c r="B473" s="185"/>
    </row>
    <row r="474" spans="2:2">
      <c r="B474" s="185"/>
    </row>
    <row r="475" spans="2:2">
      <c r="B475" s="185"/>
    </row>
    <row r="476" spans="2:2">
      <c r="B476" s="185"/>
    </row>
    <row r="477" spans="2:2">
      <c r="B477" s="185"/>
    </row>
    <row r="478" spans="2:2">
      <c r="B478" s="185"/>
    </row>
    <row r="479" spans="2:2">
      <c r="B479" s="185"/>
    </row>
    <row r="480" spans="2:2">
      <c r="B480" s="185"/>
    </row>
    <row r="481" spans="2:2">
      <c r="B481" s="185"/>
    </row>
    <row r="482" spans="2:2">
      <c r="B482" s="185"/>
    </row>
    <row r="483" spans="2:2">
      <c r="B483" s="185"/>
    </row>
    <row r="484" spans="2:2">
      <c r="B484" s="185"/>
    </row>
    <row r="485" spans="2:2">
      <c r="B485" s="185"/>
    </row>
    <row r="486" spans="2:2">
      <c r="B486" s="185"/>
    </row>
    <row r="487" spans="2:2">
      <c r="B487" s="185"/>
    </row>
    <row r="488" spans="2:2">
      <c r="B488" s="185"/>
    </row>
    <row r="489" spans="2:2">
      <c r="B489" s="185"/>
    </row>
    <row r="490" spans="2:2">
      <c r="B490" s="185"/>
    </row>
    <row r="491" spans="2:2">
      <c r="B491" s="185"/>
    </row>
    <row r="492" spans="2:2">
      <c r="B492" s="185"/>
    </row>
    <row r="493" spans="2:2">
      <c r="B493" s="185"/>
    </row>
    <row r="494" spans="2:2">
      <c r="B494" s="185"/>
    </row>
    <row r="495" spans="2:2">
      <c r="B495" s="185"/>
    </row>
    <row r="496" spans="2:2">
      <c r="B496" s="185"/>
    </row>
    <row r="497" spans="2:2">
      <c r="B497" s="185"/>
    </row>
    <row r="498" spans="2:2">
      <c r="B498" s="185"/>
    </row>
    <row r="499" spans="2:2">
      <c r="B499" s="185"/>
    </row>
    <row r="500" spans="2:2">
      <c r="B500" s="185"/>
    </row>
    <row r="501" spans="2:2">
      <c r="B501" s="185"/>
    </row>
    <row r="502" spans="2:2">
      <c r="B502" s="185"/>
    </row>
    <row r="503" spans="2:2">
      <c r="B503" s="185"/>
    </row>
    <row r="504" spans="2:2">
      <c r="B504" s="185"/>
    </row>
    <row r="505" spans="2:2">
      <c r="B505" s="185"/>
    </row>
    <row r="506" spans="2:2">
      <c r="B506" s="185"/>
    </row>
    <row r="507" spans="2:2">
      <c r="B507" s="185"/>
    </row>
    <row r="508" spans="2:2">
      <c r="B508" s="185"/>
    </row>
    <row r="509" spans="2:2">
      <c r="B509" s="185"/>
    </row>
    <row r="510" spans="2:2">
      <c r="B510" s="185"/>
    </row>
    <row r="511" spans="2:2">
      <c r="B511" s="185"/>
    </row>
    <row r="512" spans="2:2">
      <c r="B512" s="185"/>
    </row>
    <row r="513" spans="2:2">
      <c r="B513" s="185"/>
    </row>
    <row r="514" spans="2:2">
      <c r="B514" s="185"/>
    </row>
    <row r="515" spans="2:2">
      <c r="B515" s="185"/>
    </row>
    <row r="516" spans="2:2">
      <c r="B516" s="185"/>
    </row>
    <row r="517" spans="2:2">
      <c r="B517" s="185"/>
    </row>
    <row r="518" spans="2:2">
      <c r="B518" s="185"/>
    </row>
    <row r="519" spans="2:2">
      <c r="B519" s="185"/>
    </row>
    <row r="520" spans="2:2">
      <c r="B520" s="185"/>
    </row>
    <row r="521" spans="2:2">
      <c r="B521" s="185"/>
    </row>
    <row r="522" spans="2:2">
      <c r="B522" s="185"/>
    </row>
    <row r="523" spans="2:2">
      <c r="B523" s="185"/>
    </row>
    <row r="524" spans="2:2">
      <c r="B524" s="185"/>
    </row>
    <row r="525" spans="2:2">
      <c r="B525" s="185"/>
    </row>
    <row r="526" spans="2:2">
      <c r="B526" s="185"/>
    </row>
    <row r="527" spans="2:2">
      <c r="B527" s="185"/>
    </row>
    <row r="528" spans="2:2">
      <c r="B528" s="185"/>
    </row>
    <row r="529" spans="2:2">
      <c r="B529" s="185"/>
    </row>
    <row r="530" spans="2:2">
      <c r="B530" s="185"/>
    </row>
    <row r="531" spans="2:2">
      <c r="B531" s="185"/>
    </row>
    <row r="532" spans="2:2">
      <c r="B532" s="185"/>
    </row>
    <row r="533" spans="2:2">
      <c r="B533" s="185"/>
    </row>
    <row r="534" spans="2:2">
      <c r="B534" s="185"/>
    </row>
    <row r="535" spans="2:2">
      <c r="B535" s="185"/>
    </row>
    <row r="536" spans="2:2">
      <c r="B536" s="185"/>
    </row>
    <row r="537" spans="2:2">
      <c r="B537" s="185"/>
    </row>
    <row r="538" spans="2:2">
      <c r="B538" s="185"/>
    </row>
    <row r="539" spans="2:2">
      <c r="B539" s="185"/>
    </row>
    <row r="540" spans="2:2">
      <c r="B540" s="185"/>
    </row>
    <row r="541" spans="2:2">
      <c r="B541" s="185"/>
    </row>
    <row r="542" spans="2:2">
      <c r="B542" s="185"/>
    </row>
    <row r="543" spans="2:2">
      <c r="B543" s="185"/>
    </row>
    <row r="544" spans="2:2">
      <c r="B544" s="185"/>
    </row>
    <row r="545" spans="2:2">
      <c r="B545" s="185"/>
    </row>
    <row r="546" spans="2:2">
      <c r="B546" s="185"/>
    </row>
    <row r="547" spans="2:2">
      <c r="B547" s="185"/>
    </row>
    <row r="548" spans="2:2">
      <c r="B548" s="185"/>
    </row>
    <row r="549" spans="2:2">
      <c r="B549" s="185"/>
    </row>
    <row r="550" spans="2:2">
      <c r="B550" s="185"/>
    </row>
    <row r="551" spans="2:2">
      <c r="B551" s="185"/>
    </row>
    <row r="552" spans="2:2">
      <c r="B552" s="185"/>
    </row>
    <row r="553" spans="2:2">
      <c r="B553" s="185"/>
    </row>
    <row r="554" spans="2:2">
      <c r="B554" s="185"/>
    </row>
    <row r="555" spans="2:2">
      <c r="B555" s="185"/>
    </row>
    <row r="556" spans="2:2">
      <c r="B556" s="185"/>
    </row>
    <row r="557" spans="2:2">
      <c r="B557" s="185"/>
    </row>
    <row r="558" spans="2:2">
      <c r="B558" s="185"/>
    </row>
    <row r="559" spans="2:2">
      <c r="B559" s="185"/>
    </row>
    <row r="560" spans="2:2">
      <c r="B560" s="185"/>
    </row>
    <row r="561" spans="2:2">
      <c r="B561" s="185"/>
    </row>
    <row r="562" spans="2:2">
      <c r="B562" s="185"/>
    </row>
    <row r="563" spans="2:2">
      <c r="B563" s="185"/>
    </row>
    <row r="564" spans="2:2">
      <c r="B564" s="185"/>
    </row>
    <row r="565" spans="2:2">
      <c r="B565" s="185"/>
    </row>
    <row r="566" spans="2:2">
      <c r="B566" s="185"/>
    </row>
    <row r="567" spans="2:2">
      <c r="B567" s="185"/>
    </row>
    <row r="568" spans="2:2">
      <c r="B568" s="185"/>
    </row>
    <row r="569" spans="2:2">
      <c r="B569" s="185"/>
    </row>
    <row r="570" spans="2:2">
      <c r="B570" s="185"/>
    </row>
    <row r="571" spans="2:2">
      <c r="B571" s="185"/>
    </row>
    <row r="572" spans="2:2">
      <c r="B572" s="185"/>
    </row>
    <row r="573" spans="2:2">
      <c r="B573" s="185"/>
    </row>
    <row r="574" spans="2:2">
      <c r="B574" s="185"/>
    </row>
    <row r="575" spans="2:2">
      <c r="B575" s="185"/>
    </row>
    <row r="576" spans="2:2">
      <c r="B576" s="185"/>
    </row>
    <row r="577" spans="2:2">
      <c r="B577" s="185"/>
    </row>
    <row r="578" spans="2:2">
      <c r="B578" s="185"/>
    </row>
    <row r="579" spans="2:2">
      <c r="B579" s="185"/>
    </row>
    <row r="580" spans="2:2">
      <c r="B580" s="185"/>
    </row>
    <row r="581" spans="2:2">
      <c r="B581" s="185"/>
    </row>
    <row r="582" spans="2:2">
      <c r="B582" s="185"/>
    </row>
    <row r="583" spans="2:2">
      <c r="B583" s="185"/>
    </row>
    <row r="584" spans="2:2">
      <c r="B584" s="185"/>
    </row>
    <row r="585" spans="2:2">
      <c r="B585" s="185"/>
    </row>
    <row r="586" spans="2:2">
      <c r="B586" s="185"/>
    </row>
    <row r="587" spans="2:2">
      <c r="B587" s="185"/>
    </row>
    <row r="588" spans="2:2">
      <c r="B588" s="185"/>
    </row>
    <row r="589" spans="2:2">
      <c r="B589" s="185"/>
    </row>
    <row r="590" spans="2:2">
      <c r="B590" s="185"/>
    </row>
    <row r="591" spans="2:2">
      <c r="B591" s="185"/>
    </row>
    <row r="592" spans="2:2">
      <c r="B592" s="185"/>
    </row>
    <row r="593" spans="2:2">
      <c r="B593" s="185"/>
    </row>
    <row r="594" spans="2:2">
      <c r="B594" s="185"/>
    </row>
    <row r="595" spans="2:2">
      <c r="B595" s="185"/>
    </row>
    <row r="596" spans="2:2">
      <c r="B596" s="185"/>
    </row>
    <row r="597" spans="2:2">
      <c r="B597" s="185"/>
    </row>
    <row r="598" spans="2:2">
      <c r="B598" s="185"/>
    </row>
    <row r="599" spans="2:2">
      <c r="B599" s="185"/>
    </row>
    <row r="600" spans="2:2">
      <c r="B600" s="185"/>
    </row>
    <row r="601" spans="2:2">
      <c r="B601" s="185"/>
    </row>
    <row r="602" spans="2:2">
      <c r="B602" s="185"/>
    </row>
    <row r="603" spans="2:2">
      <c r="B603" s="185"/>
    </row>
    <row r="604" spans="2:2">
      <c r="B604" s="185"/>
    </row>
    <row r="605" spans="2:2">
      <c r="B605" s="185"/>
    </row>
    <row r="606" spans="2:2">
      <c r="B606" s="185"/>
    </row>
    <row r="607" spans="2:2">
      <c r="B607" s="185"/>
    </row>
    <row r="608" spans="2:2">
      <c r="B608" s="185"/>
    </row>
    <row r="609" spans="2:2">
      <c r="B609" s="185"/>
    </row>
    <row r="610" spans="2:2">
      <c r="B610" s="185"/>
    </row>
    <row r="611" spans="2:2">
      <c r="B611" s="185"/>
    </row>
    <row r="612" spans="2:2">
      <c r="B612" s="185"/>
    </row>
    <row r="613" spans="2:2">
      <c r="B613" s="185"/>
    </row>
    <row r="614" spans="2:2">
      <c r="B614" s="185"/>
    </row>
    <row r="615" spans="2:2">
      <c r="B615" s="185"/>
    </row>
    <row r="616" spans="2:2">
      <c r="B616" s="185"/>
    </row>
    <row r="617" spans="2:2">
      <c r="B617" s="185"/>
    </row>
    <row r="618" spans="2:2">
      <c r="B618" s="185"/>
    </row>
    <row r="619" spans="2:2">
      <c r="B619" s="185"/>
    </row>
    <row r="620" spans="2:2">
      <c r="B620" s="185"/>
    </row>
    <row r="621" spans="2:2">
      <c r="B621" s="185"/>
    </row>
    <row r="622" spans="2:2">
      <c r="B622" s="185"/>
    </row>
    <row r="623" spans="2:2">
      <c r="B623" s="185"/>
    </row>
    <row r="624" spans="2:2">
      <c r="B624" s="185"/>
    </row>
    <row r="625" spans="2:2">
      <c r="B625" s="185"/>
    </row>
    <row r="626" spans="2:2">
      <c r="B626" s="185"/>
    </row>
    <row r="627" spans="2:2">
      <c r="B627" s="185"/>
    </row>
    <row r="628" spans="2:2">
      <c r="B628" s="185"/>
    </row>
    <row r="629" spans="2:2">
      <c r="B629" s="185"/>
    </row>
    <row r="630" spans="2:2">
      <c r="B630" s="185"/>
    </row>
    <row r="631" spans="2:2">
      <c r="B631" s="185"/>
    </row>
    <row r="632" spans="2:2">
      <c r="B632" s="185"/>
    </row>
    <row r="633" spans="2:2">
      <c r="B633" s="185"/>
    </row>
    <row r="634" spans="2:2">
      <c r="B634" s="185"/>
    </row>
    <row r="635" spans="2:2">
      <c r="B635" s="185"/>
    </row>
    <row r="636" spans="2:2">
      <c r="B636" s="185"/>
    </row>
    <row r="637" spans="2:2">
      <c r="B637" s="185"/>
    </row>
    <row r="638" spans="2:2">
      <c r="B638" s="185"/>
    </row>
    <row r="639" spans="2:2">
      <c r="B639" s="185"/>
    </row>
    <row r="640" spans="2:2">
      <c r="B640" s="185"/>
    </row>
    <row r="641" spans="2:2">
      <c r="B641" s="185"/>
    </row>
    <row r="642" spans="2:2">
      <c r="B642" s="185"/>
    </row>
    <row r="643" spans="2:2">
      <c r="B643" s="185"/>
    </row>
    <row r="644" spans="2:2">
      <c r="B644" s="185"/>
    </row>
    <row r="645" spans="2:2">
      <c r="B645" s="185"/>
    </row>
    <row r="646" spans="2:2">
      <c r="B646" s="185"/>
    </row>
    <row r="647" spans="2:2">
      <c r="B647" s="185"/>
    </row>
    <row r="648" spans="2:2">
      <c r="B648" s="185"/>
    </row>
    <row r="649" spans="2:2">
      <c r="B649" s="185"/>
    </row>
    <row r="650" spans="2:2">
      <c r="B650" s="185"/>
    </row>
    <row r="651" spans="2:2">
      <c r="B651" s="185"/>
    </row>
    <row r="652" spans="2:2">
      <c r="B652" s="185"/>
    </row>
    <row r="653" spans="2:2">
      <c r="B653" s="185"/>
    </row>
    <row r="654" spans="2:2">
      <c r="B654" s="185"/>
    </row>
    <row r="655" spans="2:2">
      <c r="B655" s="185"/>
    </row>
    <row r="656" spans="2:2">
      <c r="B656" s="185"/>
    </row>
    <row r="657" spans="2:2">
      <c r="B657" s="185"/>
    </row>
    <row r="658" spans="2:2">
      <c r="B658" s="185"/>
    </row>
    <row r="659" spans="2:2">
      <c r="B659" s="185"/>
    </row>
    <row r="660" spans="2:2">
      <c r="B660" s="185"/>
    </row>
    <row r="661" spans="2:2">
      <c r="B661" s="185"/>
    </row>
    <row r="662" spans="2:2">
      <c r="B662" s="185"/>
    </row>
    <row r="663" spans="2:2">
      <c r="B663" s="185"/>
    </row>
    <row r="664" spans="2:2">
      <c r="B664" s="185"/>
    </row>
    <row r="665" spans="2:2">
      <c r="B665" s="185"/>
    </row>
    <row r="666" spans="2:2">
      <c r="B666" s="185"/>
    </row>
    <row r="667" spans="2:2">
      <c r="B667" s="185"/>
    </row>
    <row r="668" spans="2:2">
      <c r="B668" s="185"/>
    </row>
    <row r="669" spans="2:2">
      <c r="B669" s="185"/>
    </row>
    <row r="670" spans="2:2">
      <c r="B670" s="185"/>
    </row>
    <row r="671" spans="2:2">
      <c r="B671" s="185"/>
    </row>
    <row r="672" spans="2:2">
      <c r="B672" s="185"/>
    </row>
    <row r="673" spans="2:2">
      <c r="B673" s="185"/>
    </row>
    <row r="674" spans="2:2">
      <c r="B674" s="185"/>
    </row>
    <row r="675" spans="2:2">
      <c r="B675" s="185"/>
    </row>
    <row r="676" spans="2:2">
      <c r="B676" s="185"/>
    </row>
    <row r="677" spans="2:2">
      <c r="B677" s="185"/>
    </row>
    <row r="678" spans="2:2">
      <c r="B678" s="185"/>
    </row>
    <row r="679" spans="2:2">
      <c r="B679" s="185"/>
    </row>
    <row r="680" spans="2:2">
      <c r="B680" s="185"/>
    </row>
    <row r="681" spans="2:2">
      <c r="B681" s="185"/>
    </row>
    <row r="682" spans="2:2">
      <c r="B682" s="185"/>
    </row>
    <row r="683" spans="2:2">
      <c r="B683" s="185"/>
    </row>
    <row r="684" spans="2:2">
      <c r="B684" s="185"/>
    </row>
    <row r="685" spans="2:2">
      <c r="B685" s="185"/>
    </row>
    <row r="686" spans="2:2">
      <c r="B686" s="185"/>
    </row>
    <row r="687" spans="2:2">
      <c r="B687" s="185"/>
    </row>
    <row r="688" spans="2:2">
      <c r="B688" s="185"/>
    </row>
    <row r="689" spans="2:2">
      <c r="B689" s="185"/>
    </row>
    <row r="690" spans="2:2">
      <c r="B690" s="185"/>
    </row>
    <row r="691" spans="2:2">
      <c r="B691" s="185"/>
    </row>
    <row r="692" spans="2:2">
      <c r="B692" s="185"/>
    </row>
    <row r="693" spans="2:2">
      <c r="B693" s="185"/>
    </row>
    <row r="694" spans="2:2">
      <c r="B694" s="185"/>
    </row>
    <row r="695" spans="2:2">
      <c r="B695" s="185"/>
    </row>
    <row r="696" spans="2:2">
      <c r="B696" s="185"/>
    </row>
    <row r="697" spans="2:2">
      <c r="B697" s="185"/>
    </row>
    <row r="698" spans="2:2">
      <c r="B698" s="185"/>
    </row>
    <row r="699" spans="2:2">
      <c r="B699" s="185"/>
    </row>
    <row r="700" spans="2:2">
      <c r="B700" s="185"/>
    </row>
    <row r="701" spans="2:2">
      <c r="B701" s="185"/>
    </row>
    <row r="702" spans="2:2">
      <c r="B702" s="185"/>
    </row>
    <row r="703" spans="2:2">
      <c r="B703" s="185"/>
    </row>
    <row r="704" spans="2:2">
      <c r="B704" s="185"/>
    </row>
    <row r="705" spans="2:2">
      <c r="B705" s="185"/>
    </row>
    <row r="706" spans="2:2">
      <c r="B706" s="185"/>
    </row>
    <row r="707" spans="2:2">
      <c r="B707" s="185"/>
    </row>
    <row r="708" spans="2:2">
      <c r="B708" s="185"/>
    </row>
    <row r="709" spans="2:2">
      <c r="B709" s="185"/>
    </row>
    <row r="710" spans="2:2">
      <c r="B710" s="185"/>
    </row>
    <row r="711" spans="2:2">
      <c r="B711" s="185"/>
    </row>
    <row r="712" spans="2:2">
      <c r="B712" s="185"/>
    </row>
    <row r="713" spans="2:2">
      <c r="B713" s="185"/>
    </row>
    <row r="714" spans="2:2">
      <c r="B714" s="185"/>
    </row>
    <row r="715" spans="2:2">
      <c r="B715" s="185"/>
    </row>
    <row r="716" spans="2:2">
      <c r="B716" s="185"/>
    </row>
    <row r="717" spans="2:2">
      <c r="B717" s="185"/>
    </row>
    <row r="718" spans="2:2">
      <c r="B718" s="185"/>
    </row>
    <row r="719" spans="2:2">
      <c r="B719" s="185"/>
    </row>
    <row r="720" spans="2:2">
      <c r="B720" s="185"/>
    </row>
    <row r="721" spans="2:2">
      <c r="B721" s="185"/>
    </row>
    <row r="722" spans="2:2">
      <c r="B722" s="185"/>
    </row>
    <row r="723" spans="2:2">
      <c r="B723" s="185"/>
    </row>
    <row r="724" spans="2:2">
      <c r="B724" s="185"/>
    </row>
    <row r="725" spans="2:2">
      <c r="B725" s="185"/>
    </row>
    <row r="726" spans="2:2">
      <c r="B726" s="185"/>
    </row>
    <row r="727" spans="2:2">
      <c r="B727" s="185"/>
    </row>
    <row r="728" spans="2:2">
      <c r="B728" s="185"/>
    </row>
    <row r="729" spans="2:2">
      <c r="B729" s="185"/>
    </row>
    <row r="730" spans="2:2">
      <c r="B730" s="185"/>
    </row>
    <row r="731" spans="2:2">
      <c r="B731" s="185"/>
    </row>
    <row r="732" spans="2:2">
      <c r="B732" s="185"/>
    </row>
    <row r="733" spans="2:2">
      <c r="B733" s="185"/>
    </row>
    <row r="734" spans="2:2">
      <c r="B734" s="185"/>
    </row>
    <row r="735" spans="2:2">
      <c r="B735" s="185"/>
    </row>
    <row r="736" spans="2:2">
      <c r="B736" s="185"/>
    </row>
    <row r="737" spans="2:2">
      <c r="B737" s="185"/>
    </row>
    <row r="738" spans="2:2">
      <c r="B738" s="185"/>
    </row>
    <row r="739" spans="2:2">
      <c r="B739" s="185"/>
    </row>
    <row r="740" spans="2:2">
      <c r="B740" s="185"/>
    </row>
    <row r="741" spans="2:2">
      <c r="B741" s="185"/>
    </row>
    <row r="742" spans="2:2">
      <c r="B742" s="185"/>
    </row>
    <row r="743" spans="2:2">
      <c r="B743" s="185"/>
    </row>
    <row r="744" spans="2:2">
      <c r="B744" s="185"/>
    </row>
    <row r="745" spans="2:2">
      <c r="B745" s="185"/>
    </row>
    <row r="746" spans="2:2">
      <c r="B746" s="185"/>
    </row>
    <row r="747" spans="2:2">
      <c r="B747" s="185"/>
    </row>
    <row r="748" spans="2:2">
      <c r="B748" s="185"/>
    </row>
    <row r="749" spans="2:2">
      <c r="B749" s="185"/>
    </row>
    <row r="750" spans="2:2">
      <c r="B750" s="185"/>
    </row>
    <row r="751" spans="2:2">
      <c r="B751" s="185"/>
    </row>
    <row r="752" spans="2:2">
      <c r="B752" s="185"/>
    </row>
    <row r="753" spans="2:2">
      <c r="B753" s="185"/>
    </row>
    <row r="754" spans="2:2">
      <c r="B754" s="185"/>
    </row>
    <row r="755" spans="2:2">
      <c r="B755" s="185"/>
    </row>
    <row r="756" spans="2:2">
      <c r="B756" s="185"/>
    </row>
    <row r="757" spans="2:2">
      <c r="B757" s="185"/>
    </row>
    <row r="758" spans="2:2">
      <c r="B758" s="185"/>
    </row>
    <row r="759" spans="2:2">
      <c r="B759" s="185"/>
    </row>
    <row r="760" spans="2:2">
      <c r="B760" s="185"/>
    </row>
    <row r="761" spans="2:2">
      <c r="B761" s="185"/>
    </row>
    <row r="762" spans="2:2">
      <c r="B762" s="185"/>
    </row>
    <row r="763" spans="2:2">
      <c r="B763" s="185"/>
    </row>
    <row r="764" spans="2:2">
      <c r="B764" s="185"/>
    </row>
    <row r="765" spans="2:2">
      <c r="B765" s="185"/>
    </row>
    <row r="766" spans="2:2">
      <c r="B766" s="185"/>
    </row>
    <row r="767" spans="2:2">
      <c r="B767" s="185"/>
    </row>
    <row r="768" spans="2:2">
      <c r="B768" s="185"/>
    </row>
    <row r="769" spans="2:2">
      <c r="B769" s="185"/>
    </row>
    <row r="770" spans="2:2">
      <c r="B770" s="185"/>
    </row>
    <row r="771" spans="2:2">
      <c r="B771" s="185"/>
    </row>
    <row r="772" spans="2:2">
      <c r="B772" s="185"/>
    </row>
    <row r="773" spans="2:2">
      <c r="B773" s="185"/>
    </row>
    <row r="774" spans="2:2">
      <c r="B774" s="185"/>
    </row>
    <row r="775" spans="2:2">
      <c r="B775" s="185"/>
    </row>
    <row r="776" spans="2:2">
      <c r="B776" s="185"/>
    </row>
    <row r="777" spans="2:2">
      <c r="B777" s="185"/>
    </row>
    <row r="778" spans="2:2">
      <c r="B778" s="185"/>
    </row>
    <row r="779" spans="2:2">
      <c r="B779" s="185"/>
    </row>
    <row r="780" spans="2:2">
      <c r="B780" s="185"/>
    </row>
    <row r="781" spans="2:2">
      <c r="B781" s="185"/>
    </row>
    <row r="782" spans="2:2">
      <c r="B782" s="185"/>
    </row>
    <row r="783" spans="2:2">
      <c r="B783" s="185"/>
    </row>
    <row r="784" spans="2:2">
      <c r="B784" s="185"/>
    </row>
    <row r="785" spans="2:2">
      <c r="B785" s="185"/>
    </row>
    <row r="786" spans="2:2">
      <c r="B786" s="185"/>
    </row>
    <row r="787" spans="2:2">
      <c r="B787" s="185"/>
    </row>
    <row r="788" spans="2:2">
      <c r="B788" s="185"/>
    </row>
    <row r="789" spans="2:2">
      <c r="B789" s="185"/>
    </row>
    <row r="790" spans="2:2">
      <c r="B790" s="185"/>
    </row>
    <row r="791" spans="2:2">
      <c r="B791" s="185"/>
    </row>
    <row r="792" spans="2:2">
      <c r="B792" s="185"/>
    </row>
    <row r="793" spans="2:2">
      <c r="B793" s="185"/>
    </row>
    <row r="794" spans="2:2">
      <c r="B794" s="185"/>
    </row>
    <row r="795" spans="2:2">
      <c r="B795" s="185"/>
    </row>
    <row r="796" spans="2:2">
      <c r="B796" s="185"/>
    </row>
    <row r="797" spans="2:2">
      <c r="B797" s="185"/>
    </row>
    <row r="798" spans="2:2">
      <c r="B798" s="185"/>
    </row>
    <row r="799" spans="2:2">
      <c r="B799" s="185"/>
    </row>
    <row r="800" spans="2:2">
      <c r="B800" s="185"/>
    </row>
    <row r="801" spans="2:2">
      <c r="B801" s="185"/>
    </row>
    <row r="802" spans="2:2">
      <c r="B802" s="185"/>
    </row>
    <row r="803" spans="2:2">
      <c r="B803" s="185"/>
    </row>
    <row r="804" spans="2:2">
      <c r="B804" s="185"/>
    </row>
    <row r="805" spans="2:2">
      <c r="B805" s="185"/>
    </row>
    <row r="806" spans="2:2">
      <c r="B806" s="185"/>
    </row>
    <row r="807" spans="2:2">
      <c r="B807" s="185"/>
    </row>
    <row r="808" spans="2:2">
      <c r="B808" s="185"/>
    </row>
    <row r="809" spans="2:2">
      <c r="B809" s="185"/>
    </row>
    <row r="810" spans="2:2">
      <c r="B810" s="185"/>
    </row>
    <row r="811" spans="2:2">
      <c r="B811" s="185"/>
    </row>
    <row r="812" spans="2:2">
      <c r="B812" s="185"/>
    </row>
    <row r="813" spans="2:2">
      <c r="B813" s="185"/>
    </row>
    <row r="814" spans="2:2">
      <c r="B814" s="185"/>
    </row>
    <row r="815" spans="2:2">
      <c r="B815" s="185"/>
    </row>
    <row r="816" spans="2:2">
      <c r="B816" s="185"/>
    </row>
    <row r="817" spans="2:2">
      <c r="B817" s="185"/>
    </row>
    <row r="818" spans="2:2">
      <c r="B818" s="185"/>
    </row>
    <row r="819" spans="2:2">
      <c r="B819" s="185"/>
    </row>
    <row r="820" spans="2:2">
      <c r="B820" s="185"/>
    </row>
    <row r="821" spans="2:2">
      <c r="B821" s="185"/>
    </row>
    <row r="822" spans="2:2">
      <c r="B822" s="185"/>
    </row>
    <row r="823" spans="2:2">
      <c r="B823" s="185"/>
    </row>
    <row r="824" spans="2:2">
      <c r="B824" s="185"/>
    </row>
    <row r="825" spans="2:2">
      <c r="B825" s="185"/>
    </row>
    <row r="826" spans="2:2">
      <c r="B826" s="185"/>
    </row>
    <row r="827" spans="2:2">
      <c r="B827" s="185"/>
    </row>
    <row r="828" spans="2:2">
      <c r="B828" s="185"/>
    </row>
    <row r="829" spans="2:2">
      <c r="B829" s="185"/>
    </row>
    <row r="830" spans="2:2">
      <c r="B830" s="185"/>
    </row>
    <row r="831" spans="2:2">
      <c r="B831" s="185"/>
    </row>
    <row r="832" spans="2:2">
      <c r="B832" s="185"/>
    </row>
    <row r="833" spans="2:2">
      <c r="B833" s="185"/>
    </row>
    <row r="834" spans="2:2">
      <c r="B834" s="185"/>
    </row>
    <row r="835" spans="2:2">
      <c r="B835" s="185"/>
    </row>
    <row r="836" spans="2:2">
      <c r="B836" s="185"/>
    </row>
    <row r="837" spans="2:2">
      <c r="B837" s="185"/>
    </row>
    <row r="838" spans="2:2">
      <c r="B838" s="185"/>
    </row>
    <row r="839" spans="2:2">
      <c r="B839" s="185"/>
    </row>
    <row r="840" spans="2:2">
      <c r="B840" s="185"/>
    </row>
    <row r="841" spans="2:2">
      <c r="B841" s="185"/>
    </row>
    <row r="842" spans="2:2">
      <c r="B842" s="185"/>
    </row>
    <row r="843" spans="2:2">
      <c r="B843" s="185"/>
    </row>
    <row r="844" spans="2:2">
      <c r="B844" s="185"/>
    </row>
    <row r="845" spans="2:2">
      <c r="B845" s="185"/>
    </row>
    <row r="846" spans="2:2">
      <c r="B846" s="185"/>
    </row>
    <row r="847" spans="2:2">
      <c r="B847" s="185"/>
    </row>
    <row r="848" spans="2:2">
      <c r="B848" s="185"/>
    </row>
    <row r="849" spans="2:2">
      <c r="B849" s="185"/>
    </row>
    <row r="850" spans="2:2">
      <c r="B850" s="185"/>
    </row>
    <row r="851" spans="2:2">
      <c r="B851" s="185"/>
    </row>
    <row r="852" spans="2:2">
      <c r="B852" s="185"/>
    </row>
    <row r="853" spans="2:2">
      <c r="B853" s="185"/>
    </row>
    <row r="854" spans="2:2">
      <c r="B854" s="185"/>
    </row>
    <row r="855" spans="2:2">
      <c r="B855" s="185"/>
    </row>
    <row r="856" spans="2:2">
      <c r="B856" s="185"/>
    </row>
    <row r="857" spans="2:2">
      <c r="B857" s="185"/>
    </row>
    <row r="858" spans="2:2">
      <c r="B858" s="185"/>
    </row>
    <row r="859" spans="2:2">
      <c r="B859" s="185"/>
    </row>
    <row r="860" spans="2:2">
      <c r="B860" s="185"/>
    </row>
    <row r="861" spans="2:2">
      <c r="B861" s="185"/>
    </row>
    <row r="862" spans="2:2">
      <c r="B862" s="185"/>
    </row>
    <row r="863" spans="2:2">
      <c r="B863" s="185"/>
    </row>
    <row r="864" spans="2:2">
      <c r="B864" s="185"/>
    </row>
    <row r="865" spans="2:2">
      <c r="B865" s="185"/>
    </row>
    <row r="866" spans="2:2">
      <c r="B866" s="185"/>
    </row>
    <row r="867" spans="2:2">
      <c r="B867" s="185"/>
    </row>
    <row r="868" spans="2:2">
      <c r="B868" s="185"/>
    </row>
    <row r="869" spans="2:2">
      <c r="B869" s="185"/>
    </row>
    <row r="870" spans="2:2">
      <c r="B870" s="185"/>
    </row>
    <row r="871" spans="2:2">
      <c r="B871" s="185"/>
    </row>
    <row r="872" spans="2:2">
      <c r="B872" s="185"/>
    </row>
    <row r="873" spans="2:2">
      <c r="B873" s="185"/>
    </row>
    <row r="874" spans="2:2">
      <c r="B874" s="185"/>
    </row>
    <row r="875" spans="2:2">
      <c r="B875" s="185"/>
    </row>
    <row r="876" spans="2:2">
      <c r="B876" s="185"/>
    </row>
    <row r="877" spans="2:2">
      <c r="B877" s="185"/>
    </row>
    <row r="878" spans="2:2">
      <c r="B878" s="185"/>
    </row>
    <row r="879" spans="2:2">
      <c r="B879" s="185"/>
    </row>
    <row r="880" spans="2:2">
      <c r="B880" s="185"/>
    </row>
    <row r="881" spans="2:2">
      <c r="B881" s="185"/>
    </row>
    <row r="882" spans="2:2">
      <c r="B882" s="185"/>
    </row>
    <row r="883" spans="2:2">
      <c r="B883" s="185"/>
    </row>
    <row r="884" spans="2:2">
      <c r="B884" s="185"/>
    </row>
    <row r="885" spans="2:2">
      <c r="B885" s="185"/>
    </row>
    <row r="886" spans="2:2">
      <c r="B886" s="185"/>
    </row>
    <row r="887" spans="2:2">
      <c r="B887" s="185"/>
    </row>
    <row r="888" spans="2:2">
      <c r="B888" s="185"/>
    </row>
    <row r="889" spans="2:2">
      <c r="B889" s="185"/>
    </row>
    <row r="890" spans="2:2">
      <c r="B890" s="185"/>
    </row>
    <row r="891" spans="2:2">
      <c r="B891" s="185"/>
    </row>
    <row r="892" spans="2:2">
      <c r="B892" s="185"/>
    </row>
    <row r="893" spans="2:2">
      <c r="B893" s="185"/>
    </row>
    <row r="894" spans="2:2">
      <c r="B894" s="185"/>
    </row>
    <row r="895" spans="2:2">
      <c r="B895" s="185"/>
    </row>
    <row r="896" spans="2:2">
      <c r="B896" s="185"/>
    </row>
    <row r="897" spans="2:2">
      <c r="B897" s="185"/>
    </row>
    <row r="898" spans="2:2">
      <c r="B898" s="185"/>
    </row>
    <row r="899" spans="2:2">
      <c r="B899" s="185"/>
    </row>
    <row r="900" spans="2:2">
      <c r="B900" s="185"/>
    </row>
    <row r="901" spans="2:2">
      <c r="B901" s="185"/>
    </row>
    <row r="902" spans="2:2">
      <c r="B902" s="185"/>
    </row>
    <row r="903" spans="2:2">
      <c r="B903" s="185"/>
    </row>
    <row r="904" spans="2:2">
      <c r="B904" s="185"/>
    </row>
    <row r="905" spans="2:2">
      <c r="B905" s="185"/>
    </row>
    <row r="906" spans="2:2">
      <c r="B906" s="185"/>
    </row>
    <row r="907" spans="2:2">
      <c r="B907" s="185"/>
    </row>
    <row r="908" spans="2:2">
      <c r="B908" s="185"/>
    </row>
    <row r="909" spans="2:2">
      <c r="B909" s="185"/>
    </row>
    <row r="910" spans="2:2">
      <c r="B910" s="185"/>
    </row>
    <row r="911" spans="2:2">
      <c r="B911" s="185"/>
    </row>
    <row r="912" spans="2:2">
      <c r="B912" s="185"/>
    </row>
    <row r="913" spans="2:2">
      <c r="B913" s="185"/>
    </row>
    <row r="914" spans="2:2">
      <c r="B914" s="185"/>
    </row>
    <row r="915" spans="2:2">
      <c r="B915" s="185"/>
    </row>
    <row r="916" spans="2:2">
      <c r="B916" s="185"/>
    </row>
    <row r="917" spans="2:2">
      <c r="B917" s="185"/>
    </row>
    <row r="918" spans="2:2">
      <c r="B918" s="185"/>
    </row>
    <row r="919" spans="2:2">
      <c r="B919" s="185"/>
    </row>
    <row r="920" spans="2:2">
      <c r="B920" s="185"/>
    </row>
    <row r="921" spans="2:2">
      <c r="B921" s="185"/>
    </row>
    <row r="922" spans="2:2">
      <c r="B922" s="185"/>
    </row>
    <row r="923" spans="2:2">
      <c r="B923" s="185"/>
    </row>
    <row r="924" spans="2:2">
      <c r="B924" s="185"/>
    </row>
    <row r="925" spans="2:2">
      <c r="B925" s="185"/>
    </row>
    <row r="926" spans="2:2">
      <c r="B926" s="185"/>
    </row>
    <row r="927" spans="2:2">
      <c r="B927" s="185"/>
    </row>
    <row r="928" spans="2:2">
      <c r="B928" s="185"/>
    </row>
    <row r="929" spans="2:2">
      <c r="B929" s="185"/>
    </row>
    <row r="930" spans="2:2">
      <c r="B930" s="185"/>
    </row>
    <row r="931" spans="2:2">
      <c r="B931" s="185"/>
    </row>
    <row r="932" spans="2:2">
      <c r="B932" s="185"/>
    </row>
    <row r="933" spans="2:2">
      <c r="B933" s="185"/>
    </row>
    <row r="934" spans="2:2">
      <c r="B934" s="185"/>
    </row>
    <row r="935" spans="2:2">
      <c r="B935" s="185"/>
    </row>
    <row r="936" spans="2:2">
      <c r="B936" s="185"/>
    </row>
    <row r="937" spans="2:2">
      <c r="B937" s="185"/>
    </row>
    <row r="938" spans="2:2">
      <c r="B938" s="185"/>
    </row>
    <row r="939" spans="2:2">
      <c r="B939" s="185"/>
    </row>
    <row r="940" spans="2:2">
      <c r="B940" s="185"/>
    </row>
    <row r="941" spans="2:2">
      <c r="B941" s="185"/>
    </row>
    <row r="942" spans="2:2">
      <c r="B942" s="185"/>
    </row>
    <row r="943" spans="2:2">
      <c r="B943" s="185"/>
    </row>
    <row r="944" spans="2:2">
      <c r="B944" s="185"/>
    </row>
    <row r="945" spans="2:2">
      <c r="B945" s="185"/>
    </row>
    <row r="946" spans="2:2">
      <c r="B946" s="185"/>
    </row>
    <row r="947" spans="2:2">
      <c r="B947" s="185"/>
    </row>
    <row r="948" spans="2:2">
      <c r="B948" s="185"/>
    </row>
    <row r="949" spans="2:2">
      <c r="B949" s="185"/>
    </row>
    <row r="950" spans="2:2">
      <c r="B950" s="185"/>
    </row>
    <row r="951" spans="2:2">
      <c r="B951" s="185"/>
    </row>
    <row r="952" spans="2:2">
      <c r="B952" s="185"/>
    </row>
    <row r="953" spans="2:2">
      <c r="B953" s="185"/>
    </row>
    <row r="954" spans="2:2">
      <c r="B954" s="185"/>
    </row>
    <row r="955" spans="2:2">
      <c r="B955" s="185"/>
    </row>
    <row r="956" spans="2:2">
      <c r="B956" s="185"/>
    </row>
    <row r="957" spans="2:2">
      <c r="B957" s="185"/>
    </row>
    <row r="958" spans="2:2">
      <c r="B958" s="185"/>
    </row>
    <row r="959" spans="2:2">
      <c r="B959" s="185"/>
    </row>
    <row r="960" spans="2:2">
      <c r="B960" s="185"/>
    </row>
    <row r="961" spans="2:2">
      <c r="B961" s="185"/>
    </row>
    <row r="962" spans="2:2">
      <c r="B962" s="185"/>
    </row>
    <row r="963" spans="2:2">
      <c r="B963" s="185"/>
    </row>
    <row r="964" spans="2:2">
      <c r="B964" s="185"/>
    </row>
    <row r="965" spans="2:2">
      <c r="B965" s="185"/>
    </row>
    <row r="966" spans="2:2">
      <c r="B966" s="185"/>
    </row>
    <row r="967" spans="2:2">
      <c r="B967" s="185"/>
    </row>
    <row r="968" spans="2:2">
      <c r="B968" s="185"/>
    </row>
    <row r="969" spans="2:2">
      <c r="B969" s="185"/>
    </row>
    <row r="970" spans="2:2">
      <c r="B970" s="185"/>
    </row>
    <row r="971" spans="2:2">
      <c r="B971" s="185"/>
    </row>
    <row r="972" spans="2:2">
      <c r="B972" s="185"/>
    </row>
    <row r="973" spans="2:2">
      <c r="B973" s="185"/>
    </row>
    <row r="974" spans="2:2">
      <c r="B974" s="185"/>
    </row>
    <row r="975" spans="2:2">
      <c r="B975" s="185"/>
    </row>
    <row r="976" spans="2:2">
      <c r="B976" s="185"/>
    </row>
    <row r="977" spans="2:2">
      <c r="B977" s="185"/>
    </row>
    <row r="978" spans="2:2">
      <c r="B978" s="185"/>
    </row>
    <row r="979" spans="2:2">
      <c r="B979" s="185"/>
    </row>
    <row r="980" spans="2:2">
      <c r="B980" s="185"/>
    </row>
    <row r="981" spans="2:2">
      <c r="B981" s="185"/>
    </row>
    <row r="982" spans="2:2">
      <c r="B982" s="185"/>
    </row>
    <row r="983" spans="2:2">
      <c r="B983" s="185"/>
    </row>
    <row r="984" spans="2:2">
      <c r="B984" s="185"/>
    </row>
    <row r="985" spans="2:2">
      <c r="B985" s="185"/>
    </row>
    <row r="986" spans="2:2">
      <c r="B986" s="185"/>
    </row>
    <row r="987" spans="2:2">
      <c r="B987" s="185"/>
    </row>
    <row r="988" spans="2:2">
      <c r="B988" s="185"/>
    </row>
    <row r="989" spans="2:2">
      <c r="B989" s="185"/>
    </row>
    <row r="990" spans="2:2">
      <c r="B990" s="185"/>
    </row>
    <row r="991" spans="2:2">
      <c r="B991" s="185"/>
    </row>
    <row r="992" spans="2:2">
      <c r="B992" s="185"/>
    </row>
    <row r="993" spans="2:2">
      <c r="B993" s="185"/>
    </row>
    <row r="994" spans="2:2">
      <c r="B994" s="185"/>
    </row>
    <row r="995" spans="2:2">
      <c r="B995" s="185"/>
    </row>
    <row r="996" spans="2:2">
      <c r="B996" s="185"/>
    </row>
    <row r="997" spans="2:2">
      <c r="B997" s="185"/>
    </row>
    <row r="998" spans="2:2">
      <c r="B998" s="185"/>
    </row>
    <row r="999" spans="2:2">
      <c r="B999" s="185"/>
    </row>
    <row r="1000" spans="2:2">
      <c r="B1000" s="18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0"/>
  <sheetViews>
    <sheetView workbookViewId="0">
      <selection activeCell="B186" sqref="B186"/>
    </sheetView>
  </sheetViews>
  <sheetFormatPr defaultColWidth="14.42578125" defaultRowHeight="15.75" customHeight="1"/>
  <cols>
    <col min="1" max="1" width="32.7109375" customWidth="1"/>
  </cols>
  <sheetData>
    <row r="1" spans="1:2">
      <c r="A1" s="222" t="s">
        <v>145</v>
      </c>
      <c r="B1" s="185" t="s">
        <v>2828</v>
      </c>
    </row>
    <row r="2" spans="1:2">
      <c r="A2" s="486" t="s">
        <v>279</v>
      </c>
      <c r="B2" s="487" t="s">
        <v>467</v>
      </c>
    </row>
    <row r="3" spans="1:2">
      <c r="A3" s="488" t="s">
        <v>468</v>
      </c>
      <c r="B3" s="489" t="s">
        <v>469</v>
      </c>
    </row>
    <row r="4" spans="1:2">
      <c r="A4" s="486" t="s">
        <v>240</v>
      </c>
      <c r="B4" s="487" t="s">
        <v>470</v>
      </c>
    </row>
    <row r="5" spans="1:2">
      <c r="A5" s="488" t="s">
        <v>219</v>
      </c>
      <c r="B5" s="489" t="s">
        <v>471</v>
      </c>
    </row>
    <row r="6" spans="1:2">
      <c r="A6" s="486" t="s">
        <v>472</v>
      </c>
      <c r="B6" s="487" t="s">
        <v>473</v>
      </c>
    </row>
    <row r="7" spans="1:2">
      <c r="A7" s="488" t="s">
        <v>173</v>
      </c>
      <c r="B7" s="489" t="s">
        <v>474</v>
      </c>
    </row>
    <row r="8" spans="1:2">
      <c r="A8" s="486" t="s">
        <v>405</v>
      </c>
      <c r="B8" s="487" t="s">
        <v>475</v>
      </c>
    </row>
    <row r="9" spans="1:2">
      <c r="A9" s="488" t="s">
        <v>307</v>
      </c>
      <c r="B9" s="489" t="s">
        <v>476</v>
      </c>
    </row>
    <row r="10" spans="1:2">
      <c r="A10" s="486" t="s">
        <v>280</v>
      </c>
      <c r="B10" s="487" t="s">
        <v>477</v>
      </c>
    </row>
    <row r="11" spans="1:2">
      <c r="A11" s="488" t="s">
        <v>478</v>
      </c>
      <c r="B11" s="489" t="s">
        <v>479</v>
      </c>
    </row>
    <row r="12" spans="1:2">
      <c r="A12" s="486" t="s">
        <v>480</v>
      </c>
      <c r="B12" s="487" t="s">
        <v>481</v>
      </c>
    </row>
    <row r="13" spans="1:2">
      <c r="A13" s="488" t="s">
        <v>292</v>
      </c>
      <c r="B13" s="489" t="s">
        <v>482</v>
      </c>
    </row>
    <row r="14" spans="1:2">
      <c r="A14" s="486" t="s">
        <v>483</v>
      </c>
      <c r="B14" s="487" t="s">
        <v>484</v>
      </c>
    </row>
    <row r="15" spans="1:2">
      <c r="A15" s="488" t="s">
        <v>241</v>
      </c>
      <c r="B15" s="489" t="s">
        <v>485</v>
      </c>
    </row>
    <row r="16" spans="1:2">
      <c r="A16" s="486" t="s">
        <v>406</v>
      </c>
      <c r="B16" s="487" t="s">
        <v>486</v>
      </c>
    </row>
    <row r="17" spans="1:2">
      <c r="A17" s="488" t="s">
        <v>407</v>
      </c>
      <c r="B17" s="489" t="s">
        <v>487</v>
      </c>
    </row>
    <row r="18" spans="1:2">
      <c r="A18" s="486" t="s">
        <v>236</v>
      </c>
      <c r="B18" s="487" t="s">
        <v>488</v>
      </c>
    </row>
    <row r="19" spans="1:2">
      <c r="A19" s="488" t="s">
        <v>408</v>
      </c>
      <c r="B19" s="489" t="s">
        <v>489</v>
      </c>
    </row>
    <row r="20" spans="1:2">
      <c r="A20" s="486" t="s">
        <v>242</v>
      </c>
      <c r="B20" s="487" t="s">
        <v>490</v>
      </c>
    </row>
    <row r="21" spans="1:2">
      <c r="A21" s="488" t="s">
        <v>243</v>
      </c>
      <c r="B21" s="489" t="s">
        <v>491</v>
      </c>
    </row>
    <row r="22" spans="1:2">
      <c r="A22" s="486" t="s">
        <v>492</v>
      </c>
      <c r="B22" s="487" t="s">
        <v>2872</v>
      </c>
    </row>
    <row r="23" spans="1:2">
      <c r="A23" s="488" t="s">
        <v>308</v>
      </c>
      <c r="B23" s="489" t="s">
        <v>494</v>
      </c>
    </row>
    <row r="24" spans="1:2">
      <c r="A24" s="486" t="s">
        <v>174</v>
      </c>
      <c r="B24" s="487" t="s">
        <v>495</v>
      </c>
    </row>
    <row r="25" spans="1:2">
      <c r="A25" s="488" t="s">
        <v>496</v>
      </c>
      <c r="B25" s="489" t="s">
        <v>497</v>
      </c>
    </row>
    <row r="26" spans="1:2">
      <c r="A26" s="486" t="s">
        <v>498</v>
      </c>
      <c r="B26" s="487" t="s">
        <v>499</v>
      </c>
    </row>
    <row r="27" spans="1:2">
      <c r="A27" s="488" t="s">
        <v>244</v>
      </c>
      <c r="B27" s="489" t="s">
        <v>500</v>
      </c>
    </row>
    <row r="28" spans="1:2">
      <c r="A28" s="486" t="s">
        <v>175</v>
      </c>
      <c r="B28" s="487" t="s">
        <v>501</v>
      </c>
    </row>
    <row r="29" spans="1:2">
      <c r="A29" s="488" t="s">
        <v>310</v>
      </c>
      <c r="B29" s="489" t="s">
        <v>502</v>
      </c>
    </row>
    <row r="30" spans="1:2">
      <c r="A30" s="486" t="s">
        <v>293</v>
      </c>
      <c r="B30" s="487" t="s">
        <v>503</v>
      </c>
    </row>
    <row r="31" spans="1:2">
      <c r="A31" s="488" t="s">
        <v>245</v>
      </c>
      <c r="B31" s="489" t="s">
        <v>504</v>
      </c>
    </row>
    <row r="32" spans="1:2">
      <c r="A32" s="486" t="s">
        <v>176</v>
      </c>
      <c r="B32" s="487" t="s">
        <v>505</v>
      </c>
    </row>
    <row r="33" spans="1:2">
      <c r="A33" s="488" t="s">
        <v>294</v>
      </c>
      <c r="B33" s="489" t="s">
        <v>506</v>
      </c>
    </row>
    <row r="34" spans="1:2">
      <c r="A34" s="486" t="s">
        <v>178</v>
      </c>
      <c r="B34" s="487" t="s">
        <v>507</v>
      </c>
    </row>
    <row r="35" spans="1:2">
      <c r="A35" s="488" t="s">
        <v>290</v>
      </c>
      <c r="B35" s="489" t="s">
        <v>508</v>
      </c>
    </row>
    <row r="36" spans="1:2">
      <c r="A36" s="486" t="s">
        <v>179</v>
      </c>
      <c r="B36" s="487" t="s">
        <v>509</v>
      </c>
    </row>
    <row r="37" spans="1:2">
      <c r="A37" s="488" t="s">
        <v>510</v>
      </c>
      <c r="B37" s="489" t="s">
        <v>511</v>
      </c>
    </row>
    <row r="38" spans="1:2">
      <c r="A38" s="486" t="s">
        <v>180</v>
      </c>
      <c r="B38" s="487" t="s">
        <v>512</v>
      </c>
    </row>
    <row r="39" spans="1:2">
      <c r="A39" s="488" t="s">
        <v>513</v>
      </c>
      <c r="B39" s="489" t="s">
        <v>514</v>
      </c>
    </row>
    <row r="40" spans="1:2">
      <c r="A40" s="486" t="s">
        <v>181</v>
      </c>
      <c r="B40" s="487" t="s">
        <v>515</v>
      </c>
    </row>
    <row r="41" spans="1:2">
      <c r="A41" s="488" t="s">
        <v>311</v>
      </c>
      <c r="B41" s="489" t="s">
        <v>516</v>
      </c>
    </row>
    <row r="42" spans="1:2">
      <c r="A42" s="486" t="s">
        <v>295</v>
      </c>
      <c r="B42" s="487" t="s">
        <v>517</v>
      </c>
    </row>
    <row r="43" spans="1:2">
      <c r="A43" s="488" t="s">
        <v>312</v>
      </c>
      <c r="B43" s="489" t="s">
        <v>518</v>
      </c>
    </row>
    <row r="44" spans="1:2">
      <c r="A44" s="486" t="s">
        <v>415</v>
      </c>
      <c r="B44" s="487" t="s">
        <v>519</v>
      </c>
    </row>
    <row r="45" spans="1:2">
      <c r="A45" s="488" t="s">
        <v>313</v>
      </c>
      <c r="B45" s="489" t="s">
        <v>520</v>
      </c>
    </row>
    <row r="46" spans="1:2">
      <c r="A46" s="486" t="s">
        <v>521</v>
      </c>
      <c r="B46" s="487" t="s">
        <v>522</v>
      </c>
    </row>
    <row r="47" spans="1:2">
      <c r="A47" s="488" t="s">
        <v>246</v>
      </c>
      <c r="B47" s="489" t="s">
        <v>523</v>
      </c>
    </row>
    <row r="48" spans="1:2">
      <c r="A48" s="486" t="s">
        <v>416</v>
      </c>
      <c r="B48" s="487" t="s">
        <v>524</v>
      </c>
    </row>
    <row r="49" spans="1:2">
      <c r="A49" s="488" t="s">
        <v>417</v>
      </c>
      <c r="B49" s="489" t="s">
        <v>525</v>
      </c>
    </row>
    <row r="50" spans="1:2">
      <c r="A50" s="486" t="s">
        <v>247</v>
      </c>
      <c r="B50" s="487" t="s">
        <v>526</v>
      </c>
    </row>
    <row r="51" spans="1:2">
      <c r="A51" s="488" t="s">
        <v>527</v>
      </c>
      <c r="B51" s="489" t="s">
        <v>2873</v>
      </c>
    </row>
    <row r="52" spans="1:2">
      <c r="A52" s="486" t="s">
        <v>248</v>
      </c>
      <c r="B52" s="487" t="s">
        <v>529</v>
      </c>
    </row>
    <row r="53" spans="1:2">
      <c r="A53" s="488" t="s">
        <v>184</v>
      </c>
      <c r="B53" s="489" t="s">
        <v>530</v>
      </c>
    </row>
    <row r="54" spans="1:2">
      <c r="A54" s="486" t="s">
        <v>419</v>
      </c>
      <c r="B54" s="487" t="s">
        <v>531</v>
      </c>
    </row>
    <row r="55" spans="1:2">
      <c r="A55" s="488" t="s">
        <v>420</v>
      </c>
      <c r="B55" s="489" t="s">
        <v>532</v>
      </c>
    </row>
    <row r="56" spans="1:2">
      <c r="A56" s="486" t="s">
        <v>533</v>
      </c>
      <c r="B56" s="487" t="s">
        <v>534</v>
      </c>
    </row>
    <row r="57" spans="1:2">
      <c r="A57" s="488" t="s">
        <v>535</v>
      </c>
      <c r="B57" s="489" t="s">
        <v>536</v>
      </c>
    </row>
    <row r="58" spans="1:2">
      <c r="A58" s="486" t="s">
        <v>537</v>
      </c>
      <c r="B58" s="487" t="s">
        <v>538</v>
      </c>
    </row>
    <row r="59" spans="1:2">
      <c r="A59" s="488" t="s">
        <v>314</v>
      </c>
      <c r="B59" s="489" t="s">
        <v>539</v>
      </c>
    </row>
    <row r="60" spans="1:2">
      <c r="A60" s="486" t="s">
        <v>224</v>
      </c>
      <c r="B60" s="487" t="s">
        <v>540</v>
      </c>
    </row>
    <row r="61" spans="1:2">
      <c r="A61" s="488" t="s">
        <v>315</v>
      </c>
      <c r="B61" s="489" t="s">
        <v>541</v>
      </c>
    </row>
    <row r="62" spans="1:2">
      <c r="A62" s="486" t="s">
        <v>249</v>
      </c>
      <c r="B62" s="487" t="s">
        <v>542</v>
      </c>
    </row>
    <row r="63" spans="1:2">
      <c r="A63" s="488" t="s">
        <v>421</v>
      </c>
      <c r="B63" s="489" t="s">
        <v>543</v>
      </c>
    </row>
    <row r="64" spans="1:2">
      <c r="A64" s="486" t="s">
        <v>187</v>
      </c>
      <c r="B64" s="487" t="s">
        <v>544</v>
      </c>
    </row>
    <row r="65" spans="1:2">
      <c r="A65" s="488" t="s">
        <v>545</v>
      </c>
      <c r="B65" s="489" t="s">
        <v>2874</v>
      </c>
    </row>
    <row r="66" spans="1:2">
      <c r="A66" s="486" t="s">
        <v>103</v>
      </c>
      <c r="B66" s="487" t="s">
        <v>547</v>
      </c>
    </row>
    <row r="67" spans="1:2">
      <c r="A67" s="488" t="s">
        <v>548</v>
      </c>
      <c r="B67" s="489" t="s">
        <v>549</v>
      </c>
    </row>
    <row r="68" spans="1:2">
      <c r="A68" s="486" t="s">
        <v>550</v>
      </c>
      <c r="B68" s="487" t="s">
        <v>551</v>
      </c>
    </row>
    <row r="69" spans="1:2">
      <c r="A69" s="488" t="s">
        <v>422</v>
      </c>
      <c r="B69" s="489" t="s">
        <v>552</v>
      </c>
    </row>
    <row r="70" spans="1:2">
      <c r="A70" s="486" t="s">
        <v>250</v>
      </c>
      <c r="B70" s="487" t="s">
        <v>553</v>
      </c>
    </row>
    <row r="71" spans="1:2">
      <c r="A71" s="488" t="s">
        <v>251</v>
      </c>
      <c r="B71" s="489" t="s">
        <v>554</v>
      </c>
    </row>
    <row r="72" spans="1:2">
      <c r="A72" s="486" t="s">
        <v>423</v>
      </c>
      <c r="B72" s="487" t="s">
        <v>555</v>
      </c>
    </row>
    <row r="73" spans="1:2">
      <c r="A73" s="488" t="s">
        <v>188</v>
      </c>
      <c r="B73" s="489" t="s">
        <v>556</v>
      </c>
    </row>
    <row r="74" spans="1:2">
      <c r="A74" s="486" t="s">
        <v>424</v>
      </c>
      <c r="B74" s="487" t="s">
        <v>557</v>
      </c>
    </row>
    <row r="75" spans="1:2">
      <c r="A75" s="488" t="s">
        <v>282</v>
      </c>
      <c r="B75" s="489" t="s">
        <v>558</v>
      </c>
    </row>
    <row r="76" spans="1:2">
      <c r="A76" s="486" t="s">
        <v>252</v>
      </c>
      <c r="B76" s="487" t="s">
        <v>559</v>
      </c>
    </row>
    <row r="77" spans="1:2">
      <c r="A77" s="488" t="s">
        <v>190</v>
      </c>
      <c r="B77" s="489" t="s">
        <v>560</v>
      </c>
    </row>
    <row r="78" spans="1:2">
      <c r="A78" s="486" t="s">
        <v>253</v>
      </c>
      <c r="B78" s="487" t="s">
        <v>561</v>
      </c>
    </row>
    <row r="79" spans="1:2">
      <c r="A79" s="488" t="s">
        <v>425</v>
      </c>
      <c r="B79" s="489" t="s">
        <v>562</v>
      </c>
    </row>
    <row r="80" spans="1:2">
      <c r="A80" s="486" t="s">
        <v>316</v>
      </c>
      <c r="B80" s="487" t="s">
        <v>563</v>
      </c>
    </row>
    <row r="81" spans="1:2">
      <c r="A81" s="488" t="s">
        <v>191</v>
      </c>
      <c r="B81" s="489" t="s">
        <v>564</v>
      </c>
    </row>
    <row r="82" spans="1:2">
      <c r="A82" s="486" t="s">
        <v>192</v>
      </c>
      <c r="B82" s="487" t="s">
        <v>565</v>
      </c>
    </row>
    <row r="83" spans="1:2">
      <c r="A83" s="488" t="s">
        <v>317</v>
      </c>
      <c r="B83" s="489" t="s">
        <v>566</v>
      </c>
    </row>
    <row r="84" spans="1:2">
      <c r="A84" s="486" t="s">
        <v>426</v>
      </c>
      <c r="B84" s="487" t="s">
        <v>567</v>
      </c>
    </row>
    <row r="85" spans="1:2">
      <c r="A85" s="488" t="s">
        <v>318</v>
      </c>
      <c r="B85" s="489" t="s">
        <v>568</v>
      </c>
    </row>
    <row r="86" spans="1:2">
      <c r="A86" s="486" t="s">
        <v>569</v>
      </c>
      <c r="B86" s="487" t="s">
        <v>570</v>
      </c>
    </row>
    <row r="87" spans="1:2">
      <c r="A87" s="488" t="s">
        <v>254</v>
      </c>
      <c r="B87" s="489" t="s">
        <v>571</v>
      </c>
    </row>
    <row r="88" spans="1:2">
      <c r="A88" s="486" t="s">
        <v>255</v>
      </c>
      <c r="B88" s="487" t="s">
        <v>572</v>
      </c>
    </row>
    <row r="89" spans="1:2">
      <c r="A89" s="488" t="s">
        <v>237</v>
      </c>
      <c r="B89" s="489" t="s">
        <v>573</v>
      </c>
    </row>
    <row r="90" spans="1:2">
      <c r="A90" s="486" t="s">
        <v>296</v>
      </c>
      <c r="B90" s="487" t="s">
        <v>574</v>
      </c>
    </row>
    <row r="91" spans="1:2">
      <c r="A91" s="488" t="s">
        <v>225</v>
      </c>
      <c r="B91" s="489" t="s">
        <v>575</v>
      </c>
    </row>
    <row r="92" spans="1:2">
      <c r="A92" s="486" t="s">
        <v>226</v>
      </c>
      <c r="B92" s="487" t="s">
        <v>576</v>
      </c>
    </row>
    <row r="93" spans="1:2">
      <c r="A93" s="488" t="s">
        <v>256</v>
      </c>
      <c r="B93" s="489" t="s">
        <v>577</v>
      </c>
    </row>
    <row r="94" spans="1:2">
      <c r="A94" s="486" t="s">
        <v>227</v>
      </c>
      <c r="B94" s="487" t="s">
        <v>578</v>
      </c>
    </row>
    <row r="95" spans="1:2">
      <c r="A95" s="488" t="s">
        <v>257</v>
      </c>
      <c r="B95" s="489" t="s">
        <v>579</v>
      </c>
    </row>
    <row r="96" spans="1:2">
      <c r="A96" s="486" t="s">
        <v>428</v>
      </c>
      <c r="B96" s="487" t="s">
        <v>580</v>
      </c>
    </row>
    <row r="97" spans="1:2">
      <c r="A97" s="488" t="s">
        <v>297</v>
      </c>
      <c r="B97" s="489" t="s">
        <v>581</v>
      </c>
    </row>
    <row r="98" spans="1:2">
      <c r="A98" s="486" t="s">
        <v>228</v>
      </c>
      <c r="B98" s="487" t="s">
        <v>582</v>
      </c>
    </row>
    <row r="99" spans="1:2">
      <c r="A99" s="488" t="s">
        <v>283</v>
      </c>
      <c r="B99" s="489" t="s">
        <v>583</v>
      </c>
    </row>
    <row r="100" spans="1:2">
      <c r="A100" s="486" t="s">
        <v>193</v>
      </c>
      <c r="B100" s="487" t="s">
        <v>584</v>
      </c>
    </row>
    <row r="101" spans="1:2">
      <c r="A101" s="488" t="s">
        <v>429</v>
      </c>
      <c r="B101" s="489" t="s">
        <v>585</v>
      </c>
    </row>
    <row r="102" spans="1:2">
      <c r="A102" s="486" t="s">
        <v>229</v>
      </c>
      <c r="B102" s="487" t="s">
        <v>586</v>
      </c>
    </row>
    <row r="103" spans="1:2">
      <c r="A103" s="488" t="s">
        <v>430</v>
      </c>
      <c r="B103" s="489" t="s">
        <v>587</v>
      </c>
    </row>
    <row r="104" spans="1:2">
      <c r="A104" s="486" t="s">
        <v>588</v>
      </c>
      <c r="B104" s="487" t="s">
        <v>589</v>
      </c>
    </row>
    <row r="105" spans="1:2">
      <c r="A105" s="488" t="s">
        <v>590</v>
      </c>
      <c r="B105" s="489" t="s">
        <v>591</v>
      </c>
    </row>
    <row r="106" spans="1:2">
      <c r="A106" s="486" t="s">
        <v>258</v>
      </c>
      <c r="B106" s="487" t="s">
        <v>592</v>
      </c>
    </row>
    <row r="107" spans="1:2">
      <c r="A107" s="488" t="s">
        <v>593</v>
      </c>
      <c r="B107" s="489" t="s">
        <v>594</v>
      </c>
    </row>
    <row r="108" spans="1:2">
      <c r="A108" s="486" t="s">
        <v>230</v>
      </c>
      <c r="B108" s="487" t="s">
        <v>595</v>
      </c>
    </row>
    <row r="109" spans="1:2">
      <c r="A109" s="488" t="s">
        <v>194</v>
      </c>
      <c r="B109" s="489" t="s">
        <v>596</v>
      </c>
    </row>
    <row r="110" spans="1:2">
      <c r="A110" s="486" t="s">
        <v>195</v>
      </c>
      <c r="B110" s="487" t="s">
        <v>597</v>
      </c>
    </row>
    <row r="111" spans="1:2">
      <c r="A111" s="488" t="s">
        <v>259</v>
      </c>
      <c r="B111" s="489" t="s">
        <v>598</v>
      </c>
    </row>
    <row r="112" spans="1:2">
      <c r="A112" s="486" t="s">
        <v>599</v>
      </c>
      <c r="B112" s="487" t="s">
        <v>600</v>
      </c>
    </row>
    <row r="113" spans="1:2">
      <c r="A113" s="488" t="s">
        <v>260</v>
      </c>
      <c r="B113" s="489" t="s">
        <v>601</v>
      </c>
    </row>
    <row r="114" spans="1:2">
      <c r="A114" s="486" t="s">
        <v>602</v>
      </c>
      <c r="B114" s="487" t="s">
        <v>603</v>
      </c>
    </row>
    <row r="115" spans="1:2">
      <c r="A115" s="488" t="s">
        <v>196</v>
      </c>
      <c r="B115" s="489" t="s">
        <v>604</v>
      </c>
    </row>
    <row r="116" spans="1:2">
      <c r="A116" s="486" t="s">
        <v>197</v>
      </c>
      <c r="B116" s="487" t="s">
        <v>605</v>
      </c>
    </row>
    <row r="117" spans="1:2">
      <c r="A117" s="488" t="s">
        <v>298</v>
      </c>
      <c r="B117" s="489" t="s">
        <v>606</v>
      </c>
    </row>
    <row r="118" spans="1:2">
      <c r="A118" s="486" t="s">
        <v>432</v>
      </c>
      <c r="B118" s="487" t="s">
        <v>607</v>
      </c>
    </row>
    <row r="119" spans="1:2">
      <c r="A119" s="488" t="s">
        <v>198</v>
      </c>
      <c r="B119" s="489" t="s">
        <v>608</v>
      </c>
    </row>
    <row r="120" spans="1:2">
      <c r="A120" s="486" t="s">
        <v>261</v>
      </c>
      <c r="B120" s="487" t="s">
        <v>609</v>
      </c>
    </row>
    <row r="121" spans="1:2">
      <c r="A121" s="488" t="s">
        <v>199</v>
      </c>
      <c r="B121" s="489" t="s">
        <v>610</v>
      </c>
    </row>
    <row r="122" spans="1:2">
      <c r="A122" s="486" t="s">
        <v>200</v>
      </c>
      <c r="B122" s="487" t="s">
        <v>611</v>
      </c>
    </row>
    <row r="123" spans="1:2">
      <c r="A123" s="488" t="s">
        <v>612</v>
      </c>
      <c r="B123" s="489" t="s">
        <v>613</v>
      </c>
    </row>
    <row r="124" spans="1:2">
      <c r="A124" s="486" t="s">
        <v>319</v>
      </c>
      <c r="B124" s="487" t="s">
        <v>614</v>
      </c>
    </row>
    <row r="125" spans="1:2">
      <c r="A125" s="488" t="s">
        <v>615</v>
      </c>
      <c r="B125" s="489" t="s">
        <v>585</v>
      </c>
    </row>
    <row r="126" spans="1:2">
      <c r="A126" s="486" t="s">
        <v>616</v>
      </c>
      <c r="B126" s="487" t="s">
        <v>617</v>
      </c>
    </row>
    <row r="127" spans="1:2">
      <c r="A127" s="488" t="s">
        <v>618</v>
      </c>
      <c r="B127" s="489" t="s">
        <v>619</v>
      </c>
    </row>
    <row r="128" spans="1:2">
      <c r="A128" s="486" t="s">
        <v>285</v>
      </c>
      <c r="B128" s="487" t="s">
        <v>620</v>
      </c>
    </row>
    <row r="129" spans="1:2">
      <c r="A129" s="488" t="s">
        <v>262</v>
      </c>
      <c r="B129" s="489" t="s">
        <v>621</v>
      </c>
    </row>
    <row r="130" spans="1:2">
      <c r="A130" s="486" t="s">
        <v>220</v>
      </c>
      <c r="B130" s="487" t="s">
        <v>622</v>
      </c>
    </row>
    <row r="131" spans="1:2">
      <c r="A131" s="488" t="s">
        <v>201</v>
      </c>
      <c r="B131" s="489" t="s">
        <v>623</v>
      </c>
    </row>
    <row r="132" spans="1:2">
      <c r="A132" s="486" t="s">
        <v>299</v>
      </c>
      <c r="B132" s="487" t="s">
        <v>624</v>
      </c>
    </row>
    <row r="133" spans="1:2">
      <c r="A133" s="488" t="s">
        <v>202</v>
      </c>
      <c r="B133" s="489" t="s">
        <v>625</v>
      </c>
    </row>
    <row r="134" spans="1:2">
      <c r="A134" s="486" t="s">
        <v>238</v>
      </c>
      <c r="B134" s="487" t="s">
        <v>626</v>
      </c>
    </row>
    <row r="135" spans="1:2">
      <c r="A135" s="488" t="s">
        <v>627</v>
      </c>
      <c r="B135" s="489" t="s">
        <v>628</v>
      </c>
    </row>
    <row r="136" spans="1:2">
      <c r="A136" s="486" t="s">
        <v>263</v>
      </c>
      <c r="B136" s="487" t="s">
        <v>629</v>
      </c>
    </row>
    <row r="137" spans="1:2">
      <c r="A137" s="488" t="s">
        <v>630</v>
      </c>
      <c r="B137" s="489" t="s">
        <v>2875</v>
      </c>
    </row>
    <row r="138" spans="1:2">
      <c r="A138" s="486" t="s">
        <v>433</v>
      </c>
      <c r="B138" s="487" t="s">
        <v>632</v>
      </c>
    </row>
    <row r="139" spans="1:2">
      <c r="A139" s="488" t="s">
        <v>300</v>
      </c>
      <c r="B139" s="489" t="s">
        <v>633</v>
      </c>
    </row>
    <row r="140" spans="1:2">
      <c r="A140" s="486" t="s">
        <v>320</v>
      </c>
      <c r="B140" s="487" t="s">
        <v>634</v>
      </c>
    </row>
    <row r="141" spans="1:2">
      <c r="A141" s="488" t="s">
        <v>203</v>
      </c>
      <c r="B141" s="489" t="s">
        <v>635</v>
      </c>
    </row>
    <row r="142" spans="1:2">
      <c r="A142" s="486" t="s">
        <v>204</v>
      </c>
      <c r="B142" s="487" t="s">
        <v>636</v>
      </c>
    </row>
    <row r="143" spans="1:2">
      <c r="A143" s="488" t="s">
        <v>301</v>
      </c>
      <c r="B143" s="489" t="s">
        <v>637</v>
      </c>
    </row>
    <row r="144" spans="1:2">
      <c r="A144" s="486" t="s">
        <v>264</v>
      </c>
      <c r="B144" s="487" t="s">
        <v>638</v>
      </c>
    </row>
    <row r="145" spans="1:2">
      <c r="A145" s="488" t="s">
        <v>639</v>
      </c>
      <c r="B145" s="489" t="s">
        <v>640</v>
      </c>
    </row>
    <row r="146" spans="1:2">
      <c r="A146" s="486" t="s">
        <v>641</v>
      </c>
      <c r="B146" s="487" t="s">
        <v>642</v>
      </c>
    </row>
    <row r="147" spans="1:2">
      <c r="A147" s="488" t="s">
        <v>643</v>
      </c>
      <c r="B147" s="489" t="s">
        <v>644</v>
      </c>
    </row>
    <row r="148" spans="1:2">
      <c r="A148" s="486" t="s">
        <v>265</v>
      </c>
      <c r="B148" s="487" t="s">
        <v>645</v>
      </c>
    </row>
    <row r="149" spans="1:2">
      <c r="A149" s="488" t="s">
        <v>646</v>
      </c>
      <c r="B149" s="489" t="s">
        <v>647</v>
      </c>
    </row>
    <row r="150" spans="1:2">
      <c r="A150" s="486" t="s">
        <v>231</v>
      </c>
      <c r="B150" s="487" t="s">
        <v>648</v>
      </c>
    </row>
    <row r="151" spans="1:2">
      <c r="A151" s="488" t="s">
        <v>239</v>
      </c>
      <c r="B151" s="489" t="s">
        <v>649</v>
      </c>
    </row>
    <row r="152" spans="1:2">
      <c r="A152" s="486" t="s">
        <v>321</v>
      </c>
      <c r="B152" s="487" t="s">
        <v>650</v>
      </c>
    </row>
    <row r="153" spans="1:2">
      <c r="A153" s="488" t="s">
        <v>322</v>
      </c>
      <c r="B153" s="489" t="s">
        <v>651</v>
      </c>
    </row>
    <row r="154" spans="1:2">
      <c r="A154" s="486" t="s">
        <v>323</v>
      </c>
      <c r="B154" s="487" t="s">
        <v>652</v>
      </c>
    </row>
    <row r="155" spans="1:2">
      <c r="A155" s="488" t="s">
        <v>434</v>
      </c>
      <c r="B155" s="489" t="s">
        <v>653</v>
      </c>
    </row>
    <row r="156" spans="1:2">
      <c r="A156" s="486" t="s">
        <v>266</v>
      </c>
      <c r="B156" s="487" t="s">
        <v>654</v>
      </c>
    </row>
    <row r="157" spans="1:2">
      <c r="A157" s="488" t="s">
        <v>655</v>
      </c>
      <c r="B157" s="489" t="s">
        <v>656</v>
      </c>
    </row>
    <row r="158" spans="1:2">
      <c r="A158" s="486" t="s">
        <v>267</v>
      </c>
      <c r="B158" s="487" t="s">
        <v>657</v>
      </c>
    </row>
    <row r="159" spans="1:2">
      <c r="A159" s="488" t="s">
        <v>269</v>
      </c>
      <c r="B159" s="489" t="s">
        <v>658</v>
      </c>
    </row>
    <row r="160" spans="1:2">
      <c r="A160" s="486" t="s">
        <v>659</v>
      </c>
      <c r="B160" s="487" t="s">
        <v>660</v>
      </c>
    </row>
    <row r="161" spans="1:2">
      <c r="A161" s="488" t="s">
        <v>205</v>
      </c>
      <c r="B161" s="489" t="s">
        <v>661</v>
      </c>
    </row>
    <row r="162" spans="1:2">
      <c r="A162" s="486" t="s">
        <v>436</v>
      </c>
      <c r="B162" s="487" t="s">
        <v>662</v>
      </c>
    </row>
    <row r="163" spans="1:2">
      <c r="A163" s="488" t="s">
        <v>437</v>
      </c>
      <c r="B163" s="489" t="s">
        <v>663</v>
      </c>
    </row>
    <row r="164" spans="1:2">
      <c r="A164" s="486" t="s">
        <v>438</v>
      </c>
      <c r="B164" s="487" t="s">
        <v>664</v>
      </c>
    </row>
    <row r="165" spans="1:2">
      <c r="A165" s="488" t="s">
        <v>439</v>
      </c>
      <c r="B165" s="489" t="s">
        <v>665</v>
      </c>
    </row>
    <row r="166" spans="1:2">
      <c r="A166" s="486" t="s">
        <v>206</v>
      </c>
      <c r="B166" s="487" t="s">
        <v>666</v>
      </c>
    </row>
    <row r="167" spans="1:2">
      <c r="A167" s="488" t="s">
        <v>232</v>
      </c>
      <c r="B167" s="489" t="s">
        <v>667</v>
      </c>
    </row>
    <row r="168" spans="1:2">
      <c r="A168" s="486" t="s">
        <v>207</v>
      </c>
      <c r="B168" s="487" t="s">
        <v>668</v>
      </c>
    </row>
    <row r="169" spans="1:2">
      <c r="A169" s="488" t="s">
        <v>271</v>
      </c>
      <c r="B169" s="489" t="s">
        <v>669</v>
      </c>
    </row>
    <row r="170" spans="1:2">
      <c r="A170" s="486" t="s">
        <v>670</v>
      </c>
      <c r="B170" s="487" t="s">
        <v>2876</v>
      </c>
    </row>
    <row r="171" spans="1:2">
      <c r="A171" s="488" t="s">
        <v>208</v>
      </c>
      <c r="B171" s="489" t="s">
        <v>672</v>
      </c>
    </row>
    <row r="172" spans="1:2">
      <c r="A172" s="486" t="s">
        <v>272</v>
      </c>
      <c r="B172" s="487" t="s">
        <v>673</v>
      </c>
    </row>
    <row r="173" spans="1:2">
      <c r="A173" s="488" t="s">
        <v>273</v>
      </c>
      <c r="B173" s="489" t="s">
        <v>674</v>
      </c>
    </row>
    <row r="174" spans="1:2">
      <c r="A174" s="486" t="s">
        <v>675</v>
      </c>
      <c r="B174" s="487" t="s">
        <v>676</v>
      </c>
    </row>
    <row r="175" spans="1:2">
      <c r="A175" s="488" t="s">
        <v>440</v>
      </c>
      <c r="B175" s="489" t="s">
        <v>677</v>
      </c>
    </row>
    <row r="176" spans="1:2">
      <c r="A176" s="486" t="s">
        <v>210</v>
      </c>
      <c r="B176" s="487" t="s">
        <v>678</v>
      </c>
    </row>
    <row r="177" spans="1:2">
      <c r="A177" s="488" t="s">
        <v>679</v>
      </c>
      <c r="B177" s="489" t="s">
        <v>680</v>
      </c>
    </row>
    <row r="178" spans="1:2">
      <c r="A178" s="486" t="s">
        <v>681</v>
      </c>
      <c r="B178" s="487" t="s">
        <v>682</v>
      </c>
    </row>
    <row r="179" spans="1:2">
      <c r="A179" s="488" t="s">
        <v>304</v>
      </c>
      <c r="B179" s="489" t="s">
        <v>683</v>
      </c>
    </row>
    <row r="180" spans="1:2">
      <c r="A180" s="486" t="s">
        <v>684</v>
      </c>
      <c r="B180" s="487" t="s">
        <v>685</v>
      </c>
    </row>
    <row r="181" spans="1:2">
      <c r="A181" s="488" t="s">
        <v>686</v>
      </c>
      <c r="B181" s="489" t="s">
        <v>687</v>
      </c>
    </row>
    <row r="182" spans="1:2">
      <c r="A182" s="486" t="s">
        <v>688</v>
      </c>
      <c r="B182" s="487" t="s">
        <v>689</v>
      </c>
    </row>
    <row r="183" spans="1:2">
      <c r="A183" s="488" t="s">
        <v>274</v>
      </c>
      <c r="B183" s="489" t="s">
        <v>690</v>
      </c>
    </row>
    <row r="184" spans="1:2">
      <c r="A184" s="486" t="s">
        <v>441</v>
      </c>
      <c r="B184" s="487" t="s">
        <v>691</v>
      </c>
    </row>
    <row r="185" spans="1:2">
      <c r="A185" s="488" t="s">
        <v>221</v>
      </c>
      <c r="B185" s="489" t="s">
        <v>692</v>
      </c>
    </row>
    <row r="186" spans="1:2">
      <c r="A186" s="486" t="s">
        <v>693</v>
      </c>
      <c r="B186" s="487" t="s">
        <v>2879</v>
      </c>
    </row>
    <row r="187" spans="1:2">
      <c r="A187" s="488" t="s">
        <v>324</v>
      </c>
      <c r="B187" s="489" t="s">
        <v>695</v>
      </c>
    </row>
    <row r="188" spans="1:2">
      <c r="A188" s="486" t="s">
        <v>275</v>
      </c>
      <c r="B188" s="487" t="s">
        <v>696</v>
      </c>
    </row>
    <row r="189" spans="1:2">
      <c r="A189" s="488" t="s">
        <v>276</v>
      </c>
      <c r="B189" s="489" t="s">
        <v>697</v>
      </c>
    </row>
    <row r="190" spans="1:2">
      <c r="A190" s="486" t="s">
        <v>698</v>
      </c>
      <c r="B190" s="487" t="s">
        <v>699</v>
      </c>
    </row>
    <row r="191" spans="1:2">
      <c r="A191" s="488" t="s">
        <v>286</v>
      </c>
      <c r="B191" s="489" t="s">
        <v>700</v>
      </c>
    </row>
    <row r="192" spans="1:2">
      <c r="A192" s="486" t="s">
        <v>212</v>
      </c>
      <c r="B192" s="487" t="s">
        <v>701</v>
      </c>
    </row>
    <row r="193" spans="1:2">
      <c r="A193" s="488" t="s">
        <v>305</v>
      </c>
      <c r="B193" s="489" t="s">
        <v>702</v>
      </c>
    </row>
    <row r="194" spans="1:2">
      <c r="A194" s="486" t="s">
        <v>703</v>
      </c>
      <c r="B194" s="487" t="s">
        <v>704</v>
      </c>
    </row>
    <row r="195" spans="1:2">
      <c r="A195" s="488" t="s">
        <v>213</v>
      </c>
      <c r="B195" s="489" t="s">
        <v>705</v>
      </c>
    </row>
    <row r="196" spans="1:2">
      <c r="A196" s="486" t="s">
        <v>443</v>
      </c>
      <c r="B196" s="487" t="s">
        <v>706</v>
      </c>
    </row>
    <row r="197" spans="1:2">
      <c r="A197" s="488" t="s">
        <v>222</v>
      </c>
      <c r="B197" s="489" t="s">
        <v>707</v>
      </c>
    </row>
    <row r="198" spans="1:2">
      <c r="A198" s="486" t="s">
        <v>288</v>
      </c>
      <c r="B198" s="487" t="s">
        <v>708</v>
      </c>
    </row>
    <row r="199" spans="1:2">
      <c r="A199" s="488" t="s">
        <v>289</v>
      </c>
      <c r="B199" s="489" t="s">
        <v>709</v>
      </c>
    </row>
    <row r="200" spans="1:2">
      <c r="A200" s="486" t="s">
        <v>710</v>
      </c>
      <c r="B200" s="487" t="s">
        <v>2878</v>
      </c>
    </row>
    <row r="201" spans="1:2">
      <c r="A201" s="488" t="s">
        <v>214</v>
      </c>
      <c r="B201" s="489" t="s">
        <v>712</v>
      </c>
    </row>
    <row r="202" spans="1:2">
      <c r="A202" s="486" t="s">
        <v>277</v>
      </c>
      <c r="B202" s="487" t="s">
        <v>713</v>
      </c>
    </row>
    <row r="203" spans="1:2">
      <c r="A203" s="488" t="s">
        <v>444</v>
      </c>
      <c r="B203" s="489" t="s">
        <v>714</v>
      </c>
    </row>
    <row r="204" spans="1:2">
      <c r="A204" s="486" t="s">
        <v>715</v>
      </c>
      <c r="B204" s="487" t="s">
        <v>716</v>
      </c>
    </row>
    <row r="205" spans="1:2">
      <c r="A205" s="488" t="s">
        <v>717</v>
      </c>
      <c r="B205" s="489" t="s">
        <v>718</v>
      </c>
    </row>
    <row r="206" spans="1:2">
      <c r="A206" s="486" t="s">
        <v>325</v>
      </c>
      <c r="B206" s="487" t="s">
        <v>719</v>
      </c>
    </row>
    <row r="207" spans="1:2">
      <c r="A207" s="488" t="s">
        <v>287</v>
      </c>
      <c r="B207" s="489" t="s">
        <v>720</v>
      </c>
    </row>
    <row r="208" spans="1:2">
      <c r="A208" s="486" t="s">
        <v>448</v>
      </c>
      <c r="B208" s="487" t="s">
        <v>721</v>
      </c>
    </row>
    <row r="209" spans="1:2">
      <c r="A209" s="488" t="s">
        <v>326</v>
      </c>
      <c r="B209" s="489" t="s">
        <v>722</v>
      </c>
    </row>
    <row r="210" spans="1:2">
      <c r="A210" s="486" t="s">
        <v>306</v>
      </c>
      <c r="B210" s="487" t="s">
        <v>723</v>
      </c>
    </row>
    <row r="211" spans="1:2">
      <c r="A211" s="488" t="s">
        <v>724</v>
      </c>
      <c r="B211" s="489" t="s">
        <v>725</v>
      </c>
    </row>
    <row r="212" spans="1:2">
      <c r="A212" s="486" t="s">
        <v>726</v>
      </c>
      <c r="B212" s="487" t="s">
        <v>727</v>
      </c>
    </row>
    <row r="213" spans="1:2">
      <c r="A213" s="488" t="s">
        <v>728</v>
      </c>
      <c r="B213" s="489" t="s">
        <v>729</v>
      </c>
    </row>
    <row r="214" spans="1:2">
      <c r="A214" s="486" t="s">
        <v>235</v>
      </c>
      <c r="B214" s="487" t="s">
        <v>730</v>
      </c>
    </row>
    <row r="215" spans="1:2">
      <c r="A215" s="488" t="s">
        <v>731</v>
      </c>
      <c r="B215" s="489" t="s">
        <v>2877</v>
      </c>
    </row>
    <row r="216" spans="1:2">
      <c r="A216" s="486" t="s">
        <v>215</v>
      </c>
      <c r="B216" s="487" t="s">
        <v>733</v>
      </c>
    </row>
    <row r="217" spans="1:2">
      <c r="A217" s="490" t="s">
        <v>216</v>
      </c>
      <c r="B217" s="491" t="s">
        <v>734</v>
      </c>
    </row>
    <row r="218" spans="1:2">
      <c r="B218" s="185"/>
    </row>
    <row r="219" spans="1:2">
      <c r="B219" s="185"/>
    </row>
    <row r="220" spans="1:2">
      <c r="B220" s="185"/>
    </row>
    <row r="221" spans="1:2">
      <c r="B221" s="185"/>
    </row>
    <row r="222" spans="1:2">
      <c r="B222" s="185"/>
    </row>
    <row r="223" spans="1:2">
      <c r="B223" s="185"/>
    </row>
    <row r="224" spans="1:2">
      <c r="B224" s="185"/>
    </row>
    <row r="225" spans="2:2">
      <c r="B225" s="185"/>
    </row>
    <row r="226" spans="2:2">
      <c r="B226" s="185"/>
    </row>
    <row r="227" spans="2:2">
      <c r="B227" s="185"/>
    </row>
    <row r="228" spans="2:2">
      <c r="B228" s="185"/>
    </row>
    <row r="229" spans="2:2">
      <c r="B229" s="185"/>
    </row>
    <row r="230" spans="2:2">
      <c r="B230" s="185"/>
    </row>
    <row r="231" spans="2:2">
      <c r="B231" s="185"/>
    </row>
    <row r="232" spans="2:2">
      <c r="B232" s="185"/>
    </row>
    <row r="233" spans="2:2">
      <c r="B233" s="185"/>
    </row>
    <row r="234" spans="2:2">
      <c r="B234" s="185"/>
    </row>
    <row r="235" spans="2:2">
      <c r="B235" s="185"/>
    </row>
    <row r="236" spans="2:2">
      <c r="B236" s="185"/>
    </row>
    <row r="237" spans="2:2">
      <c r="B237" s="185"/>
    </row>
    <row r="238" spans="2:2">
      <c r="B238" s="185"/>
    </row>
    <row r="239" spans="2:2">
      <c r="B239" s="185"/>
    </row>
    <row r="240" spans="2:2">
      <c r="B240" s="185"/>
    </row>
    <row r="241" spans="2:2">
      <c r="B241" s="185"/>
    </row>
    <row r="242" spans="2:2">
      <c r="B242" s="185"/>
    </row>
    <row r="243" spans="2:2">
      <c r="B243" s="185"/>
    </row>
    <row r="244" spans="2:2">
      <c r="B244" s="185"/>
    </row>
    <row r="245" spans="2:2">
      <c r="B245" s="185"/>
    </row>
    <row r="246" spans="2:2">
      <c r="B246" s="185"/>
    </row>
    <row r="247" spans="2:2">
      <c r="B247" s="185"/>
    </row>
    <row r="248" spans="2:2">
      <c r="B248" s="185"/>
    </row>
    <row r="249" spans="2:2">
      <c r="B249" s="185"/>
    </row>
    <row r="250" spans="2:2">
      <c r="B250" s="185"/>
    </row>
    <row r="251" spans="2:2">
      <c r="B251" s="185"/>
    </row>
    <row r="252" spans="2:2">
      <c r="B252" s="185"/>
    </row>
    <row r="253" spans="2:2">
      <c r="B253" s="185"/>
    </row>
    <row r="254" spans="2:2">
      <c r="B254" s="185"/>
    </row>
    <row r="255" spans="2:2">
      <c r="B255" s="185"/>
    </row>
    <row r="256" spans="2:2">
      <c r="B256" s="185"/>
    </row>
    <row r="257" spans="2:2">
      <c r="B257" s="185"/>
    </row>
    <row r="258" spans="2:2">
      <c r="B258" s="185"/>
    </row>
    <row r="259" spans="2:2">
      <c r="B259" s="185"/>
    </row>
    <row r="260" spans="2:2">
      <c r="B260" s="185"/>
    </row>
    <row r="261" spans="2:2">
      <c r="B261" s="185"/>
    </row>
    <row r="262" spans="2:2">
      <c r="B262" s="185"/>
    </row>
    <row r="263" spans="2:2">
      <c r="B263" s="185"/>
    </row>
    <row r="264" spans="2:2">
      <c r="B264" s="185"/>
    </row>
    <row r="265" spans="2:2">
      <c r="B265" s="185"/>
    </row>
    <row r="266" spans="2:2">
      <c r="B266" s="185"/>
    </row>
    <row r="267" spans="2:2">
      <c r="B267" s="185"/>
    </row>
    <row r="268" spans="2:2">
      <c r="B268" s="185"/>
    </row>
    <row r="269" spans="2:2">
      <c r="B269" s="185"/>
    </row>
    <row r="270" spans="2:2">
      <c r="B270" s="185"/>
    </row>
    <row r="271" spans="2:2">
      <c r="B271" s="185"/>
    </row>
    <row r="272" spans="2:2">
      <c r="B272" s="185"/>
    </row>
    <row r="273" spans="2:2">
      <c r="B273" s="185"/>
    </row>
    <row r="274" spans="2:2">
      <c r="B274" s="185"/>
    </row>
    <row r="275" spans="2:2">
      <c r="B275" s="185"/>
    </row>
    <row r="276" spans="2:2">
      <c r="B276" s="185"/>
    </row>
    <row r="277" spans="2:2">
      <c r="B277" s="185"/>
    </row>
    <row r="278" spans="2:2">
      <c r="B278" s="185"/>
    </row>
    <row r="279" spans="2:2">
      <c r="B279" s="185"/>
    </row>
    <row r="280" spans="2:2">
      <c r="B280" s="185"/>
    </row>
    <row r="281" spans="2:2">
      <c r="B281" s="185"/>
    </row>
    <row r="282" spans="2:2">
      <c r="B282" s="185"/>
    </row>
    <row r="283" spans="2:2">
      <c r="B283" s="185"/>
    </row>
    <row r="284" spans="2:2">
      <c r="B284" s="185"/>
    </row>
    <row r="285" spans="2:2">
      <c r="B285" s="185"/>
    </row>
    <row r="286" spans="2:2">
      <c r="B286" s="185"/>
    </row>
    <row r="287" spans="2:2">
      <c r="B287" s="185"/>
    </row>
    <row r="288" spans="2:2">
      <c r="B288" s="185"/>
    </row>
    <row r="289" spans="2:2">
      <c r="B289" s="185"/>
    </row>
    <row r="290" spans="2:2">
      <c r="B290" s="185"/>
    </row>
    <row r="291" spans="2:2">
      <c r="B291" s="185"/>
    </row>
    <row r="292" spans="2:2">
      <c r="B292" s="185"/>
    </row>
    <row r="293" spans="2:2">
      <c r="B293" s="185"/>
    </row>
    <row r="294" spans="2:2">
      <c r="B294" s="185"/>
    </row>
    <row r="295" spans="2:2">
      <c r="B295" s="185"/>
    </row>
    <row r="296" spans="2:2">
      <c r="B296" s="185"/>
    </row>
    <row r="297" spans="2:2">
      <c r="B297" s="185"/>
    </row>
    <row r="298" spans="2:2">
      <c r="B298" s="185"/>
    </row>
    <row r="299" spans="2:2">
      <c r="B299" s="185"/>
    </row>
    <row r="300" spans="2:2">
      <c r="B300" s="185"/>
    </row>
    <row r="301" spans="2:2">
      <c r="B301" s="185"/>
    </row>
    <row r="302" spans="2:2">
      <c r="B302" s="185"/>
    </row>
    <row r="303" spans="2:2">
      <c r="B303" s="185"/>
    </row>
    <row r="304" spans="2:2">
      <c r="B304" s="185"/>
    </row>
    <row r="305" spans="2:2">
      <c r="B305" s="185"/>
    </row>
    <row r="306" spans="2:2">
      <c r="B306" s="185"/>
    </row>
    <row r="307" spans="2:2">
      <c r="B307" s="185"/>
    </row>
    <row r="308" spans="2:2">
      <c r="B308" s="185"/>
    </row>
    <row r="309" spans="2:2">
      <c r="B309" s="185"/>
    </row>
    <row r="310" spans="2:2">
      <c r="B310" s="185"/>
    </row>
    <row r="311" spans="2:2">
      <c r="B311" s="185"/>
    </row>
    <row r="312" spans="2:2">
      <c r="B312" s="185"/>
    </row>
    <row r="313" spans="2:2">
      <c r="B313" s="185"/>
    </row>
    <row r="314" spans="2:2">
      <c r="B314" s="185"/>
    </row>
    <row r="315" spans="2:2">
      <c r="B315" s="185"/>
    </row>
    <row r="316" spans="2:2">
      <c r="B316" s="185"/>
    </row>
    <row r="317" spans="2:2">
      <c r="B317" s="185"/>
    </row>
    <row r="318" spans="2:2">
      <c r="B318" s="185"/>
    </row>
    <row r="319" spans="2:2">
      <c r="B319" s="185"/>
    </row>
    <row r="320" spans="2:2">
      <c r="B320" s="185"/>
    </row>
    <row r="321" spans="2:2">
      <c r="B321" s="185"/>
    </row>
    <row r="322" spans="2:2">
      <c r="B322" s="185"/>
    </row>
    <row r="323" spans="2:2">
      <c r="B323" s="185"/>
    </row>
    <row r="324" spans="2:2">
      <c r="B324" s="185"/>
    </row>
    <row r="325" spans="2:2">
      <c r="B325" s="185"/>
    </row>
    <row r="326" spans="2:2">
      <c r="B326" s="185"/>
    </row>
    <row r="327" spans="2:2">
      <c r="B327" s="185"/>
    </row>
    <row r="328" spans="2:2">
      <c r="B328" s="185"/>
    </row>
    <row r="329" spans="2:2">
      <c r="B329" s="185"/>
    </row>
    <row r="330" spans="2:2">
      <c r="B330" s="185"/>
    </row>
    <row r="331" spans="2:2">
      <c r="B331" s="185"/>
    </row>
    <row r="332" spans="2:2">
      <c r="B332" s="185"/>
    </row>
    <row r="333" spans="2:2">
      <c r="B333" s="185"/>
    </row>
    <row r="334" spans="2:2">
      <c r="B334" s="185"/>
    </row>
    <row r="335" spans="2:2">
      <c r="B335" s="185"/>
    </row>
    <row r="336" spans="2:2">
      <c r="B336" s="185"/>
    </row>
    <row r="337" spans="2:2">
      <c r="B337" s="185"/>
    </row>
    <row r="338" spans="2:2">
      <c r="B338" s="185"/>
    </row>
    <row r="339" spans="2:2">
      <c r="B339" s="185"/>
    </row>
    <row r="340" spans="2:2">
      <c r="B340" s="185"/>
    </row>
    <row r="341" spans="2:2">
      <c r="B341" s="185"/>
    </row>
    <row r="342" spans="2:2">
      <c r="B342" s="185"/>
    </row>
    <row r="343" spans="2:2">
      <c r="B343" s="185"/>
    </row>
    <row r="344" spans="2:2">
      <c r="B344" s="185"/>
    </row>
    <row r="345" spans="2:2">
      <c r="B345" s="185"/>
    </row>
    <row r="346" spans="2:2">
      <c r="B346" s="185"/>
    </row>
    <row r="347" spans="2:2">
      <c r="B347" s="185"/>
    </row>
    <row r="348" spans="2:2">
      <c r="B348" s="185"/>
    </row>
    <row r="349" spans="2:2">
      <c r="B349" s="185"/>
    </row>
    <row r="350" spans="2:2">
      <c r="B350" s="185"/>
    </row>
    <row r="351" spans="2:2">
      <c r="B351" s="185"/>
    </row>
    <row r="352" spans="2:2">
      <c r="B352" s="185"/>
    </row>
    <row r="353" spans="2:2">
      <c r="B353" s="185"/>
    </row>
    <row r="354" spans="2:2">
      <c r="B354" s="185"/>
    </row>
    <row r="355" spans="2:2">
      <c r="B355" s="185"/>
    </row>
    <row r="356" spans="2:2">
      <c r="B356" s="185"/>
    </row>
    <row r="357" spans="2:2">
      <c r="B357" s="185"/>
    </row>
    <row r="358" spans="2:2">
      <c r="B358" s="185"/>
    </row>
    <row r="359" spans="2:2">
      <c r="B359" s="185"/>
    </row>
    <row r="360" spans="2:2">
      <c r="B360" s="185"/>
    </row>
    <row r="361" spans="2:2">
      <c r="B361" s="185"/>
    </row>
    <row r="362" spans="2:2">
      <c r="B362" s="185"/>
    </row>
    <row r="363" spans="2:2">
      <c r="B363" s="185"/>
    </row>
    <row r="364" spans="2:2">
      <c r="B364" s="185"/>
    </row>
    <row r="365" spans="2:2">
      <c r="B365" s="185"/>
    </row>
    <row r="366" spans="2:2">
      <c r="B366" s="185"/>
    </row>
    <row r="367" spans="2:2">
      <c r="B367" s="185"/>
    </row>
    <row r="368" spans="2:2">
      <c r="B368" s="185"/>
    </row>
    <row r="369" spans="2:2">
      <c r="B369" s="185"/>
    </row>
    <row r="370" spans="2:2">
      <c r="B370" s="185"/>
    </row>
    <row r="371" spans="2:2">
      <c r="B371" s="185"/>
    </row>
    <row r="372" spans="2:2">
      <c r="B372" s="185"/>
    </row>
    <row r="373" spans="2:2">
      <c r="B373" s="185"/>
    </row>
    <row r="374" spans="2:2">
      <c r="B374" s="185"/>
    </row>
    <row r="375" spans="2:2">
      <c r="B375" s="185"/>
    </row>
    <row r="376" spans="2:2">
      <c r="B376" s="185"/>
    </row>
    <row r="377" spans="2:2">
      <c r="B377" s="185"/>
    </row>
    <row r="378" spans="2:2">
      <c r="B378" s="185"/>
    </row>
    <row r="379" spans="2:2">
      <c r="B379" s="185"/>
    </row>
    <row r="380" spans="2:2">
      <c r="B380" s="185"/>
    </row>
    <row r="381" spans="2:2">
      <c r="B381" s="185"/>
    </row>
    <row r="382" spans="2:2">
      <c r="B382" s="185"/>
    </row>
    <row r="383" spans="2:2">
      <c r="B383" s="185"/>
    </row>
    <row r="384" spans="2:2">
      <c r="B384" s="185"/>
    </row>
    <row r="385" spans="2:2">
      <c r="B385" s="185"/>
    </row>
    <row r="386" spans="2:2">
      <c r="B386" s="185"/>
    </row>
    <row r="387" spans="2:2">
      <c r="B387" s="185"/>
    </row>
    <row r="388" spans="2:2">
      <c r="B388" s="185"/>
    </row>
    <row r="389" spans="2:2">
      <c r="B389" s="185"/>
    </row>
    <row r="390" spans="2:2">
      <c r="B390" s="185"/>
    </row>
    <row r="391" spans="2:2">
      <c r="B391" s="185"/>
    </row>
    <row r="392" spans="2:2">
      <c r="B392" s="185"/>
    </row>
    <row r="393" spans="2:2">
      <c r="B393" s="185"/>
    </row>
    <row r="394" spans="2:2">
      <c r="B394" s="185"/>
    </row>
    <row r="395" spans="2:2">
      <c r="B395" s="185"/>
    </row>
    <row r="396" spans="2:2">
      <c r="B396" s="185"/>
    </row>
    <row r="397" spans="2:2">
      <c r="B397" s="185"/>
    </row>
    <row r="398" spans="2:2">
      <c r="B398" s="185"/>
    </row>
    <row r="399" spans="2:2">
      <c r="B399" s="185"/>
    </row>
    <row r="400" spans="2:2">
      <c r="B400" s="185"/>
    </row>
    <row r="401" spans="2:2">
      <c r="B401" s="185"/>
    </row>
    <row r="402" spans="2:2">
      <c r="B402" s="185"/>
    </row>
    <row r="403" spans="2:2">
      <c r="B403" s="185"/>
    </row>
    <row r="404" spans="2:2">
      <c r="B404" s="185"/>
    </row>
    <row r="405" spans="2:2">
      <c r="B405" s="185"/>
    </row>
    <row r="406" spans="2:2">
      <c r="B406" s="185"/>
    </row>
    <row r="407" spans="2:2">
      <c r="B407" s="185"/>
    </row>
    <row r="408" spans="2:2">
      <c r="B408" s="185"/>
    </row>
    <row r="409" spans="2:2">
      <c r="B409" s="185"/>
    </row>
    <row r="410" spans="2:2">
      <c r="B410" s="185"/>
    </row>
    <row r="411" spans="2:2">
      <c r="B411" s="185"/>
    </row>
    <row r="412" spans="2:2">
      <c r="B412" s="185"/>
    </row>
    <row r="413" spans="2:2">
      <c r="B413" s="185"/>
    </row>
    <row r="414" spans="2:2">
      <c r="B414" s="185"/>
    </row>
    <row r="415" spans="2:2">
      <c r="B415" s="185"/>
    </row>
    <row r="416" spans="2:2">
      <c r="B416" s="185"/>
    </row>
    <row r="417" spans="2:2">
      <c r="B417" s="185"/>
    </row>
    <row r="418" spans="2:2">
      <c r="B418" s="185"/>
    </row>
    <row r="419" spans="2:2">
      <c r="B419" s="185"/>
    </row>
    <row r="420" spans="2:2">
      <c r="B420" s="185"/>
    </row>
    <row r="421" spans="2:2">
      <c r="B421" s="185"/>
    </row>
    <row r="422" spans="2:2">
      <c r="B422" s="185"/>
    </row>
    <row r="423" spans="2:2">
      <c r="B423" s="185"/>
    </row>
    <row r="424" spans="2:2">
      <c r="B424" s="185"/>
    </row>
    <row r="425" spans="2:2">
      <c r="B425" s="185"/>
    </row>
    <row r="426" spans="2:2">
      <c r="B426" s="185"/>
    </row>
    <row r="427" spans="2:2">
      <c r="B427" s="185"/>
    </row>
    <row r="428" spans="2:2">
      <c r="B428" s="185"/>
    </row>
    <row r="429" spans="2:2">
      <c r="B429" s="185"/>
    </row>
    <row r="430" spans="2:2">
      <c r="B430" s="185"/>
    </row>
    <row r="431" spans="2:2">
      <c r="B431" s="185"/>
    </row>
    <row r="432" spans="2:2">
      <c r="B432" s="185"/>
    </row>
    <row r="433" spans="2:2">
      <c r="B433" s="185"/>
    </row>
    <row r="434" spans="2:2">
      <c r="B434" s="185"/>
    </row>
    <row r="435" spans="2:2">
      <c r="B435" s="185"/>
    </row>
    <row r="436" spans="2:2">
      <c r="B436" s="185"/>
    </row>
    <row r="437" spans="2:2">
      <c r="B437" s="185"/>
    </row>
    <row r="438" spans="2:2">
      <c r="B438" s="185"/>
    </row>
    <row r="439" spans="2:2">
      <c r="B439" s="185"/>
    </row>
    <row r="440" spans="2:2">
      <c r="B440" s="185"/>
    </row>
    <row r="441" spans="2:2">
      <c r="B441" s="185"/>
    </row>
    <row r="442" spans="2:2">
      <c r="B442" s="185"/>
    </row>
    <row r="443" spans="2:2">
      <c r="B443" s="185"/>
    </row>
    <row r="444" spans="2:2">
      <c r="B444" s="185"/>
    </row>
    <row r="445" spans="2:2">
      <c r="B445" s="185"/>
    </row>
    <row r="446" spans="2:2">
      <c r="B446" s="185"/>
    </row>
    <row r="447" spans="2:2">
      <c r="B447" s="185"/>
    </row>
    <row r="448" spans="2:2">
      <c r="B448" s="185"/>
    </row>
    <row r="449" spans="2:2">
      <c r="B449" s="185"/>
    </row>
    <row r="450" spans="2:2">
      <c r="B450" s="185"/>
    </row>
    <row r="451" spans="2:2">
      <c r="B451" s="185"/>
    </row>
    <row r="452" spans="2:2">
      <c r="B452" s="185"/>
    </row>
    <row r="453" spans="2:2">
      <c r="B453" s="185"/>
    </row>
    <row r="454" spans="2:2">
      <c r="B454" s="185"/>
    </row>
    <row r="455" spans="2:2">
      <c r="B455" s="185"/>
    </row>
    <row r="456" spans="2:2">
      <c r="B456" s="185"/>
    </row>
    <row r="457" spans="2:2">
      <c r="B457" s="185"/>
    </row>
    <row r="458" spans="2:2">
      <c r="B458" s="185"/>
    </row>
    <row r="459" spans="2:2">
      <c r="B459" s="185"/>
    </row>
    <row r="460" spans="2:2">
      <c r="B460" s="185"/>
    </row>
    <row r="461" spans="2:2">
      <c r="B461" s="185"/>
    </row>
    <row r="462" spans="2:2">
      <c r="B462" s="185"/>
    </row>
    <row r="463" spans="2:2">
      <c r="B463" s="185"/>
    </row>
    <row r="464" spans="2:2">
      <c r="B464" s="185"/>
    </row>
    <row r="465" spans="2:2">
      <c r="B465" s="185"/>
    </row>
    <row r="466" spans="2:2">
      <c r="B466" s="185"/>
    </row>
    <row r="467" spans="2:2">
      <c r="B467" s="185"/>
    </row>
    <row r="468" spans="2:2">
      <c r="B468" s="185"/>
    </row>
    <row r="469" spans="2:2">
      <c r="B469" s="185"/>
    </row>
    <row r="470" spans="2:2">
      <c r="B470" s="185"/>
    </row>
    <row r="471" spans="2:2">
      <c r="B471" s="185"/>
    </row>
    <row r="472" spans="2:2">
      <c r="B472" s="185"/>
    </row>
    <row r="473" spans="2:2">
      <c r="B473" s="185"/>
    </row>
    <row r="474" spans="2:2">
      <c r="B474" s="185"/>
    </row>
    <row r="475" spans="2:2">
      <c r="B475" s="185"/>
    </row>
    <row r="476" spans="2:2">
      <c r="B476" s="185"/>
    </row>
    <row r="477" spans="2:2">
      <c r="B477" s="185"/>
    </row>
    <row r="478" spans="2:2">
      <c r="B478" s="185"/>
    </row>
    <row r="479" spans="2:2">
      <c r="B479" s="185"/>
    </row>
    <row r="480" spans="2:2">
      <c r="B480" s="185"/>
    </row>
    <row r="481" spans="2:2">
      <c r="B481" s="185"/>
    </row>
    <row r="482" spans="2:2">
      <c r="B482" s="185"/>
    </row>
    <row r="483" spans="2:2">
      <c r="B483" s="185"/>
    </row>
    <row r="484" spans="2:2">
      <c r="B484" s="185"/>
    </row>
    <row r="485" spans="2:2">
      <c r="B485" s="185"/>
    </row>
    <row r="486" spans="2:2">
      <c r="B486" s="185"/>
    </row>
    <row r="487" spans="2:2">
      <c r="B487" s="185"/>
    </row>
    <row r="488" spans="2:2">
      <c r="B488" s="185"/>
    </row>
    <row r="489" spans="2:2">
      <c r="B489" s="185"/>
    </row>
    <row r="490" spans="2:2">
      <c r="B490" s="185"/>
    </row>
    <row r="491" spans="2:2">
      <c r="B491" s="185"/>
    </row>
    <row r="492" spans="2:2">
      <c r="B492" s="185"/>
    </row>
    <row r="493" spans="2:2">
      <c r="B493" s="185"/>
    </row>
    <row r="494" spans="2:2">
      <c r="B494" s="185"/>
    </row>
    <row r="495" spans="2:2">
      <c r="B495" s="185"/>
    </row>
    <row r="496" spans="2:2">
      <c r="B496" s="185"/>
    </row>
    <row r="497" spans="2:2">
      <c r="B497" s="185"/>
    </row>
    <row r="498" spans="2:2">
      <c r="B498" s="185"/>
    </row>
    <row r="499" spans="2:2">
      <c r="B499" s="185"/>
    </row>
    <row r="500" spans="2:2">
      <c r="B500" s="185"/>
    </row>
    <row r="501" spans="2:2">
      <c r="B501" s="185"/>
    </row>
    <row r="502" spans="2:2">
      <c r="B502" s="185"/>
    </row>
    <row r="503" spans="2:2">
      <c r="B503" s="185"/>
    </row>
    <row r="504" spans="2:2">
      <c r="B504" s="185"/>
    </row>
    <row r="505" spans="2:2">
      <c r="B505" s="185"/>
    </row>
    <row r="506" spans="2:2">
      <c r="B506" s="185"/>
    </row>
    <row r="507" spans="2:2">
      <c r="B507" s="185"/>
    </row>
    <row r="508" spans="2:2">
      <c r="B508" s="185"/>
    </row>
    <row r="509" spans="2:2">
      <c r="B509" s="185"/>
    </row>
    <row r="510" spans="2:2">
      <c r="B510" s="185"/>
    </row>
    <row r="511" spans="2:2">
      <c r="B511" s="185"/>
    </row>
    <row r="512" spans="2:2">
      <c r="B512" s="185"/>
    </row>
    <row r="513" spans="2:2">
      <c r="B513" s="185"/>
    </row>
    <row r="514" spans="2:2">
      <c r="B514" s="185"/>
    </row>
    <row r="515" spans="2:2">
      <c r="B515" s="185"/>
    </row>
    <row r="516" spans="2:2">
      <c r="B516" s="185"/>
    </row>
    <row r="517" spans="2:2">
      <c r="B517" s="185"/>
    </row>
    <row r="518" spans="2:2">
      <c r="B518" s="185"/>
    </row>
    <row r="519" spans="2:2">
      <c r="B519" s="185"/>
    </row>
    <row r="520" spans="2:2">
      <c r="B520" s="185"/>
    </row>
    <row r="521" spans="2:2">
      <c r="B521" s="185"/>
    </row>
    <row r="522" spans="2:2">
      <c r="B522" s="185"/>
    </row>
    <row r="523" spans="2:2">
      <c r="B523" s="185"/>
    </row>
    <row r="524" spans="2:2">
      <c r="B524" s="185"/>
    </row>
    <row r="525" spans="2:2">
      <c r="B525" s="185"/>
    </row>
    <row r="526" spans="2:2">
      <c r="B526" s="185"/>
    </row>
    <row r="527" spans="2:2">
      <c r="B527" s="185"/>
    </row>
    <row r="528" spans="2:2">
      <c r="B528" s="185"/>
    </row>
    <row r="529" spans="2:2">
      <c r="B529" s="185"/>
    </row>
    <row r="530" spans="2:2">
      <c r="B530" s="185"/>
    </row>
    <row r="531" spans="2:2">
      <c r="B531" s="185"/>
    </row>
    <row r="532" spans="2:2">
      <c r="B532" s="185"/>
    </row>
    <row r="533" spans="2:2">
      <c r="B533" s="185"/>
    </row>
    <row r="534" spans="2:2">
      <c r="B534" s="185"/>
    </row>
    <row r="535" spans="2:2">
      <c r="B535" s="185"/>
    </row>
    <row r="536" spans="2:2">
      <c r="B536" s="185"/>
    </row>
    <row r="537" spans="2:2">
      <c r="B537" s="185"/>
    </row>
    <row r="538" spans="2:2">
      <c r="B538" s="185"/>
    </row>
    <row r="539" spans="2:2">
      <c r="B539" s="185"/>
    </row>
    <row r="540" spans="2:2">
      <c r="B540" s="185"/>
    </row>
    <row r="541" spans="2:2">
      <c r="B541" s="185"/>
    </row>
    <row r="542" spans="2:2">
      <c r="B542" s="185"/>
    </row>
    <row r="543" spans="2:2">
      <c r="B543" s="185"/>
    </row>
    <row r="544" spans="2:2">
      <c r="B544" s="185"/>
    </row>
    <row r="545" spans="2:2">
      <c r="B545" s="185"/>
    </row>
    <row r="546" spans="2:2">
      <c r="B546" s="185"/>
    </row>
    <row r="547" spans="2:2">
      <c r="B547" s="185"/>
    </row>
    <row r="548" spans="2:2">
      <c r="B548" s="185"/>
    </row>
    <row r="549" spans="2:2">
      <c r="B549" s="185"/>
    </row>
    <row r="550" spans="2:2">
      <c r="B550" s="185"/>
    </row>
    <row r="551" spans="2:2">
      <c r="B551" s="185"/>
    </row>
    <row r="552" spans="2:2">
      <c r="B552" s="185"/>
    </row>
    <row r="553" spans="2:2">
      <c r="B553" s="185"/>
    </row>
    <row r="554" spans="2:2">
      <c r="B554" s="185"/>
    </row>
    <row r="555" spans="2:2">
      <c r="B555" s="185"/>
    </row>
    <row r="556" spans="2:2">
      <c r="B556" s="185"/>
    </row>
    <row r="557" spans="2:2">
      <c r="B557" s="185"/>
    </row>
    <row r="558" spans="2:2">
      <c r="B558" s="185"/>
    </row>
    <row r="559" spans="2:2">
      <c r="B559" s="185"/>
    </row>
    <row r="560" spans="2:2">
      <c r="B560" s="185"/>
    </row>
    <row r="561" spans="2:2">
      <c r="B561" s="185"/>
    </row>
    <row r="562" spans="2:2">
      <c r="B562" s="185"/>
    </row>
    <row r="563" spans="2:2">
      <c r="B563" s="185"/>
    </row>
    <row r="564" spans="2:2">
      <c r="B564" s="185"/>
    </row>
    <row r="565" spans="2:2">
      <c r="B565" s="185"/>
    </row>
    <row r="566" spans="2:2">
      <c r="B566" s="185"/>
    </row>
    <row r="567" spans="2:2">
      <c r="B567" s="185"/>
    </row>
    <row r="568" spans="2:2">
      <c r="B568" s="185"/>
    </row>
    <row r="569" spans="2:2">
      <c r="B569" s="185"/>
    </row>
    <row r="570" spans="2:2">
      <c r="B570" s="185"/>
    </row>
    <row r="571" spans="2:2">
      <c r="B571" s="185"/>
    </row>
    <row r="572" spans="2:2">
      <c r="B572" s="185"/>
    </row>
    <row r="573" spans="2:2">
      <c r="B573" s="185"/>
    </row>
    <row r="574" spans="2:2">
      <c r="B574" s="185"/>
    </row>
    <row r="575" spans="2:2">
      <c r="B575" s="185"/>
    </row>
    <row r="576" spans="2:2">
      <c r="B576" s="185"/>
    </row>
    <row r="577" spans="2:2">
      <c r="B577" s="185"/>
    </row>
    <row r="578" spans="2:2">
      <c r="B578" s="185"/>
    </row>
    <row r="579" spans="2:2">
      <c r="B579" s="185"/>
    </row>
    <row r="580" spans="2:2">
      <c r="B580" s="185"/>
    </row>
    <row r="581" spans="2:2">
      <c r="B581" s="185"/>
    </row>
    <row r="582" spans="2:2">
      <c r="B582" s="185"/>
    </row>
    <row r="583" spans="2:2">
      <c r="B583" s="185"/>
    </row>
    <row r="584" spans="2:2">
      <c r="B584" s="185"/>
    </row>
    <row r="585" spans="2:2">
      <c r="B585" s="185"/>
    </row>
    <row r="586" spans="2:2">
      <c r="B586" s="185"/>
    </row>
    <row r="587" spans="2:2">
      <c r="B587" s="185"/>
    </row>
    <row r="588" spans="2:2">
      <c r="B588" s="185"/>
    </row>
    <row r="589" spans="2:2">
      <c r="B589" s="185"/>
    </row>
    <row r="590" spans="2:2">
      <c r="B590" s="185"/>
    </row>
    <row r="591" spans="2:2">
      <c r="B591" s="185"/>
    </row>
    <row r="592" spans="2:2">
      <c r="B592" s="185"/>
    </row>
    <row r="593" spans="2:2">
      <c r="B593" s="185"/>
    </row>
    <row r="594" spans="2:2">
      <c r="B594" s="185"/>
    </row>
    <row r="595" spans="2:2">
      <c r="B595" s="185"/>
    </row>
    <row r="596" spans="2:2">
      <c r="B596" s="185"/>
    </row>
    <row r="597" spans="2:2">
      <c r="B597" s="185"/>
    </row>
    <row r="598" spans="2:2">
      <c r="B598" s="185"/>
    </row>
    <row r="599" spans="2:2">
      <c r="B599" s="185"/>
    </row>
    <row r="600" spans="2:2">
      <c r="B600" s="185"/>
    </row>
    <row r="601" spans="2:2">
      <c r="B601" s="185"/>
    </row>
    <row r="602" spans="2:2">
      <c r="B602" s="185"/>
    </row>
    <row r="603" spans="2:2">
      <c r="B603" s="185"/>
    </row>
    <row r="604" spans="2:2">
      <c r="B604" s="185"/>
    </row>
    <row r="605" spans="2:2">
      <c r="B605" s="185"/>
    </row>
    <row r="606" spans="2:2">
      <c r="B606" s="185"/>
    </row>
    <row r="607" spans="2:2">
      <c r="B607" s="185"/>
    </row>
    <row r="608" spans="2:2">
      <c r="B608" s="185"/>
    </row>
    <row r="609" spans="2:2">
      <c r="B609" s="185"/>
    </row>
    <row r="610" spans="2:2">
      <c r="B610" s="185"/>
    </row>
    <row r="611" spans="2:2">
      <c r="B611" s="185"/>
    </row>
    <row r="612" spans="2:2">
      <c r="B612" s="185"/>
    </row>
    <row r="613" spans="2:2">
      <c r="B613" s="185"/>
    </row>
    <row r="614" spans="2:2">
      <c r="B614" s="185"/>
    </row>
    <row r="615" spans="2:2">
      <c r="B615" s="185"/>
    </row>
    <row r="616" spans="2:2">
      <c r="B616" s="185"/>
    </row>
    <row r="617" spans="2:2">
      <c r="B617" s="185"/>
    </row>
    <row r="618" spans="2:2">
      <c r="B618" s="185"/>
    </row>
    <row r="619" spans="2:2">
      <c r="B619" s="185"/>
    </row>
    <row r="620" spans="2:2">
      <c r="B620" s="185"/>
    </row>
    <row r="621" spans="2:2">
      <c r="B621" s="185"/>
    </row>
    <row r="622" spans="2:2">
      <c r="B622" s="185"/>
    </row>
    <row r="623" spans="2:2">
      <c r="B623" s="185"/>
    </row>
    <row r="624" spans="2:2">
      <c r="B624" s="185"/>
    </row>
    <row r="625" spans="2:2">
      <c r="B625" s="185"/>
    </row>
    <row r="626" spans="2:2">
      <c r="B626" s="185"/>
    </row>
    <row r="627" spans="2:2">
      <c r="B627" s="185"/>
    </row>
    <row r="628" spans="2:2">
      <c r="B628" s="185"/>
    </row>
    <row r="629" spans="2:2">
      <c r="B629" s="185"/>
    </row>
    <row r="630" spans="2:2">
      <c r="B630" s="185"/>
    </row>
    <row r="631" spans="2:2">
      <c r="B631" s="185"/>
    </row>
    <row r="632" spans="2:2">
      <c r="B632" s="185"/>
    </row>
    <row r="633" spans="2:2">
      <c r="B633" s="185"/>
    </row>
    <row r="634" spans="2:2">
      <c r="B634" s="185"/>
    </row>
    <row r="635" spans="2:2">
      <c r="B635" s="185"/>
    </row>
    <row r="636" spans="2:2">
      <c r="B636" s="185"/>
    </row>
    <row r="637" spans="2:2">
      <c r="B637" s="185"/>
    </row>
    <row r="638" spans="2:2">
      <c r="B638" s="185"/>
    </row>
    <row r="639" spans="2:2">
      <c r="B639" s="185"/>
    </row>
    <row r="640" spans="2:2">
      <c r="B640" s="185"/>
    </row>
    <row r="641" spans="2:2">
      <c r="B641" s="185"/>
    </row>
    <row r="642" spans="2:2">
      <c r="B642" s="185"/>
    </row>
    <row r="643" spans="2:2">
      <c r="B643" s="185"/>
    </row>
    <row r="644" spans="2:2">
      <c r="B644" s="185"/>
    </row>
    <row r="645" spans="2:2">
      <c r="B645" s="185"/>
    </row>
    <row r="646" spans="2:2">
      <c r="B646" s="185"/>
    </row>
    <row r="647" spans="2:2">
      <c r="B647" s="185"/>
    </row>
    <row r="648" spans="2:2">
      <c r="B648" s="185"/>
    </row>
    <row r="649" spans="2:2">
      <c r="B649" s="185"/>
    </row>
    <row r="650" spans="2:2">
      <c r="B650" s="185"/>
    </row>
    <row r="651" spans="2:2">
      <c r="B651" s="185"/>
    </row>
    <row r="652" spans="2:2">
      <c r="B652" s="185"/>
    </row>
    <row r="653" spans="2:2">
      <c r="B653" s="185"/>
    </row>
    <row r="654" spans="2:2">
      <c r="B654" s="185"/>
    </row>
    <row r="655" spans="2:2">
      <c r="B655" s="185"/>
    </row>
    <row r="656" spans="2:2">
      <c r="B656" s="185"/>
    </row>
    <row r="657" spans="2:2">
      <c r="B657" s="185"/>
    </row>
    <row r="658" spans="2:2">
      <c r="B658" s="185"/>
    </row>
    <row r="659" spans="2:2">
      <c r="B659" s="185"/>
    </row>
    <row r="660" spans="2:2">
      <c r="B660" s="185"/>
    </row>
    <row r="661" spans="2:2">
      <c r="B661" s="185"/>
    </row>
    <row r="662" spans="2:2">
      <c r="B662" s="185"/>
    </row>
    <row r="663" spans="2:2">
      <c r="B663" s="185"/>
    </row>
    <row r="664" spans="2:2">
      <c r="B664" s="185"/>
    </row>
    <row r="665" spans="2:2">
      <c r="B665" s="185"/>
    </row>
    <row r="666" spans="2:2">
      <c r="B666" s="185"/>
    </row>
    <row r="667" spans="2:2">
      <c r="B667" s="185"/>
    </row>
    <row r="668" spans="2:2">
      <c r="B668" s="185"/>
    </row>
    <row r="669" spans="2:2">
      <c r="B669" s="185"/>
    </row>
    <row r="670" spans="2:2">
      <c r="B670" s="185"/>
    </row>
    <row r="671" spans="2:2">
      <c r="B671" s="185"/>
    </row>
    <row r="672" spans="2:2">
      <c r="B672" s="185"/>
    </row>
    <row r="673" spans="2:2">
      <c r="B673" s="185"/>
    </row>
    <row r="674" spans="2:2">
      <c r="B674" s="185"/>
    </row>
    <row r="675" spans="2:2">
      <c r="B675" s="185"/>
    </row>
    <row r="676" spans="2:2">
      <c r="B676" s="185"/>
    </row>
    <row r="677" spans="2:2">
      <c r="B677" s="185"/>
    </row>
    <row r="678" spans="2:2">
      <c r="B678" s="185"/>
    </row>
    <row r="679" spans="2:2">
      <c r="B679" s="185"/>
    </row>
    <row r="680" spans="2:2">
      <c r="B680" s="185"/>
    </row>
    <row r="681" spans="2:2">
      <c r="B681" s="185"/>
    </row>
    <row r="682" spans="2:2">
      <c r="B682" s="185"/>
    </row>
    <row r="683" spans="2:2">
      <c r="B683" s="185"/>
    </row>
    <row r="684" spans="2:2">
      <c r="B684" s="185"/>
    </row>
    <row r="685" spans="2:2">
      <c r="B685" s="185"/>
    </row>
    <row r="686" spans="2:2">
      <c r="B686" s="185"/>
    </row>
    <row r="687" spans="2:2">
      <c r="B687" s="185"/>
    </row>
    <row r="688" spans="2:2">
      <c r="B688" s="185"/>
    </row>
    <row r="689" spans="2:2">
      <c r="B689" s="185"/>
    </row>
    <row r="690" spans="2:2">
      <c r="B690" s="185"/>
    </row>
    <row r="691" spans="2:2">
      <c r="B691" s="185"/>
    </row>
    <row r="692" spans="2:2">
      <c r="B692" s="185"/>
    </row>
    <row r="693" spans="2:2">
      <c r="B693" s="185"/>
    </row>
    <row r="694" spans="2:2">
      <c r="B694" s="185"/>
    </row>
    <row r="695" spans="2:2">
      <c r="B695" s="185"/>
    </row>
    <row r="696" spans="2:2">
      <c r="B696" s="185"/>
    </row>
    <row r="697" spans="2:2">
      <c r="B697" s="185"/>
    </row>
    <row r="698" spans="2:2">
      <c r="B698" s="185"/>
    </row>
    <row r="699" spans="2:2">
      <c r="B699" s="185"/>
    </row>
    <row r="700" spans="2:2">
      <c r="B700" s="185"/>
    </row>
    <row r="701" spans="2:2">
      <c r="B701" s="185"/>
    </row>
    <row r="702" spans="2:2">
      <c r="B702" s="185"/>
    </row>
    <row r="703" spans="2:2">
      <c r="B703" s="185"/>
    </row>
    <row r="704" spans="2:2">
      <c r="B704" s="185"/>
    </row>
    <row r="705" spans="2:2">
      <c r="B705" s="185"/>
    </row>
    <row r="706" spans="2:2">
      <c r="B706" s="185"/>
    </row>
    <row r="707" spans="2:2">
      <c r="B707" s="185"/>
    </row>
    <row r="708" spans="2:2">
      <c r="B708" s="185"/>
    </row>
    <row r="709" spans="2:2">
      <c r="B709" s="185"/>
    </row>
    <row r="710" spans="2:2">
      <c r="B710" s="185"/>
    </row>
    <row r="711" spans="2:2">
      <c r="B711" s="185"/>
    </row>
    <row r="712" spans="2:2">
      <c r="B712" s="185"/>
    </row>
    <row r="713" spans="2:2">
      <c r="B713" s="185"/>
    </row>
    <row r="714" spans="2:2">
      <c r="B714" s="185"/>
    </row>
    <row r="715" spans="2:2">
      <c r="B715" s="185"/>
    </row>
    <row r="716" spans="2:2">
      <c r="B716" s="185"/>
    </row>
    <row r="717" spans="2:2">
      <c r="B717" s="185"/>
    </row>
    <row r="718" spans="2:2">
      <c r="B718" s="185"/>
    </row>
    <row r="719" spans="2:2">
      <c r="B719" s="185"/>
    </row>
    <row r="720" spans="2:2">
      <c r="B720" s="185"/>
    </row>
    <row r="721" spans="2:2">
      <c r="B721" s="185"/>
    </row>
    <row r="722" spans="2:2">
      <c r="B722" s="185"/>
    </row>
    <row r="723" spans="2:2">
      <c r="B723" s="185"/>
    </row>
    <row r="724" spans="2:2">
      <c r="B724" s="185"/>
    </row>
    <row r="725" spans="2:2">
      <c r="B725" s="185"/>
    </row>
    <row r="726" spans="2:2">
      <c r="B726" s="185"/>
    </row>
    <row r="727" spans="2:2">
      <c r="B727" s="185"/>
    </row>
    <row r="728" spans="2:2">
      <c r="B728" s="185"/>
    </row>
    <row r="729" spans="2:2">
      <c r="B729" s="185"/>
    </row>
    <row r="730" spans="2:2">
      <c r="B730" s="185"/>
    </row>
    <row r="731" spans="2:2">
      <c r="B731" s="185"/>
    </row>
    <row r="732" spans="2:2">
      <c r="B732" s="185"/>
    </row>
    <row r="733" spans="2:2">
      <c r="B733" s="185"/>
    </row>
    <row r="734" spans="2:2">
      <c r="B734" s="185"/>
    </row>
    <row r="735" spans="2:2">
      <c r="B735" s="185"/>
    </row>
    <row r="736" spans="2:2">
      <c r="B736" s="185"/>
    </row>
    <row r="737" spans="2:2">
      <c r="B737" s="185"/>
    </row>
    <row r="738" spans="2:2">
      <c r="B738" s="185"/>
    </row>
    <row r="739" spans="2:2">
      <c r="B739" s="185"/>
    </row>
    <row r="740" spans="2:2">
      <c r="B740" s="185"/>
    </row>
    <row r="741" spans="2:2">
      <c r="B741" s="185"/>
    </row>
    <row r="742" spans="2:2">
      <c r="B742" s="185"/>
    </row>
    <row r="743" spans="2:2">
      <c r="B743" s="185"/>
    </row>
    <row r="744" spans="2:2">
      <c r="B744" s="185"/>
    </row>
    <row r="745" spans="2:2">
      <c r="B745" s="185"/>
    </row>
    <row r="746" spans="2:2">
      <c r="B746" s="185"/>
    </row>
    <row r="747" spans="2:2">
      <c r="B747" s="185"/>
    </row>
    <row r="748" spans="2:2">
      <c r="B748" s="185"/>
    </row>
    <row r="749" spans="2:2">
      <c r="B749" s="185"/>
    </row>
    <row r="750" spans="2:2">
      <c r="B750" s="185"/>
    </row>
    <row r="751" spans="2:2">
      <c r="B751" s="185"/>
    </row>
    <row r="752" spans="2:2">
      <c r="B752" s="185"/>
    </row>
    <row r="753" spans="2:2">
      <c r="B753" s="185"/>
    </row>
    <row r="754" spans="2:2">
      <c r="B754" s="185"/>
    </row>
    <row r="755" spans="2:2">
      <c r="B755" s="185"/>
    </row>
    <row r="756" spans="2:2">
      <c r="B756" s="185"/>
    </row>
    <row r="757" spans="2:2">
      <c r="B757" s="185"/>
    </row>
    <row r="758" spans="2:2">
      <c r="B758" s="185"/>
    </row>
    <row r="759" spans="2:2">
      <c r="B759" s="185"/>
    </row>
    <row r="760" spans="2:2">
      <c r="B760" s="185"/>
    </row>
    <row r="761" spans="2:2">
      <c r="B761" s="185"/>
    </row>
    <row r="762" spans="2:2">
      <c r="B762" s="185"/>
    </row>
    <row r="763" spans="2:2">
      <c r="B763" s="185"/>
    </row>
    <row r="764" spans="2:2">
      <c r="B764" s="185"/>
    </row>
    <row r="765" spans="2:2">
      <c r="B765" s="185"/>
    </row>
    <row r="766" spans="2:2">
      <c r="B766" s="185"/>
    </row>
    <row r="767" spans="2:2">
      <c r="B767" s="185"/>
    </row>
    <row r="768" spans="2:2">
      <c r="B768" s="185"/>
    </row>
    <row r="769" spans="2:2">
      <c r="B769" s="185"/>
    </row>
    <row r="770" spans="2:2">
      <c r="B770" s="185"/>
    </row>
    <row r="771" spans="2:2">
      <c r="B771" s="185"/>
    </row>
    <row r="772" spans="2:2">
      <c r="B772" s="185"/>
    </row>
    <row r="773" spans="2:2">
      <c r="B773" s="185"/>
    </row>
    <row r="774" spans="2:2">
      <c r="B774" s="185"/>
    </row>
    <row r="775" spans="2:2">
      <c r="B775" s="185"/>
    </row>
    <row r="776" spans="2:2">
      <c r="B776" s="185"/>
    </row>
    <row r="777" spans="2:2">
      <c r="B777" s="185"/>
    </row>
    <row r="778" spans="2:2">
      <c r="B778" s="185"/>
    </row>
    <row r="779" spans="2:2">
      <c r="B779" s="185"/>
    </row>
    <row r="780" spans="2:2">
      <c r="B780" s="185"/>
    </row>
    <row r="781" spans="2:2">
      <c r="B781" s="185"/>
    </row>
    <row r="782" spans="2:2">
      <c r="B782" s="185"/>
    </row>
    <row r="783" spans="2:2">
      <c r="B783" s="185"/>
    </row>
    <row r="784" spans="2:2">
      <c r="B784" s="185"/>
    </row>
    <row r="785" spans="2:2">
      <c r="B785" s="185"/>
    </row>
    <row r="786" spans="2:2">
      <c r="B786" s="185"/>
    </row>
    <row r="787" spans="2:2">
      <c r="B787" s="185"/>
    </row>
    <row r="788" spans="2:2">
      <c r="B788" s="185"/>
    </row>
    <row r="789" spans="2:2">
      <c r="B789" s="185"/>
    </row>
    <row r="790" spans="2:2">
      <c r="B790" s="185"/>
    </row>
    <row r="791" spans="2:2">
      <c r="B791" s="185"/>
    </row>
    <row r="792" spans="2:2">
      <c r="B792" s="185"/>
    </row>
    <row r="793" spans="2:2">
      <c r="B793" s="185"/>
    </row>
    <row r="794" spans="2:2">
      <c r="B794" s="185"/>
    </row>
    <row r="795" spans="2:2">
      <c r="B795" s="185"/>
    </row>
    <row r="796" spans="2:2">
      <c r="B796" s="185"/>
    </row>
    <row r="797" spans="2:2">
      <c r="B797" s="185"/>
    </row>
    <row r="798" spans="2:2">
      <c r="B798" s="185"/>
    </row>
    <row r="799" spans="2:2">
      <c r="B799" s="185"/>
    </row>
    <row r="800" spans="2:2">
      <c r="B800" s="185"/>
    </row>
    <row r="801" spans="2:2">
      <c r="B801" s="185"/>
    </row>
    <row r="802" spans="2:2">
      <c r="B802" s="185"/>
    </row>
    <row r="803" spans="2:2">
      <c r="B803" s="185"/>
    </row>
    <row r="804" spans="2:2">
      <c r="B804" s="185"/>
    </row>
    <row r="805" spans="2:2">
      <c r="B805" s="185"/>
    </row>
    <row r="806" spans="2:2">
      <c r="B806" s="185"/>
    </row>
    <row r="807" spans="2:2">
      <c r="B807" s="185"/>
    </row>
    <row r="808" spans="2:2">
      <c r="B808" s="185"/>
    </row>
    <row r="809" spans="2:2">
      <c r="B809" s="185"/>
    </row>
    <row r="810" spans="2:2">
      <c r="B810" s="185"/>
    </row>
    <row r="811" spans="2:2">
      <c r="B811" s="185"/>
    </row>
    <row r="812" spans="2:2">
      <c r="B812" s="185"/>
    </row>
    <row r="813" spans="2:2">
      <c r="B813" s="185"/>
    </row>
    <row r="814" spans="2:2">
      <c r="B814" s="185"/>
    </row>
    <row r="815" spans="2:2">
      <c r="B815" s="185"/>
    </row>
    <row r="816" spans="2:2">
      <c r="B816" s="185"/>
    </row>
    <row r="817" spans="2:2">
      <c r="B817" s="185"/>
    </row>
    <row r="818" spans="2:2">
      <c r="B818" s="185"/>
    </row>
    <row r="819" spans="2:2">
      <c r="B819" s="185"/>
    </row>
    <row r="820" spans="2:2">
      <c r="B820" s="185"/>
    </row>
    <row r="821" spans="2:2">
      <c r="B821" s="185"/>
    </row>
    <row r="822" spans="2:2">
      <c r="B822" s="185"/>
    </row>
    <row r="823" spans="2:2">
      <c r="B823" s="185"/>
    </row>
    <row r="824" spans="2:2">
      <c r="B824" s="185"/>
    </row>
    <row r="825" spans="2:2">
      <c r="B825" s="185"/>
    </row>
    <row r="826" spans="2:2">
      <c r="B826" s="185"/>
    </row>
    <row r="827" spans="2:2">
      <c r="B827" s="185"/>
    </row>
    <row r="828" spans="2:2">
      <c r="B828" s="185"/>
    </row>
    <row r="829" spans="2:2">
      <c r="B829" s="185"/>
    </row>
    <row r="830" spans="2:2">
      <c r="B830" s="185"/>
    </row>
    <row r="831" spans="2:2">
      <c r="B831" s="185"/>
    </row>
    <row r="832" spans="2:2">
      <c r="B832" s="185"/>
    </row>
    <row r="833" spans="2:2">
      <c r="B833" s="185"/>
    </row>
    <row r="834" spans="2:2">
      <c r="B834" s="185"/>
    </row>
    <row r="835" spans="2:2">
      <c r="B835" s="185"/>
    </row>
    <row r="836" spans="2:2">
      <c r="B836" s="185"/>
    </row>
    <row r="837" spans="2:2">
      <c r="B837" s="185"/>
    </row>
    <row r="838" spans="2:2">
      <c r="B838" s="185"/>
    </row>
    <row r="839" spans="2:2">
      <c r="B839" s="185"/>
    </row>
    <row r="840" spans="2:2">
      <c r="B840" s="185"/>
    </row>
    <row r="841" spans="2:2">
      <c r="B841" s="185"/>
    </row>
    <row r="842" spans="2:2">
      <c r="B842" s="185"/>
    </row>
    <row r="843" spans="2:2">
      <c r="B843" s="185"/>
    </row>
    <row r="844" spans="2:2">
      <c r="B844" s="185"/>
    </row>
    <row r="845" spans="2:2">
      <c r="B845" s="185"/>
    </row>
    <row r="846" spans="2:2">
      <c r="B846" s="185"/>
    </row>
    <row r="847" spans="2:2">
      <c r="B847" s="185"/>
    </row>
    <row r="848" spans="2:2">
      <c r="B848" s="185"/>
    </row>
    <row r="849" spans="2:2">
      <c r="B849" s="185"/>
    </row>
    <row r="850" spans="2:2">
      <c r="B850" s="185"/>
    </row>
    <row r="851" spans="2:2">
      <c r="B851" s="185"/>
    </row>
    <row r="852" spans="2:2">
      <c r="B852" s="185"/>
    </row>
    <row r="853" spans="2:2">
      <c r="B853" s="185"/>
    </row>
    <row r="854" spans="2:2">
      <c r="B854" s="185"/>
    </row>
    <row r="855" spans="2:2">
      <c r="B855" s="185"/>
    </row>
    <row r="856" spans="2:2">
      <c r="B856" s="185"/>
    </row>
    <row r="857" spans="2:2">
      <c r="B857" s="185"/>
    </row>
    <row r="858" spans="2:2">
      <c r="B858" s="185"/>
    </row>
    <row r="859" spans="2:2">
      <c r="B859" s="185"/>
    </row>
    <row r="860" spans="2:2">
      <c r="B860" s="185"/>
    </row>
    <row r="861" spans="2:2">
      <c r="B861" s="185"/>
    </row>
    <row r="862" spans="2:2">
      <c r="B862" s="185"/>
    </row>
    <row r="863" spans="2:2">
      <c r="B863" s="185"/>
    </row>
    <row r="864" spans="2:2">
      <c r="B864" s="185"/>
    </row>
    <row r="865" spans="2:2">
      <c r="B865" s="185"/>
    </row>
    <row r="866" spans="2:2">
      <c r="B866" s="185"/>
    </row>
    <row r="867" spans="2:2">
      <c r="B867" s="185"/>
    </row>
    <row r="868" spans="2:2">
      <c r="B868" s="185"/>
    </row>
    <row r="869" spans="2:2">
      <c r="B869" s="185"/>
    </row>
    <row r="870" spans="2:2">
      <c r="B870" s="185"/>
    </row>
    <row r="871" spans="2:2">
      <c r="B871" s="185"/>
    </row>
    <row r="872" spans="2:2">
      <c r="B872" s="185"/>
    </row>
    <row r="873" spans="2:2">
      <c r="B873" s="185"/>
    </row>
    <row r="874" spans="2:2">
      <c r="B874" s="185"/>
    </row>
    <row r="875" spans="2:2">
      <c r="B875" s="185"/>
    </row>
    <row r="876" spans="2:2">
      <c r="B876" s="185"/>
    </row>
    <row r="877" spans="2:2">
      <c r="B877" s="185"/>
    </row>
    <row r="878" spans="2:2">
      <c r="B878" s="185"/>
    </row>
    <row r="879" spans="2:2">
      <c r="B879" s="185"/>
    </row>
    <row r="880" spans="2:2">
      <c r="B880" s="185"/>
    </row>
    <row r="881" spans="2:2">
      <c r="B881" s="185"/>
    </row>
    <row r="882" spans="2:2">
      <c r="B882" s="185"/>
    </row>
    <row r="883" spans="2:2">
      <c r="B883" s="185"/>
    </row>
    <row r="884" spans="2:2">
      <c r="B884" s="185"/>
    </row>
    <row r="885" spans="2:2">
      <c r="B885" s="185"/>
    </row>
    <row r="886" spans="2:2">
      <c r="B886" s="185"/>
    </row>
    <row r="887" spans="2:2">
      <c r="B887" s="185"/>
    </row>
    <row r="888" spans="2:2">
      <c r="B888" s="185"/>
    </row>
    <row r="889" spans="2:2">
      <c r="B889" s="185"/>
    </row>
    <row r="890" spans="2:2">
      <c r="B890" s="185"/>
    </row>
    <row r="891" spans="2:2">
      <c r="B891" s="185"/>
    </row>
    <row r="892" spans="2:2">
      <c r="B892" s="185"/>
    </row>
    <row r="893" spans="2:2">
      <c r="B893" s="185"/>
    </row>
    <row r="894" spans="2:2">
      <c r="B894" s="185"/>
    </row>
    <row r="895" spans="2:2">
      <c r="B895" s="185"/>
    </row>
    <row r="896" spans="2:2">
      <c r="B896" s="185"/>
    </row>
    <row r="897" spans="2:2">
      <c r="B897" s="185"/>
    </row>
    <row r="898" spans="2:2">
      <c r="B898" s="185"/>
    </row>
    <row r="899" spans="2:2">
      <c r="B899" s="185"/>
    </row>
    <row r="900" spans="2:2">
      <c r="B900" s="185"/>
    </row>
    <row r="901" spans="2:2">
      <c r="B901" s="185"/>
    </row>
    <row r="902" spans="2:2">
      <c r="B902" s="185"/>
    </row>
    <row r="903" spans="2:2">
      <c r="B903" s="185"/>
    </row>
    <row r="904" spans="2:2">
      <c r="B904" s="185"/>
    </row>
    <row r="905" spans="2:2">
      <c r="B905" s="185"/>
    </row>
    <row r="906" spans="2:2">
      <c r="B906" s="185"/>
    </row>
    <row r="907" spans="2:2">
      <c r="B907" s="185"/>
    </row>
    <row r="908" spans="2:2">
      <c r="B908" s="185"/>
    </row>
    <row r="909" spans="2:2">
      <c r="B909" s="185"/>
    </row>
    <row r="910" spans="2:2">
      <c r="B910" s="185"/>
    </row>
    <row r="911" spans="2:2">
      <c r="B911" s="185"/>
    </row>
    <row r="912" spans="2:2">
      <c r="B912" s="185"/>
    </row>
    <row r="913" spans="2:2">
      <c r="B913" s="185"/>
    </row>
    <row r="914" spans="2:2">
      <c r="B914" s="185"/>
    </row>
    <row r="915" spans="2:2">
      <c r="B915" s="185"/>
    </row>
    <row r="916" spans="2:2">
      <c r="B916" s="185"/>
    </row>
    <row r="917" spans="2:2">
      <c r="B917" s="185"/>
    </row>
    <row r="918" spans="2:2">
      <c r="B918" s="185"/>
    </row>
    <row r="919" spans="2:2">
      <c r="B919" s="185"/>
    </row>
    <row r="920" spans="2:2">
      <c r="B920" s="185"/>
    </row>
    <row r="921" spans="2:2">
      <c r="B921" s="185"/>
    </row>
    <row r="922" spans="2:2">
      <c r="B922" s="185"/>
    </row>
    <row r="923" spans="2:2">
      <c r="B923" s="185"/>
    </row>
    <row r="924" spans="2:2">
      <c r="B924" s="185"/>
    </row>
    <row r="925" spans="2:2">
      <c r="B925" s="185"/>
    </row>
    <row r="926" spans="2:2">
      <c r="B926" s="185"/>
    </row>
    <row r="927" spans="2:2">
      <c r="B927" s="185"/>
    </row>
    <row r="928" spans="2:2">
      <c r="B928" s="185"/>
    </row>
    <row r="929" spans="2:2">
      <c r="B929" s="185"/>
    </row>
    <row r="930" spans="2:2">
      <c r="B930" s="185"/>
    </row>
    <row r="931" spans="2:2">
      <c r="B931" s="185"/>
    </row>
    <row r="932" spans="2:2">
      <c r="B932" s="185"/>
    </row>
    <row r="933" spans="2:2">
      <c r="B933" s="185"/>
    </row>
    <row r="934" spans="2:2">
      <c r="B934" s="185"/>
    </row>
    <row r="935" spans="2:2">
      <c r="B935" s="185"/>
    </row>
    <row r="936" spans="2:2">
      <c r="B936" s="185"/>
    </row>
    <row r="937" spans="2:2">
      <c r="B937" s="185"/>
    </row>
    <row r="938" spans="2:2">
      <c r="B938" s="185"/>
    </row>
    <row r="939" spans="2:2">
      <c r="B939" s="185"/>
    </row>
    <row r="940" spans="2:2">
      <c r="B940" s="185"/>
    </row>
    <row r="941" spans="2:2">
      <c r="B941" s="185"/>
    </row>
    <row r="942" spans="2:2">
      <c r="B942" s="185"/>
    </row>
    <row r="943" spans="2:2">
      <c r="B943" s="185"/>
    </row>
    <row r="944" spans="2:2">
      <c r="B944" s="185"/>
    </row>
    <row r="945" spans="2:2">
      <c r="B945" s="185"/>
    </row>
    <row r="946" spans="2:2">
      <c r="B946" s="185"/>
    </row>
    <row r="947" spans="2:2">
      <c r="B947" s="185"/>
    </row>
    <row r="948" spans="2:2">
      <c r="B948" s="185"/>
    </row>
    <row r="949" spans="2:2">
      <c r="B949" s="185"/>
    </row>
    <row r="950" spans="2:2">
      <c r="B950" s="185"/>
    </row>
    <row r="951" spans="2:2">
      <c r="B951" s="185"/>
    </row>
    <row r="952" spans="2:2">
      <c r="B952" s="185"/>
    </row>
    <row r="953" spans="2:2">
      <c r="B953" s="185"/>
    </row>
    <row r="954" spans="2:2">
      <c r="B954" s="185"/>
    </row>
    <row r="955" spans="2:2">
      <c r="B955" s="185"/>
    </row>
    <row r="956" spans="2:2">
      <c r="B956" s="185"/>
    </row>
    <row r="957" spans="2:2">
      <c r="B957" s="185"/>
    </row>
    <row r="958" spans="2:2">
      <c r="B958" s="185"/>
    </row>
    <row r="959" spans="2:2">
      <c r="B959" s="185"/>
    </row>
    <row r="960" spans="2:2">
      <c r="B960" s="185"/>
    </row>
    <row r="961" spans="2:2">
      <c r="B961" s="185"/>
    </row>
    <row r="962" spans="2:2">
      <c r="B962" s="185"/>
    </row>
    <row r="963" spans="2:2">
      <c r="B963" s="185"/>
    </row>
    <row r="964" spans="2:2">
      <c r="B964" s="185"/>
    </row>
    <row r="965" spans="2:2">
      <c r="B965" s="185"/>
    </row>
    <row r="966" spans="2:2">
      <c r="B966" s="185"/>
    </row>
    <row r="967" spans="2:2">
      <c r="B967" s="185"/>
    </row>
    <row r="968" spans="2:2">
      <c r="B968" s="185"/>
    </row>
    <row r="969" spans="2:2">
      <c r="B969" s="185"/>
    </row>
    <row r="970" spans="2:2">
      <c r="B970" s="185"/>
    </row>
    <row r="971" spans="2:2">
      <c r="B971" s="185"/>
    </row>
    <row r="972" spans="2:2">
      <c r="B972" s="185"/>
    </row>
    <row r="973" spans="2:2">
      <c r="B973" s="185"/>
    </row>
    <row r="974" spans="2:2">
      <c r="B974" s="185"/>
    </row>
    <row r="975" spans="2:2">
      <c r="B975" s="185"/>
    </row>
    <row r="976" spans="2:2">
      <c r="B976" s="185"/>
    </row>
    <row r="977" spans="2:2">
      <c r="B977" s="185"/>
    </row>
    <row r="978" spans="2:2">
      <c r="B978" s="185"/>
    </row>
    <row r="979" spans="2:2">
      <c r="B979" s="185"/>
    </row>
    <row r="980" spans="2:2">
      <c r="B980" s="185"/>
    </row>
    <row r="981" spans="2:2">
      <c r="B981" s="185"/>
    </row>
    <row r="982" spans="2:2">
      <c r="B982" s="185"/>
    </row>
    <row r="983" spans="2:2">
      <c r="B983" s="185"/>
    </row>
    <row r="984" spans="2:2">
      <c r="B984" s="185"/>
    </row>
    <row r="985" spans="2:2">
      <c r="B985" s="185"/>
    </row>
    <row r="986" spans="2:2">
      <c r="B986" s="185"/>
    </row>
    <row r="987" spans="2:2">
      <c r="B987" s="185"/>
    </row>
    <row r="988" spans="2:2">
      <c r="B988" s="185"/>
    </row>
    <row r="989" spans="2:2">
      <c r="B989" s="185"/>
    </row>
    <row r="990" spans="2:2">
      <c r="B990" s="185"/>
    </row>
    <row r="991" spans="2:2">
      <c r="B991" s="185"/>
    </row>
    <row r="992" spans="2:2">
      <c r="B992" s="185"/>
    </row>
    <row r="993" spans="2:2">
      <c r="B993" s="185"/>
    </row>
    <row r="994" spans="2:2">
      <c r="B994" s="185"/>
    </row>
    <row r="995" spans="2:2">
      <c r="B995" s="185"/>
    </row>
    <row r="996" spans="2:2">
      <c r="B996" s="185"/>
    </row>
    <row r="997" spans="2:2">
      <c r="B997" s="185"/>
    </row>
    <row r="998" spans="2:2">
      <c r="B998" s="185"/>
    </row>
    <row r="999" spans="2:2">
      <c r="B999" s="185"/>
    </row>
    <row r="1000" spans="2:2">
      <c r="B1000" s="18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77"/>
  <sheetViews>
    <sheetView workbookViewId="0">
      <pane xSplit="2" ySplit="1" topLeftCell="C116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sheetData>
    <row r="1" spans="1:8">
      <c r="B1" s="287" t="s">
        <v>460</v>
      </c>
      <c r="C1" s="483" t="s">
        <v>461</v>
      </c>
      <c r="D1" s="483" t="s">
        <v>462</v>
      </c>
      <c r="E1" s="483" t="s">
        <v>463</v>
      </c>
      <c r="F1" s="483" t="s">
        <v>464</v>
      </c>
      <c r="G1" s="215" t="s">
        <v>465</v>
      </c>
      <c r="H1" s="484" t="s">
        <v>466</v>
      </c>
    </row>
    <row r="2" spans="1:8">
      <c r="A2" s="481" t="s">
        <v>279</v>
      </c>
      <c r="B2" s="482">
        <f t="shared" ref="B2:B174" si="0">SUM(C2:G2)</f>
        <v>7.46</v>
      </c>
      <c r="C2" s="485">
        <v>7.43</v>
      </c>
      <c r="D2" s="485">
        <v>0.03</v>
      </c>
      <c r="E2" s="485">
        <v>0</v>
      </c>
      <c r="F2" s="180"/>
      <c r="G2" s="485">
        <v>0</v>
      </c>
    </row>
    <row r="3" spans="1:8">
      <c r="A3" s="481" t="s">
        <v>240</v>
      </c>
      <c r="B3" s="482">
        <f t="shared" si="0"/>
        <v>47.75</v>
      </c>
      <c r="C3" s="485">
        <v>47.75</v>
      </c>
      <c r="D3" s="180"/>
      <c r="E3" s="485">
        <v>0</v>
      </c>
      <c r="F3" s="180"/>
      <c r="G3" s="485">
        <v>0</v>
      </c>
    </row>
    <row r="4" spans="1:8">
      <c r="A4" s="481" t="s">
        <v>219</v>
      </c>
      <c r="B4" s="482">
        <f t="shared" si="0"/>
        <v>67.099999999999994</v>
      </c>
      <c r="C4" s="485">
        <v>67.099999999999994</v>
      </c>
      <c r="D4" s="485">
        <v>0</v>
      </c>
      <c r="E4" s="485">
        <v>0</v>
      </c>
      <c r="F4" s="180"/>
      <c r="G4" s="485">
        <v>0</v>
      </c>
    </row>
    <row r="5" spans="1:8">
      <c r="A5" s="481" t="s">
        <v>173</v>
      </c>
      <c r="B5" s="482">
        <f t="shared" si="0"/>
        <v>248.22</v>
      </c>
      <c r="C5" s="485">
        <v>12.25</v>
      </c>
      <c r="D5" s="485">
        <v>194.06</v>
      </c>
      <c r="E5" s="485">
        <v>41.91</v>
      </c>
      <c r="F5" s="180"/>
      <c r="G5" s="485">
        <v>0</v>
      </c>
    </row>
    <row r="6" spans="1:8">
      <c r="A6" s="481" t="s">
        <v>405</v>
      </c>
      <c r="B6" s="482">
        <f t="shared" si="0"/>
        <v>18.5</v>
      </c>
      <c r="C6" s="485">
        <v>11.08</v>
      </c>
      <c r="D6" s="485">
        <v>1.23</v>
      </c>
      <c r="E6" s="485">
        <v>3.46</v>
      </c>
      <c r="F6" s="485">
        <v>1.32</v>
      </c>
      <c r="G6" s="485">
        <v>1.41</v>
      </c>
    </row>
    <row r="7" spans="1:8">
      <c r="A7" s="481" t="s">
        <v>307</v>
      </c>
      <c r="B7" s="482">
        <f t="shared" si="0"/>
        <v>47.370000000000005</v>
      </c>
      <c r="C7" s="485">
        <v>38.369999999999997</v>
      </c>
      <c r="D7" s="485">
        <v>1.84</v>
      </c>
      <c r="E7" s="485">
        <v>7.16</v>
      </c>
      <c r="F7" s="485"/>
      <c r="G7" s="485">
        <v>0</v>
      </c>
    </row>
    <row r="8" spans="1:8">
      <c r="A8" s="481" t="s">
        <v>280</v>
      </c>
      <c r="B8" s="482">
        <f t="shared" si="0"/>
        <v>34.19</v>
      </c>
      <c r="C8" s="485">
        <v>34.19</v>
      </c>
      <c r="D8" s="180"/>
      <c r="E8" s="485">
        <v>0</v>
      </c>
      <c r="F8" s="485"/>
      <c r="G8" s="485">
        <v>0</v>
      </c>
    </row>
    <row r="9" spans="1:8">
      <c r="A9" s="481" t="s">
        <v>292</v>
      </c>
      <c r="B9" s="482">
        <f t="shared" si="0"/>
        <v>48.81</v>
      </c>
      <c r="C9" s="485">
        <v>46.29</v>
      </c>
      <c r="D9" s="485">
        <v>0.05</v>
      </c>
      <c r="E9" s="485">
        <v>2.4500000000000002</v>
      </c>
      <c r="F9" s="180"/>
      <c r="G9" s="485">
        <v>0.02</v>
      </c>
    </row>
    <row r="10" spans="1:8">
      <c r="A10" s="481" t="s">
        <v>241</v>
      </c>
      <c r="B10" s="482">
        <f t="shared" si="0"/>
        <v>57.14</v>
      </c>
      <c r="C10" s="485">
        <v>56.86</v>
      </c>
      <c r="D10" s="180"/>
      <c r="E10" s="485">
        <v>0.26</v>
      </c>
      <c r="F10" s="180"/>
      <c r="G10" s="485">
        <v>0.02</v>
      </c>
    </row>
    <row r="11" spans="1:8">
      <c r="A11" s="481" t="s">
        <v>406</v>
      </c>
      <c r="B11" s="482">
        <f t="shared" si="0"/>
        <v>72.67</v>
      </c>
      <c r="C11" s="485">
        <v>72.67</v>
      </c>
      <c r="D11" s="180"/>
      <c r="E11" s="485">
        <v>0</v>
      </c>
      <c r="F11" s="180"/>
      <c r="G11" s="485">
        <v>0</v>
      </c>
    </row>
    <row r="12" spans="1:8">
      <c r="A12" s="481" t="s">
        <v>407</v>
      </c>
      <c r="B12" s="482">
        <f t="shared" si="0"/>
        <v>12.07</v>
      </c>
      <c r="C12" s="485">
        <v>7.24</v>
      </c>
      <c r="D12" s="485">
        <v>1.99</v>
      </c>
      <c r="E12" s="485">
        <v>2.69</v>
      </c>
      <c r="F12" s="180"/>
      <c r="G12" s="485">
        <v>0.15</v>
      </c>
    </row>
    <row r="13" spans="1:8">
      <c r="A13" s="481" t="s">
        <v>236</v>
      </c>
      <c r="B13" s="482">
        <f t="shared" si="0"/>
        <v>53.269999999999996</v>
      </c>
      <c r="C13" s="485">
        <v>51.66</v>
      </c>
      <c r="D13" s="485">
        <v>0.2</v>
      </c>
      <c r="E13" s="485">
        <v>1.41</v>
      </c>
      <c r="F13" s="180"/>
      <c r="G13" s="485">
        <v>0</v>
      </c>
    </row>
    <row r="14" spans="1:8">
      <c r="A14" s="481" t="s">
        <v>408</v>
      </c>
      <c r="B14" s="482">
        <f t="shared" si="0"/>
        <v>47.27</v>
      </c>
      <c r="C14" s="485">
        <v>38.380000000000003</v>
      </c>
      <c r="D14" s="485">
        <v>2.0499999999999998</v>
      </c>
      <c r="E14" s="485">
        <v>4.8499999999999996</v>
      </c>
      <c r="F14" s="485">
        <v>1.02</v>
      </c>
      <c r="G14" s="485">
        <v>0.97</v>
      </c>
    </row>
    <row r="15" spans="1:8">
      <c r="A15" s="481" t="s">
        <v>242</v>
      </c>
      <c r="B15" s="482">
        <f t="shared" si="0"/>
        <v>182.43</v>
      </c>
      <c r="C15" s="485">
        <v>182.43</v>
      </c>
      <c r="D15" s="485">
        <v>0</v>
      </c>
      <c r="E15" s="485">
        <v>0</v>
      </c>
      <c r="F15" s="180"/>
      <c r="G15" s="485">
        <v>0</v>
      </c>
    </row>
    <row r="16" spans="1:8">
      <c r="A16" s="481" t="s">
        <v>243</v>
      </c>
      <c r="B16" s="482">
        <f t="shared" si="0"/>
        <v>85.910000000000011</v>
      </c>
      <c r="C16" s="485">
        <v>85.87</v>
      </c>
      <c r="D16" s="180"/>
      <c r="E16" s="180"/>
      <c r="F16" s="485">
        <v>0.04</v>
      </c>
      <c r="G16" s="485">
        <v>0</v>
      </c>
    </row>
    <row r="17" spans="1:7">
      <c r="A17" s="481" t="s">
        <v>308</v>
      </c>
      <c r="B17" s="482">
        <f t="shared" si="0"/>
        <v>13.470000000000002</v>
      </c>
      <c r="C17" s="485">
        <v>11.26</v>
      </c>
      <c r="D17" s="485">
        <v>1.54</v>
      </c>
      <c r="E17" s="485">
        <v>0.13</v>
      </c>
      <c r="F17" s="485">
        <v>7.0000000000000007E-2</v>
      </c>
      <c r="G17" s="485">
        <v>0.47</v>
      </c>
    </row>
    <row r="18" spans="1:7">
      <c r="A18" s="481" t="s">
        <v>174</v>
      </c>
      <c r="B18" s="482">
        <f t="shared" si="0"/>
        <v>277.03000000000003</v>
      </c>
      <c r="C18" s="485">
        <v>0.28000000000000003</v>
      </c>
      <c r="D18" s="485">
        <v>109.69</v>
      </c>
      <c r="E18" s="485">
        <v>5.9</v>
      </c>
      <c r="F18" s="485">
        <v>161.08000000000001</v>
      </c>
      <c r="G18" s="485">
        <v>0.08</v>
      </c>
    </row>
    <row r="19" spans="1:7">
      <c r="A19" s="481" t="s">
        <v>409</v>
      </c>
      <c r="B19" s="482">
        <f t="shared" si="0"/>
        <v>80.260000000000005</v>
      </c>
      <c r="C19" s="485">
        <v>64.64</v>
      </c>
      <c r="D19" s="485">
        <v>12.17</v>
      </c>
      <c r="E19" s="485">
        <v>0.59</v>
      </c>
      <c r="F19" s="180"/>
      <c r="G19" s="485">
        <v>2.86</v>
      </c>
    </row>
    <row r="20" spans="1:7">
      <c r="A20" s="481" t="s">
        <v>244</v>
      </c>
      <c r="B20" s="482">
        <f t="shared" si="0"/>
        <v>86.9</v>
      </c>
      <c r="C20" s="485">
        <v>86.89</v>
      </c>
      <c r="D20" s="485">
        <v>0</v>
      </c>
      <c r="E20" s="485">
        <v>0.01</v>
      </c>
      <c r="F20" s="180"/>
      <c r="G20" s="485">
        <v>0</v>
      </c>
    </row>
    <row r="21" spans="1:7">
      <c r="A21" s="481" t="s">
        <v>175</v>
      </c>
      <c r="B21" s="482">
        <f t="shared" si="0"/>
        <v>54.29</v>
      </c>
      <c r="C21" s="485">
        <v>9.18</v>
      </c>
      <c r="D21" s="485">
        <v>0</v>
      </c>
      <c r="E21" s="485">
        <v>0.1</v>
      </c>
      <c r="F21" s="485">
        <v>0</v>
      </c>
      <c r="G21" s="485">
        <v>45.01</v>
      </c>
    </row>
    <row r="22" spans="1:7">
      <c r="A22" s="481" t="s">
        <v>310</v>
      </c>
      <c r="B22" s="482">
        <f t="shared" si="0"/>
        <v>49.04</v>
      </c>
      <c r="C22" s="485">
        <v>16.84</v>
      </c>
      <c r="D22" s="485">
        <v>30.6</v>
      </c>
      <c r="E22" s="485">
        <v>1.02</v>
      </c>
      <c r="F22" s="485">
        <v>0.57999999999999996</v>
      </c>
      <c r="G22" s="485">
        <v>0</v>
      </c>
    </row>
    <row r="23" spans="1:7">
      <c r="A23" s="481" t="s">
        <v>245</v>
      </c>
      <c r="B23" s="482">
        <f t="shared" si="0"/>
        <v>27.08</v>
      </c>
      <c r="C23" s="485">
        <v>27.08</v>
      </c>
      <c r="D23" s="180"/>
      <c r="E23" s="485">
        <v>0</v>
      </c>
      <c r="F23" s="180"/>
      <c r="G23" s="485">
        <v>0</v>
      </c>
    </row>
    <row r="24" spans="1:7">
      <c r="A24" s="481" t="s">
        <v>176</v>
      </c>
      <c r="B24" s="482">
        <f t="shared" si="0"/>
        <v>5.1999999999999993</v>
      </c>
      <c r="C24" s="485">
        <v>0.28999999999999998</v>
      </c>
      <c r="D24" s="485">
        <v>0.2</v>
      </c>
      <c r="E24" s="485">
        <v>3.02</v>
      </c>
      <c r="F24" s="485">
        <v>1.69</v>
      </c>
      <c r="G24" s="485">
        <v>0</v>
      </c>
    </row>
    <row r="25" spans="1:7">
      <c r="A25" s="481" t="s">
        <v>410</v>
      </c>
      <c r="B25" s="482">
        <f t="shared" si="0"/>
        <v>39.840000000000003</v>
      </c>
      <c r="C25" s="485">
        <v>21.73</v>
      </c>
      <c r="D25" s="485">
        <v>8.9499999999999993</v>
      </c>
      <c r="E25" s="485">
        <v>9.0299999999999994</v>
      </c>
      <c r="F25" s="485"/>
      <c r="G25" s="485">
        <v>0.13</v>
      </c>
    </row>
    <row r="26" spans="1:7">
      <c r="A26" s="481" t="s">
        <v>294</v>
      </c>
      <c r="B26" s="482">
        <f t="shared" si="0"/>
        <v>29.279999999999998</v>
      </c>
      <c r="C26" s="485">
        <v>0.06</v>
      </c>
      <c r="D26" s="485">
        <v>24.55</v>
      </c>
      <c r="E26" s="485">
        <v>2.33</v>
      </c>
      <c r="F26" s="180"/>
      <c r="G26" s="485">
        <v>2.34</v>
      </c>
    </row>
    <row r="27" spans="1:7">
      <c r="A27" s="481" t="s">
        <v>178</v>
      </c>
      <c r="B27" s="482">
        <f t="shared" si="0"/>
        <v>156.27000000000001</v>
      </c>
      <c r="C27" s="485">
        <v>6.35</v>
      </c>
      <c r="D27" s="485">
        <v>96.74</v>
      </c>
      <c r="E27" s="485">
        <v>12.98</v>
      </c>
      <c r="F27" s="485">
        <v>15.18</v>
      </c>
      <c r="G27" s="485">
        <v>25.02</v>
      </c>
    </row>
    <row r="28" spans="1:7">
      <c r="A28" s="481" t="s">
        <v>290</v>
      </c>
      <c r="B28" s="482">
        <f t="shared" si="0"/>
        <v>78.33</v>
      </c>
      <c r="C28" s="485">
        <v>76.69</v>
      </c>
      <c r="D28" s="485">
        <v>0.12</v>
      </c>
      <c r="E28" s="485">
        <v>0.92</v>
      </c>
      <c r="F28" s="485">
        <v>0.39</v>
      </c>
      <c r="G28" s="485">
        <v>0.21</v>
      </c>
    </row>
    <row r="29" spans="1:7">
      <c r="A29" s="481" t="s">
        <v>180</v>
      </c>
      <c r="B29" s="482">
        <f t="shared" si="0"/>
        <v>265.37</v>
      </c>
      <c r="C29" s="485">
        <v>0.14000000000000001</v>
      </c>
      <c r="D29" s="485">
        <v>148.74</v>
      </c>
      <c r="E29" s="485">
        <v>0</v>
      </c>
      <c r="F29" s="485">
        <v>88.58</v>
      </c>
      <c r="G29" s="485">
        <v>27.91</v>
      </c>
    </row>
    <row r="30" spans="1:7">
      <c r="A30" s="481" t="s">
        <v>181</v>
      </c>
      <c r="B30" s="482">
        <f t="shared" si="0"/>
        <v>57.5</v>
      </c>
      <c r="C30" s="485">
        <v>2.11</v>
      </c>
      <c r="D30" s="485">
        <v>16.07</v>
      </c>
      <c r="E30" s="485">
        <v>13.2</v>
      </c>
      <c r="F30" s="485">
        <v>25.01</v>
      </c>
      <c r="G30" s="485">
        <v>1.1100000000000001</v>
      </c>
    </row>
    <row r="31" spans="1:7">
      <c r="A31" s="481" t="s">
        <v>311</v>
      </c>
      <c r="B31" s="482">
        <f t="shared" si="0"/>
        <v>58.54</v>
      </c>
      <c r="C31" s="485">
        <v>57.5</v>
      </c>
      <c r="D31" s="485">
        <v>0.1</v>
      </c>
      <c r="E31" s="485">
        <v>0.93</v>
      </c>
      <c r="F31" s="180"/>
      <c r="G31" s="485">
        <v>0.01</v>
      </c>
    </row>
    <row r="32" spans="1:7">
      <c r="A32" s="481" t="s">
        <v>411</v>
      </c>
      <c r="B32" s="482">
        <f t="shared" si="0"/>
        <v>9.4500000000000011</v>
      </c>
      <c r="C32" s="485">
        <v>8.14</v>
      </c>
      <c r="D32" s="485">
        <v>0.75</v>
      </c>
      <c r="E32" s="485">
        <v>0.15</v>
      </c>
      <c r="F32" s="180"/>
      <c r="G32" s="485">
        <v>0.41</v>
      </c>
    </row>
    <row r="33" spans="1:7">
      <c r="A33" s="481" t="s">
        <v>412</v>
      </c>
      <c r="B33" s="482">
        <f t="shared" si="0"/>
        <v>15.96</v>
      </c>
      <c r="C33" s="485">
        <v>10.55</v>
      </c>
      <c r="D33" s="485">
        <v>0.68</v>
      </c>
      <c r="E33" s="485">
        <v>0.63</v>
      </c>
      <c r="F33" s="485">
        <v>0.42</v>
      </c>
      <c r="G33" s="485">
        <v>3.68</v>
      </c>
    </row>
    <row r="34" spans="1:7">
      <c r="A34" s="481" t="s">
        <v>413</v>
      </c>
      <c r="B34" s="482">
        <f t="shared" si="0"/>
        <v>64.489999999999995</v>
      </c>
      <c r="C34" s="485">
        <v>42.7</v>
      </c>
      <c r="D34" s="485">
        <v>1.98</v>
      </c>
      <c r="E34" s="485">
        <v>18.739999999999998</v>
      </c>
      <c r="F34" s="180"/>
      <c r="G34" s="485">
        <v>1.07</v>
      </c>
    </row>
    <row r="35" spans="1:7">
      <c r="A35" s="481" t="s">
        <v>414</v>
      </c>
      <c r="B35" s="482">
        <f t="shared" si="0"/>
        <v>11.04</v>
      </c>
      <c r="C35" s="485">
        <v>4.99</v>
      </c>
      <c r="D35" s="485">
        <v>0</v>
      </c>
      <c r="E35" s="485">
        <v>3.71</v>
      </c>
      <c r="F35" s="485">
        <v>0.12</v>
      </c>
      <c r="G35" s="485">
        <v>2.2200000000000002</v>
      </c>
    </row>
    <row r="36" spans="1:7">
      <c r="A36" s="481" t="s">
        <v>312</v>
      </c>
      <c r="B36" s="482">
        <f t="shared" si="0"/>
        <v>77.459999999999994</v>
      </c>
      <c r="C36" s="485">
        <v>32.25</v>
      </c>
      <c r="D36" s="485">
        <v>38.04</v>
      </c>
      <c r="E36" s="180"/>
      <c r="F36" s="485">
        <v>5.59</v>
      </c>
      <c r="G36" s="485">
        <v>1.58</v>
      </c>
    </row>
    <row r="37" spans="1:7">
      <c r="A37" s="481" t="s">
        <v>415</v>
      </c>
      <c r="B37" s="482">
        <f t="shared" si="0"/>
        <v>270.34999999999997</v>
      </c>
      <c r="C37" s="485">
        <v>1.42</v>
      </c>
      <c r="D37" s="485">
        <v>253.23</v>
      </c>
      <c r="E37" s="485">
        <v>1.68</v>
      </c>
      <c r="F37" s="485">
        <v>2.93</v>
      </c>
      <c r="G37" s="485">
        <v>11.09</v>
      </c>
    </row>
    <row r="38" spans="1:7">
      <c r="A38" s="481" t="s">
        <v>313</v>
      </c>
      <c r="B38" s="482">
        <f t="shared" si="0"/>
        <v>23.150000000000002</v>
      </c>
      <c r="C38" s="485">
        <v>15.26</v>
      </c>
      <c r="D38" s="485">
        <v>2.91</v>
      </c>
      <c r="E38" s="485">
        <v>0.02</v>
      </c>
      <c r="F38" s="485">
        <v>1.66</v>
      </c>
      <c r="G38" s="485">
        <v>3.3</v>
      </c>
    </row>
    <row r="39" spans="1:7">
      <c r="A39" s="481" t="s">
        <v>183</v>
      </c>
      <c r="B39" s="482">
        <f t="shared" si="0"/>
        <v>297.07</v>
      </c>
      <c r="C39" s="485">
        <v>0.89</v>
      </c>
      <c r="D39" s="485">
        <v>95.65</v>
      </c>
      <c r="E39" s="485">
        <v>1.92</v>
      </c>
      <c r="F39" s="485">
        <v>194.91</v>
      </c>
      <c r="G39" s="485">
        <v>3.7</v>
      </c>
    </row>
    <row r="40" spans="1:7">
      <c r="A40" s="481" t="s">
        <v>246</v>
      </c>
      <c r="B40" s="482">
        <f t="shared" si="0"/>
        <v>39.130000000000003</v>
      </c>
      <c r="C40" s="485">
        <v>39.090000000000003</v>
      </c>
      <c r="D40" s="180"/>
      <c r="E40" s="485">
        <v>0.04</v>
      </c>
      <c r="F40" s="180"/>
      <c r="G40" s="485">
        <v>0</v>
      </c>
    </row>
    <row r="41" spans="1:7">
      <c r="A41" s="481" t="s">
        <v>416</v>
      </c>
      <c r="B41" s="482">
        <f t="shared" si="0"/>
        <v>96.48</v>
      </c>
      <c r="C41" s="485">
        <v>12.32</v>
      </c>
      <c r="D41" s="485">
        <v>43.31</v>
      </c>
      <c r="E41" s="485">
        <v>24.71</v>
      </c>
      <c r="F41" s="485">
        <v>5.61</v>
      </c>
      <c r="G41" s="485">
        <v>10.53</v>
      </c>
    </row>
    <row r="42" spans="1:7">
      <c r="A42" s="481" t="s">
        <v>417</v>
      </c>
      <c r="B42" s="482">
        <f t="shared" si="0"/>
        <v>22.169999999999998</v>
      </c>
      <c r="C42" s="485">
        <v>21.24</v>
      </c>
      <c r="D42" s="180"/>
      <c r="E42" s="485">
        <v>7.0000000000000007E-2</v>
      </c>
      <c r="F42" s="180"/>
      <c r="G42" s="485">
        <v>0.86</v>
      </c>
    </row>
    <row r="43" spans="1:7">
      <c r="A43" s="481" t="s">
        <v>247</v>
      </c>
      <c r="B43" s="482">
        <f t="shared" si="0"/>
        <v>64.040000000000006</v>
      </c>
      <c r="C43" s="485">
        <v>64</v>
      </c>
      <c r="D43" s="180"/>
      <c r="E43" s="485">
        <v>0.04</v>
      </c>
      <c r="F43" s="180"/>
      <c r="G43" s="485">
        <v>0</v>
      </c>
    </row>
    <row r="44" spans="1:7">
      <c r="A44" s="481" t="s">
        <v>418</v>
      </c>
      <c r="B44" s="482">
        <f t="shared" si="0"/>
        <v>61.28</v>
      </c>
      <c r="C44" s="485">
        <v>47.93</v>
      </c>
      <c r="D44" s="485">
        <v>0</v>
      </c>
      <c r="E44" s="485">
        <v>13.35</v>
      </c>
      <c r="F44" s="180"/>
      <c r="G44" s="180"/>
    </row>
    <row r="45" spans="1:7">
      <c r="A45" s="481" t="s">
        <v>248</v>
      </c>
      <c r="B45" s="482">
        <f t="shared" si="0"/>
        <v>56.92</v>
      </c>
      <c r="C45" s="485">
        <v>56.92</v>
      </c>
      <c r="D45" s="180"/>
      <c r="E45" s="485">
        <v>0</v>
      </c>
      <c r="F45" s="180"/>
      <c r="G45" s="485">
        <v>0</v>
      </c>
    </row>
    <row r="46" spans="1:7">
      <c r="A46" s="481" t="s">
        <v>184</v>
      </c>
      <c r="B46" s="482">
        <f t="shared" si="0"/>
        <v>16.05</v>
      </c>
      <c r="C46" s="485">
        <v>15.99</v>
      </c>
      <c r="D46" s="485">
        <v>0</v>
      </c>
      <c r="E46" s="180"/>
      <c r="F46" s="180"/>
      <c r="G46" s="485">
        <v>0.06</v>
      </c>
    </row>
    <row r="47" spans="1:7">
      <c r="A47" s="481" t="s">
        <v>419</v>
      </c>
      <c r="B47" s="482">
        <f t="shared" si="0"/>
        <v>137.02000000000001</v>
      </c>
      <c r="C47" s="485">
        <v>10.6</v>
      </c>
      <c r="D47" s="485">
        <v>7.49</v>
      </c>
      <c r="E47" s="485">
        <v>7.81</v>
      </c>
      <c r="F47" s="485">
        <v>57.47</v>
      </c>
      <c r="G47" s="485">
        <v>53.65</v>
      </c>
    </row>
    <row r="48" spans="1:7">
      <c r="A48" s="481" t="s">
        <v>420</v>
      </c>
      <c r="B48" s="482">
        <f t="shared" si="0"/>
        <v>31.990000000000006</v>
      </c>
      <c r="C48" s="485">
        <v>10.220000000000001</v>
      </c>
      <c r="D48" s="485">
        <v>12.73</v>
      </c>
      <c r="E48" s="485">
        <v>3.67</v>
      </c>
      <c r="F48" s="485">
        <v>2.68</v>
      </c>
      <c r="G48" s="485">
        <v>2.69</v>
      </c>
    </row>
    <row r="49" spans="1:7">
      <c r="A49" s="481" t="s">
        <v>314</v>
      </c>
      <c r="B49" s="482">
        <f t="shared" si="0"/>
        <v>20.8</v>
      </c>
      <c r="C49" s="485">
        <v>15.73</v>
      </c>
      <c r="D49" s="485">
        <v>4.09</v>
      </c>
      <c r="E49" s="485">
        <v>0.19</v>
      </c>
      <c r="F49" s="180"/>
      <c r="G49" s="485">
        <v>0.79</v>
      </c>
    </row>
    <row r="50" spans="1:7">
      <c r="A50" s="481" t="s">
        <v>224</v>
      </c>
      <c r="B50" s="482">
        <f t="shared" si="0"/>
        <v>35.270000000000003</v>
      </c>
      <c r="C50" s="485">
        <v>31.37</v>
      </c>
      <c r="D50" s="485">
        <v>0</v>
      </c>
      <c r="E50" s="485">
        <v>2.93</v>
      </c>
      <c r="F50" s="180"/>
      <c r="G50" s="485">
        <v>0.97</v>
      </c>
    </row>
    <row r="51" spans="1:7">
      <c r="A51" s="481" t="s">
        <v>315</v>
      </c>
      <c r="B51" s="482">
        <f t="shared" si="0"/>
        <v>25.17</v>
      </c>
      <c r="C51" s="485">
        <v>13.73</v>
      </c>
      <c r="D51" s="485">
        <v>5.12</v>
      </c>
      <c r="E51" s="485">
        <v>0.12</v>
      </c>
      <c r="F51" s="180"/>
      <c r="G51" s="485">
        <v>6.2</v>
      </c>
    </row>
    <row r="52" spans="1:7">
      <c r="A52" s="481" t="s">
        <v>249</v>
      </c>
      <c r="B52" s="482">
        <f t="shared" si="0"/>
        <v>64.22</v>
      </c>
      <c r="C52" s="485">
        <v>64.17</v>
      </c>
      <c r="D52" s="180"/>
      <c r="E52" s="485">
        <v>0.05</v>
      </c>
      <c r="F52" s="180"/>
      <c r="G52" s="180"/>
    </row>
    <row r="53" spans="1:7">
      <c r="A53" s="481" t="s">
        <v>421</v>
      </c>
      <c r="B53" s="482">
        <f t="shared" si="0"/>
        <v>66.62</v>
      </c>
      <c r="C53" s="485">
        <v>12.64</v>
      </c>
      <c r="D53" s="485">
        <v>0</v>
      </c>
      <c r="E53" s="485">
        <v>1.98</v>
      </c>
      <c r="F53" s="180"/>
      <c r="G53" s="485">
        <v>52</v>
      </c>
    </row>
    <row r="54" spans="1:7">
      <c r="A54" s="481" t="s">
        <v>187</v>
      </c>
      <c r="B54" s="482">
        <f t="shared" si="0"/>
        <v>73.349999999999994</v>
      </c>
      <c r="C54" s="485">
        <v>6.96</v>
      </c>
      <c r="D54" s="485">
        <v>0</v>
      </c>
      <c r="E54" s="485">
        <v>12.77</v>
      </c>
      <c r="F54" s="485">
        <v>8.32</v>
      </c>
      <c r="G54" s="485">
        <v>45.3</v>
      </c>
    </row>
    <row r="55" spans="1:7">
      <c r="A55" s="481" t="s">
        <v>422</v>
      </c>
      <c r="B55" s="482">
        <f t="shared" si="0"/>
        <v>143.94999999999999</v>
      </c>
      <c r="C55" s="485">
        <v>26.67</v>
      </c>
      <c r="D55" s="485">
        <v>46.61</v>
      </c>
      <c r="E55" s="485">
        <v>9.19</v>
      </c>
      <c r="F55" s="485">
        <v>4.9400000000000004</v>
      </c>
      <c r="G55" s="485">
        <v>56.54</v>
      </c>
    </row>
    <row r="56" spans="1:7">
      <c r="A56" s="481" t="s">
        <v>250</v>
      </c>
      <c r="B56" s="482">
        <f t="shared" si="0"/>
        <v>57.09</v>
      </c>
      <c r="C56" s="485">
        <v>56.57</v>
      </c>
      <c r="D56" s="180"/>
      <c r="E56" s="485">
        <v>0.52</v>
      </c>
      <c r="F56" s="180"/>
      <c r="G56" s="485">
        <v>0</v>
      </c>
    </row>
    <row r="57" spans="1:7">
      <c r="A57" s="481" t="s">
        <v>251</v>
      </c>
      <c r="B57" s="482">
        <f t="shared" si="0"/>
        <v>49.56</v>
      </c>
      <c r="C57" s="485">
        <v>49.18</v>
      </c>
      <c r="D57" s="180"/>
      <c r="E57" s="180"/>
      <c r="F57" s="485">
        <v>0.06</v>
      </c>
      <c r="G57" s="485">
        <v>0.32</v>
      </c>
    </row>
    <row r="58" spans="1:7">
      <c r="A58" s="481" t="s">
        <v>423</v>
      </c>
      <c r="B58" s="482">
        <f t="shared" si="0"/>
        <v>48.68</v>
      </c>
      <c r="C58" s="485">
        <v>22.98</v>
      </c>
      <c r="D58" s="485">
        <v>9.2799999999999994</v>
      </c>
      <c r="E58" s="180"/>
      <c r="F58" s="180"/>
      <c r="G58" s="485">
        <v>16.420000000000002</v>
      </c>
    </row>
    <row r="59" spans="1:7">
      <c r="A59" s="481" t="s">
        <v>188</v>
      </c>
      <c r="B59" s="482">
        <f t="shared" si="0"/>
        <v>160.30000000000001</v>
      </c>
      <c r="C59" s="485">
        <v>1.26</v>
      </c>
      <c r="D59" s="485">
        <v>72.78</v>
      </c>
      <c r="E59" s="485">
        <v>1.91</v>
      </c>
      <c r="F59" s="485">
        <v>63.08</v>
      </c>
      <c r="G59" s="485">
        <v>21.27</v>
      </c>
    </row>
    <row r="60" spans="1:7">
      <c r="A60" s="481" t="s">
        <v>424</v>
      </c>
      <c r="B60" s="482">
        <f t="shared" si="0"/>
        <v>6.5300000000000011</v>
      </c>
      <c r="C60" s="485">
        <v>1.1499999999999999</v>
      </c>
      <c r="D60" s="485">
        <v>5.32</v>
      </c>
      <c r="E60" s="485">
        <v>0.03</v>
      </c>
      <c r="F60" s="180"/>
      <c r="G60" s="485">
        <v>0.03</v>
      </c>
    </row>
    <row r="61" spans="1:7">
      <c r="A61" s="481" t="s">
        <v>282</v>
      </c>
      <c r="B61" s="482">
        <f t="shared" si="0"/>
        <v>47.12</v>
      </c>
      <c r="C61" s="485">
        <v>47.11</v>
      </c>
      <c r="D61" s="485">
        <v>0.01</v>
      </c>
      <c r="E61" s="485">
        <v>0</v>
      </c>
      <c r="F61" s="180"/>
      <c r="G61" s="485">
        <v>0</v>
      </c>
    </row>
    <row r="62" spans="1:7">
      <c r="A62" s="481" t="s">
        <v>252</v>
      </c>
      <c r="B62" s="482">
        <f t="shared" si="0"/>
        <v>58.73</v>
      </c>
      <c r="C62" s="485">
        <v>58.73</v>
      </c>
      <c r="D62" s="180"/>
      <c r="E62" s="180"/>
      <c r="F62" s="180"/>
      <c r="G62" s="485">
        <v>0</v>
      </c>
    </row>
    <row r="63" spans="1:7">
      <c r="A63" s="481" t="s">
        <v>190</v>
      </c>
      <c r="B63" s="482">
        <f t="shared" si="0"/>
        <v>443.55999999999995</v>
      </c>
      <c r="C63" s="485">
        <v>0.14000000000000001</v>
      </c>
      <c r="D63" s="485">
        <v>252.13</v>
      </c>
      <c r="E63" s="485">
        <v>4.0999999999999996</v>
      </c>
      <c r="F63" s="485">
        <v>154.53</v>
      </c>
      <c r="G63" s="485">
        <v>32.659999999999997</v>
      </c>
    </row>
    <row r="64" spans="1:7">
      <c r="A64" s="481" t="s">
        <v>253</v>
      </c>
      <c r="B64" s="482">
        <f t="shared" si="0"/>
        <v>55.769999999999996</v>
      </c>
      <c r="C64" s="485">
        <v>55.44</v>
      </c>
      <c r="D64" s="180"/>
      <c r="E64" s="485">
        <v>0.33</v>
      </c>
      <c r="F64" s="180"/>
      <c r="G64" s="485">
        <v>0</v>
      </c>
    </row>
    <row r="65" spans="1:7">
      <c r="A65" s="481" t="s">
        <v>425</v>
      </c>
      <c r="B65" s="482">
        <f t="shared" si="0"/>
        <v>23.91</v>
      </c>
      <c r="C65" s="485">
        <v>10.07</v>
      </c>
      <c r="D65" s="485">
        <v>1.91</v>
      </c>
      <c r="E65" s="485">
        <v>0.83</v>
      </c>
      <c r="F65" s="485">
        <v>4.24</v>
      </c>
      <c r="G65" s="485">
        <v>6.86</v>
      </c>
    </row>
    <row r="66" spans="1:7">
      <c r="A66" s="481" t="s">
        <v>316</v>
      </c>
      <c r="B66" s="482">
        <f t="shared" si="0"/>
        <v>11.86</v>
      </c>
      <c r="C66" s="485">
        <v>11.66</v>
      </c>
      <c r="D66" s="485">
        <v>0.2</v>
      </c>
      <c r="E66" s="485">
        <v>0</v>
      </c>
      <c r="F66" s="180"/>
      <c r="G66" s="485">
        <v>0</v>
      </c>
    </row>
    <row r="67" spans="1:7">
      <c r="A67" s="481" t="s">
        <v>191</v>
      </c>
      <c r="B67" s="482">
        <f t="shared" si="0"/>
        <v>133.86000000000001</v>
      </c>
      <c r="C67" s="485">
        <v>5.58</v>
      </c>
      <c r="D67" s="485">
        <v>94.26</v>
      </c>
      <c r="E67" s="485">
        <v>17.96</v>
      </c>
      <c r="F67" s="485">
        <v>9.1199999999999992</v>
      </c>
      <c r="G67" s="485">
        <v>6.94</v>
      </c>
    </row>
    <row r="68" spans="1:7">
      <c r="A68" s="481" t="s">
        <v>192</v>
      </c>
      <c r="B68" s="482">
        <f t="shared" si="0"/>
        <v>62.39</v>
      </c>
      <c r="C68" s="485">
        <v>0.51</v>
      </c>
      <c r="D68" s="485">
        <v>26.21</v>
      </c>
      <c r="E68" s="485">
        <v>0.01</v>
      </c>
      <c r="F68" s="180"/>
      <c r="G68" s="485">
        <v>35.659999999999997</v>
      </c>
    </row>
    <row r="69" spans="1:7">
      <c r="A69" s="481" t="s">
        <v>317</v>
      </c>
      <c r="B69" s="482">
        <f t="shared" si="0"/>
        <v>33.410000000000004</v>
      </c>
      <c r="C69" s="485">
        <v>13.15</v>
      </c>
      <c r="D69" s="485">
        <v>3.2</v>
      </c>
      <c r="E69" s="485">
        <v>1.46</v>
      </c>
      <c r="F69" s="485">
        <v>1.42</v>
      </c>
      <c r="G69" s="485">
        <v>14.18</v>
      </c>
    </row>
    <row r="70" spans="1:7">
      <c r="A70" s="481" t="s">
        <v>426</v>
      </c>
      <c r="B70" s="482">
        <f t="shared" si="0"/>
        <v>106.48</v>
      </c>
      <c r="C70" s="485">
        <v>2.56</v>
      </c>
      <c r="D70" s="485">
        <v>30.08</v>
      </c>
      <c r="E70" s="485">
        <v>41.79</v>
      </c>
      <c r="F70" s="485">
        <v>27.36</v>
      </c>
      <c r="G70" s="485">
        <v>4.6900000000000004</v>
      </c>
    </row>
    <row r="71" spans="1:7">
      <c r="A71" s="481" t="s">
        <v>318</v>
      </c>
      <c r="B71" s="482">
        <f t="shared" si="0"/>
        <v>7.33</v>
      </c>
      <c r="C71" s="485">
        <v>5.0999999999999996</v>
      </c>
      <c r="D71" s="485">
        <v>1.64</v>
      </c>
      <c r="E71" s="485">
        <v>0.03</v>
      </c>
      <c r="F71" s="180"/>
      <c r="G71" s="485">
        <v>0.56000000000000005</v>
      </c>
    </row>
    <row r="72" spans="1:7">
      <c r="A72" s="481" t="s">
        <v>254</v>
      </c>
      <c r="B72" s="482">
        <f t="shared" si="0"/>
        <v>39.56</v>
      </c>
      <c r="C72" s="485">
        <v>39.49</v>
      </c>
      <c r="D72" s="485">
        <v>0</v>
      </c>
      <c r="E72" s="485">
        <v>7.0000000000000007E-2</v>
      </c>
      <c r="F72" s="180"/>
      <c r="G72" s="485">
        <v>0</v>
      </c>
    </row>
    <row r="73" spans="1:7">
      <c r="A73" s="481" t="s">
        <v>255</v>
      </c>
      <c r="B73" s="482">
        <f t="shared" si="0"/>
        <v>38.549999999999997</v>
      </c>
      <c r="C73" s="485">
        <v>33.76</v>
      </c>
      <c r="D73" s="180"/>
      <c r="E73" s="485">
        <v>4.78</v>
      </c>
      <c r="F73" s="180"/>
      <c r="G73" s="485">
        <v>0.01</v>
      </c>
    </row>
    <row r="74" spans="1:7">
      <c r="A74" s="481" t="s">
        <v>237</v>
      </c>
      <c r="B74" s="482">
        <f t="shared" si="0"/>
        <v>30.159999999999997</v>
      </c>
      <c r="C74" s="485">
        <v>26.04</v>
      </c>
      <c r="D74" s="485">
        <v>3.26</v>
      </c>
      <c r="E74" s="485">
        <v>0.86</v>
      </c>
      <c r="F74" s="180"/>
      <c r="G74" s="485">
        <v>0</v>
      </c>
    </row>
    <row r="75" spans="1:7">
      <c r="A75" s="481" t="s">
        <v>296</v>
      </c>
      <c r="B75" s="482">
        <f t="shared" si="0"/>
        <v>69.05</v>
      </c>
      <c r="C75" s="485">
        <v>4.21</v>
      </c>
      <c r="D75" s="485">
        <v>56.85</v>
      </c>
      <c r="E75" s="485">
        <v>6.64</v>
      </c>
      <c r="F75" s="180"/>
      <c r="G75" s="485">
        <v>1.35</v>
      </c>
    </row>
    <row r="76" spans="1:7">
      <c r="A76" s="481" t="s">
        <v>427</v>
      </c>
      <c r="B76" s="482">
        <f t="shared" si="0"/>
        <v>56.26</v>
      </c>
      <c r="C76" s="485">
        <v>56.26</v>
      </c>
      <c r="D76" s="485">
        <v>0</v>
      </c>
      <c r="E76" s="180"/>
      <c r="F76" s="180"/>
      <c r="G76" s="485">
        <v>0</v>
      </c>
    </row>
    <row r="77" spans="1:7">
      <c r="A77" s="481" t="s">
        <v>226</v>
      </c>
      <c r="B77" s="482">
        <f t="shared" si="0"/>
        <v>18.14</v>
      </c>
      <c r="C77" s="485">
        <v>18.14</v>
      </c>
      <c r="D77" s="485">
        <v>0</v>
      </c>
      <c r="E77" s="485">
        <v>0</v>
      </c>
      <c r="F77" s="180"/>
      <c r="G77" s="485">
        <v>0</v>
      </c>
    </row>
    <row r="78" spans="1:7">
      <c r="A78" s="481" t="s">
        <v>256</v>
      </c>
      <c r="B78" s="482">
        <f t="shared" si="0"/>
        <v>68.720000000000013</v>
      </c>
      <c r="C78" s="485">
        <v>68.680000000000007</v>
      </c>
      <c r="D78" s="180"/>
      <c r="E78" s="180"/>
      <c r="F78" s="485">
        <v>0.04</v>
      </c>
      <c r="G78" s="180"/>
    </row>
    <row r="79" spans="1:7">
      <c r="A79" s="481" t="s">
        <v>227</v>
      </c>
      <c r="B79" s="482">
        <f t="shared" si="0"/>
        <v>35.1</v>
      </c>
      <c r="C79" s="485">
        <v>34.32</v>
      </c>
      <c r="D79" s="180"/>
      <c r="E79" s="180"/>
      <c r="F79" s="180"/>
      <c r="G79" s="485">
        <v>0.78</v>
      </c>
    </row>
    <row r="80" spans="1:7">
      <c r="A80" s="481" t="s">
        <v>257</v>
      </c>
      <c r="B80" s="482">
        <f t="shared" si="0"/>
        <v>35.479999999999997</v>
      </c>
      <c r="C80" s="485">
        <v>35.22</v>
      </c>
      <c r="D80" s="180"/>
      <c r="E80" s="485">
        <v>0.24</v>
      </c>
      <c r="F80" s="485">
        <v>0.01</v>
      </c>
      <c r="G80" s="485">
        <v>0.01</v>
      </c>
    </row>
    <row r="81" spans="1:7">
      <c r="A81" s="481" t="s">
        <v>428</v>
      </c>
      <c r="B81" s="482">
        <f t="shared" si="0"/>
        <v>64.31</v>
      </c>
      <c r="C81" s="485">
        <v>6.98</v>
      </c>
      <c r="D81" s="485">
        <v>2.69</v>
      </c>
      <c r="E81" s="485">
        <v>10.83</v>
      </c>
      <c r="F81" s="485">
        <v>35.46</v>
      </c>
      <c r="G81" s="485">
        <v>8.35</v>
      </c>
    </row>
    <row r="82" spans="1:7">
      <c r="A82" s="481" t="s">
        <v>297</v>
      </c>
      <c r="B82" s="482">
        <f t="shared" si="0"/>
        <v>24.880000000000003</v>
      </c>
      <c r="C82" s="485">
        <v>18.510000000000002</v>
      </c>
      <c r="D82" s="485">
        <v>0.02</v>
      </c>
      <c r="E82" s="485">
        <v>3.75</v>
      </c>
      <c r="F82" s="485">
        <v>1.02</v>
      </c>
      <c r="G82" s="485">
        <v>1.58</v>
      </c>
    </row>
    <row r="83" spans="1:7">
      <c r="A83" s="481" t="s">
        <v>228</v>
      </c>
      <c r="B83" s="482">
        <f t="shared" si="0"/>
        <v>19.05</v>
      </c>
      <c r="C83" s="485">
        <v>19.05</v>
      </c>
      <c r="D83" s="180"/>
      <c r="E83" s="485">
        <v>0</v>
      </c>
      <c r="F83" s="180"/>
      <c r="G83" s="485">
        <v>0</v>
      </c>
    </row>
    <row r="84" spans="1:7">
      <c r="A84" s="481" t="s">
        <v>283</v>
      </c>
      <c r="B84" s="482">
        <f t="shared" si="0"/>
        <v>109.02</v>
      </c>
      <c r="C84" s="485">
        <v>109.02</v>
      </c>
      <c r="D84" s="485">
        <v>0</v>
      </c>
      <c r="E84" s="485">
        <v>0</v>
      </c>
      <c r="F84" s="180"/>
      <c r="G84" s="485">
        <v>0</v>
      </c>
    </row>
    <row r="85" spans="1:7">
      <c r="A85" s="481" t="s">
        <v>193</v>
      </c>
      <c r="B85" s="482">
        <f t="shared" si="0"/>
        <v>66.410000000000011</v>
      </c>
      <c r="C85" s="485">
        <v>31.82</v>
      </c>
      <c r="D85" s="485">
        <v>18.420000000000002</v>
      </c>
      <c r="E85" s="485">
        <v>15.66</v>
      </c>
      <c r="F85" s="485">
        <v>0.14000000000000001</v>
      </c>
      <c r="G85" s="485">
        <v>0.37</v>
      </c>
    </row>
    <row r="86" spans="1:7">
      <c r="A86" s="481" t="s">
        <v>429</v>
      </c>
      <c r="B86" s="482">
        <f t="shared" si="0"/>
        <v>93.5</v>
      </c>
      <c r="C86" s="485">
        <v>0.32</v>
      </c>
      <c r="D86" s="485">
        <v>0.25</v>
      </c>
      <c r="E86" s="180"/>
      <c r="F86" s="180"/>
      <c r="G86" s="485">
        <v>92.93</v>
      </c>
    </row>
    <row r="87" spans="1:7">
      <c r="A87" s="481" t="s">
        <v>229</v>
      </c>
      <c r="B87" s="482">
        <f t="shared" si="0"/>
        <v>37.53</v>
      </c>
      <c r="C87" s="485">
        <v>37.049999999999997</v>
      </c>
      <c r="D87" s="485">
        <v>0.03</v>
      </c>
      <c r="E87" s="485">
        <v>0.42</v>
      </c>
      <c r="F87" s="180"/>
      <c r="G87" s="485">
        <v>0.03</v>
      </c>
    </row>
    <row r="88" spans="1:7">
      <c r="A88" s="481" t="s">
        <v>430</v>
      </c>
      <c r="B88" s="482">
        <f t="shared" si="0"/>
        <v>94.23</v>
      </c>
      <c r="C88" s="485">
        <v>94.23</v>
      </c>
      <c r="D88" s="180"/>
      <c r="E88" s="180"/>
      <c r="F88" s="180"/>
      <c r="G88" s="485">
        <v>0</v>
      </c>
    </row>
    <row r="89" spans="1:7">
      <c r="A89" s="481" t="s">
        <v>431</v>
      </c>
      <c r="B89" s="482">
        <f t="shared" si="0"/>
        <v>57.14</v>
      </c>
      <c r="C89" s="485">
        <v>0.28999999999999998</v>
      </c>
      <c r="D89" s="485">
        <v>33.5</v>
      </c>
      <c r="E89" s="485">
        <v>9.66</v>
      </c>
      <c r="F89" s="180"/>
      <c r="G89" s="485">
        <v>13.69</v>
      </c>
    </row>
    <row r="90" spans="1:7">
      <c r="A90" s="481" t="s">
        <v>258</v>
      </c>
      <c r="B90" s="482">
        <f t="shared" si="0"/>
        <v>112.73</v>
      </c>
      <c r="C90" s="485">
        <v>112.73</v>
      </c>
      <c r="D90" s="485">
        <v>0</v>
      </c>
      <c r="E90" s="485">
        <v>0</v>
      </c>
      <c r="F90" s="180"/>
      <c r="G90" s="485">
        <v>0</v>
      </c>
    </row>
    <row r="91" spans="1:7">
      <c r="A91" s="481" t="s">
        <v>230</v>
      </c>
      <c r="B91" s="482">
        <f t="shared" si="0"/>
        <v>43.18</v>
      </c>
      <c r="C91" s="485">
        <v>42.71</v>
      </c>
      <c r="D91" s="485">
        <v>0</v>
      </c>
      <c r="E91" s="485">
        <v>0.31</v>
      </c>
      <c r="F91" s="180"/>
      <c r="G91" s="485">
        <v>0.16</v>
      </c>
    </row>
    <row r="92" spans="1:7">
      <c r="A92" s="481" t="s">
        <v>194</v>
      </c>
      <c r="B92" s="482">
        <f t="shared" si="0"/>
        <v>56.74</v>
      </c>
      <c r="C92" s="485">
        <v>56.72</v>
      </c>
      <c r="D92" s="485">
        <v>0</v>
      </c>
      <c r="E92" s="180"/>
      <c r="F92" s="180"/>
      <c r="G92" s="485">
        <v>0.02</v>
      </c>
    </row>
    <row r="93" spans="1:7">
      <c r="A93" s="481" t="s">
        <v>195</v>
      </c>
      <c r="B93" s="482">
        <f t="shared" si="0"/>
        <v>118</v>
      </c>
      <c r="C93" s="485">
        <v>0.36</v>
      </c>
      <c r="D93" s="485">
        <v>103.59</v>
      </c>
      <c r="E93" s="485">
        <v>4.6399999999999997</v>
      </c>
      <c r="F93" s="485">
        <v>4.09</v>
      </c>
      <c r="G93" s="485">
        <v>5.32</v>
      </c>
    </row>
    <row r="94" spans="1:7">
      <c r="A94" s="481" t="s">
        <v>259</v>
      </c>
      <c r="B94" s="482">
        <f t="shared" si="0"/>
        <v>60.62</v>
      </c>
      <c r="C94" s="485">
        <v>60.62</v>
      </c>
      <c r="D94" s="485">
        <v>0</v>
      </c>
      <c r="E94" s="485">
        <v>0</v>
      </c>
      <c r="F94" s="485"/>
      <c r="G94" s="485">
        <v>0</v>
      </c>
    </row>
    <row r="95" spans="1:7">
      <c r="A95" s="481" t="s">
        <v>260</v>
      </c>
      <c r="B95" s="482">
        <f t="shared" si="0"/>
        <v>32.450000000000003</v>
      </c>
      <c r="C95" s="485">
        <v>32.14</v>
      </c>
      <c r="D95" s="180"/>
      <c r="E95" s="485">
        <v>0.31</v>
      </c>
      <c r="F95" s="180"/>
      <c r="G95" s="485">
        <v>0</v>
      </c>
    </row>
    <row r="96" spans="1:7">
      <c r="A96" s="481" t="s">
        <v>196</v>
      </c>
      <c r="B96" s="482">
        <f t="shared" si="0"/>
        <v>119.14</v>
      </c>
      <c r="C96" s="485">
        <v>5.81</v>
      </c>
      <c r="D96" s="485">
        <v>86.64</v>
      </c>
      <c r="E96" s="485">
        <v>22.02</v>
      </c>
      <c r="F96" s="180"/>
      <c r="G96" s="485">
        <v>4.67</v>
      </c>
    </row>
    <row r="97" spans="1:7">
      <c r="A97" s="481" t="s">
        <v>197</v>
      </c>
      <c r="B97" s="482">
        <f t="shared" si="0"/>
        <v>142.04000000000002</v>
      </c>
      <c r="C97" s="485">
        <v>38.18</v>
      </c>
      <c r="D97" s="485">
        <v>103.84</v>
      </c>
      <c r="E97" s="485">
        <v>0</v>
      </c>
      <c r="F97" s="180"/>
      <c r="G97" s="485">
        <v>0.02</v>
      </c>
    </row>
    <row r="98" spans="1:7">
      <c r="A98" s="481" t="s">
        <v>298</v>
      </c>
      <c r="B98" s="482">
        <f t="shared" si="0"/>
        <v>18.5</v>
      </c>
      <c r="C98" s="485">
        <v>14.42</v>
      </c>
      <c r="D98" s="485">
        <v>1.51</v>
      </c>
      <c r="E98" s="485">
        <v>0.8</v>
      </c>
      <c r="F98" s="485">
        <v>7.0000000000000007E-2</v>
      </c>
      <c r="G98" s="485">
        <v>1.7</v>
      </c>
    </row>
    <row r="99" spans="1:7">
      <c r="A99" s="481" t="s">
        <v>432</v>
      </c>
      <c r="B99" s="482">
        <f t="shared" si="0"/>
        <v>18.170000000000002</v>
      </c>
      <c r="C99" s="485">
        <v>13.18</v>
      </c>
      <c r="D99" s="485">
        <v>0.18</v>
      </c>
      <c r="E99" s="485">
        <v>0.76</v>
      </c>
      <c r="F99" s="485">
        <v>0.05</v>
      </c>
      <c r="G99" s="485">
        <v>4</v>
      </c>
    </row>
    <row r="100" spans="1:7">
      <c r="A100" s="481" t="s">
        <v>198</v>
      </c>
      <c r="B100" s="482">
        <f t="shared" si="0"/>
        <v>28.89</v>
      </c>
      <c r="C100" s="485">
        <v>6.64</v>
      </c>
      <c r="D100" s="485">
        <v>1.99</v>
      </c>
      <c r="E100" s="485">
        <v>15.41</v>
      </c>
      <c r="F100" s="485">
        <v>4.8499999999999996</v>
      </c>
      <c r="G100" s="485">
        <v>0</v>
      </c>
    </row>
    <row r="101" spans="1:7">
      <c r="A101" s="481" t="s">
        <v>261</v>
      </c>
      <c r="B101" s="482">
        <f t="shared" si="0"/>
        <v>29.020000000000003</v>
      </c>
      <c r="C101" s="485">
        <v>28.89</v>
      </c>
      <c r="D101" s="485">
        <v>0.01</v>
      </c>
      <c r="E101" s="485">
        <v>0.11</v>
      </c>
      <c r="F101" s="180"/>
      <c r="G101" s="485">
        <v>0.01</v>
      </c>
    </row>
    <row r="102" spans="1:7">
      <c r="A102" s="481" t="s">
        <v>199</v>
      </c>
      <c r="B102" s="482">
        <f t="shared" si="0"/>
        <v>9.629999999999999</v>
      </c>
      <c r="C102" s="485">
        <v>8.3699999999999992</v>
      </c>
      <c r="D102" s="485">
        <v>0</v>
      </c>
      <c r="E102" s="485">
        <v>0.64</v>
      </c>
      <c r="F102" s="485">
        <v>0.62</v>
      </c>
      <c r="G102" s="485">
        <v>0</v>
      </c>
    </row>
    <row r="103" spans="1:7">
      <c r="A103" s="481" t="s">
        <v>200</v>
      </c>
      <c r="B103" s="482">
        <f t="shared" si="0"/>
        <v>24.25</v>
      </c>
      <c r="C103" s="485">
        <v>22.75</v>
      </c>
      <c r="D103" s="485">
        <v>0.54</v>
      </c>
      <c r="E103" s="485">
        <v>0.46</v>
      </c>
      <c r="F103" s="485"/>
      <c r="G103" s="485">
        <v>0.5</v>
      </c>
    </row>
    <row r="104" spans="1:7">
      <c r="A104" s="481" t="s">
        <v>319</v>
      </c>
      <c r="B104" s="482">
        <f t="shared" si="0"/>
        <v>17.079999999999998</v>
      </c>
      <c r="C104" s="485">
        <v>15.22</v>
      </c>
      <c r="D104" s="485">
        <v>0.19</v>
      </c>
      <c r="E104" s="485">
        <v>0.35</v>
      </c>
      <c r="F104" s="180"/>
      <c r="G104" s="485">
        <v>1.32</v>
      </c>
    </row>
    <row r="105" spans="1:7">
      <c r="A105" s="481" t="s">
        <v>285</v>
      </c>
      <c r="B105" s="482">
        <f t="shared" si="0"/>
        <v>44.55</v>
      </c>
      <c r="C105" s="485">
        <v>44.32</v>
      </c>
      <c r="D105" s="485">
        <v>0.23</v>
      </c>
      <c r="E105" s="485">
        <v>0</v>
      </c>
      <c r="F105" s="180"/>
      <c r="G105" s="485">
        <v>0</v>
      </c>
    </row>
    <row r="106" spans="1:7">
      <c r="A106" s="481" t="s">
        <v>262</v>
      </c>
      <c r="B106" s="482">
        <f t="shared" si="0"/>
        <v>26.89</v>
      </c>
      <c r="C106" s="485">
        <v>26.86</v>
      </c>
      <c r="D106" s="485">
        <v>0</v>
      </c>
      <c r="E106" s="485">
        <v>0.02</v>
      </c>
      <c r="F106" s="180"/>
      <c r="G106" s="485">
        <v>0.01</v>
      </c>
    </row>
    <row r="107" spans="1:7">
      <c r="A107" s="481" t="s">
        <v>220</v>
      </c>
      <c r="B107" s="482">
        <f t="shared" si="0"/>
        <v>41.26</v>
      </c>
      <c r="C107" s="485">
        <v>40.83</v>
      </c>
      <c r="D107" s="485">
        <v>0</v>
      </c>
      <c r="E107" s="485">
        <v>0.43</v>
      </c>
      <c r="F107" s="180"/>
      <c r="G107" s="485">
        <v>0</v>
      </c>
    </row>
    <row r="108" spans="1:7">
      <c r="A108" s="481" t="s">
        <v>201</v>
      </c>
      <c r="B108" s="482">
        <f t="shared" si="0"/>
        <v>275.91000000000003</v>
      </c>
      <c r="C108" s="485">
        <v>8.91</v>
      </c>
      <c r="D108" s="485">
        <v>254.69</v>
      </c>
      <c r="E108" s="485">
        <v>11.97</v>
      </c>
      <c r="F108" s="180"/>
      <c r="G108" s="485">
        <v>0.34</v>
      </c>
    </row>
    <row r="109" spans="1:7">
      <c r="A109" s="481" t="s">
        <v>299</v>
      </c>
      <c r="B109" s="482">
        <f t="shared" si="0"/>
        <v>13.620000000000001</v>
      </c>
      <c r="C109" s="485">
        <v>6.07</v>
      </c>
      <c r="D109" s="485">
        <v>6.53</v>
      </c>
      <c r="E109" s="485">
        <v>1.02</v>
      </c>
      <c r="F109" s="180"/>
      <c r="G109" s="485">
        <v>0</v>
      </c>
    </row>
    <row r="110" spans="1:7">
      <c r="A110" s="481" t="s">
        <v>202</v>
      </c>
      <c r="B110" s="482">
        <f t="shared" si="0"/>
        <v>126.88</v>
      </c>
      <c r="C110" s="485">
        <v>14.27</v>
      </c>
      <c r="D110" s="485">
        <v>0.02</v>
      </c>
      <c r="E110" s="485">
        <v>0.25</v>
      </c>
      <c r="F110" s="180"/>
      <c r="G110" s="485">
        <v>112.34</v>
      </c>
    </row>
    <row r="111" spans="1:7">
      <c r="A111" s="481" t="s">
        <v>238</v>
      </c>
      <c r="B111" s="482">
        <f t="shared" si="0"/>
        <v>89.570000000000007</v>
      </c>
      <c r="C111" s="485">
        <v>84.38</v>
      </c>
      <c r="D111" s="485">
        <v>0.04</v>
      </c>
      <c r="E111" s="485">
        <v>0</v>
      </c>
      <c r="F111" s="180"/>
      <c r="G111" s="485">
        <v>5.15</v>
      </c>
    </row>
    <row r="112" spans="1:7">
      <c r="A112" s="481" t="s">
        <v>263</v>
      </c>
      <c r="B112" s="482">
        <f t="shared" si="0"/>
        <v>70.949999999999989</v>
      </c>
      <c r="C112" s="485">
        <v>70.06</v>
      </c>
      <c r="D112" s="180"/>
      <c r="E112" s="485">
        <v>0.74</v>
      </c>
      <c r="F112" s="485">
        <v>0.1</v>
      </c>
      <c r="G112" s="485">
        <v>0.05</v>
      </c>
    </row>
    <row r="113" spans="1:7">
      <c r="A113" s="481" t="s">
        <v>433</v>
      </c>
      <c r="B113" s="482">
        <f t="shared" si="0"/>
        <v>26.780000000000005</v>
      </c>
      <c r="C113" s="485">
        <v>19.59</v>
      </c>
      <c r="D113" s="485">
        <v>1.51</v>
      </c>
      <c r="E113" s="485">
        <v>1.17</v>
      </c>
      <c r="F113" s="485">
        <v>3.67</v>
      </c>
      <c r="G113" s="485">
        <v>0.84</v>
      </c>
    </row>
    <row r="114" spans="1:7">
      <c r="A114" s="481" t="s">
        <v>300</v>
      </c>
      <c r="B114" s="482">
        <f t="shared" si="0"/>
        <v>49.849999999999994</v>
      </c>
      <c r="C114" s="485">
        <v>46.63</v>
      </c>
      <c r="D114" s="485">
        <v>0.16</v>
      </c>
      <c r="E114" s="485">
        <v>1.97</v>
      </c>
      <c r="F114" s="485">
        <v>0.11</v>
      </c>
      <c r="G114" s="485">
        <v>0.98</v>
      </c>
    </row>
    <row r="115" spans="1:7">
      <c r="A115" s="481" t="s">
        <v>320</v>
      </c>
      <c r="B115" s="482">
        <f t="shared" si="0"/>
        <v>18.760000000000002</v>
      </c>
      <c r="C115" s="485">
        <v>5.17</v>
      </c>
      <c r="D115" s="485">
        <v>11</v>
      </c>
      <c r="E115" s="485">
        <v>0</v>
      </c>
      <c r="F115" s="485">
        <v>0.12</v>
      </c>
      <c r="G115" s="485">
        <v>2.4700000000000002</v>
      </c>
    </row>
    <row r="116" spans="1:7">
      <c r="A116" s="481" t="s">
        <v>203</v>
      </c>
      <c r="B116" s="482">
        <f t="shared" si="0"/>
        <v>22.73</v>
      </c>
      <c r="C116" s="485">
        <v>3.48</v>
      </c>
      <c r="D116" s="485">
        <v>14.96</v>
      </c>
      <c r="E116" s="485">
        <v>4.2</v>
      </c>
      <c r="F116" s="485">
        <v>0.09</v>
      </c>
      <c r="G116" s="485">
        <v>0</v>
      </c>
    </row>
    <row r="117" spans="1:7">
      <c r="A117" s="481" t="s">
        <v>204</v>
      </c>
      <c r="B117" s="482">
        <f t="shared" si="0"/>
        <v>276.07</v>
      </c>
      <c r="C117" s="485">
        <v>4.53</v>
      </c>
      <c r="D117" s="485">
        <v>130.19</v>
      </c>
      <c r="E117" s="485">
        <v>14.13</v>
      </c>
      <c r="F117" s="485">
        <v>119.97</v>
      </c>
      <c r="G117" s="485">
        <v>7.25</v>
      </c>
    </row>
    <row r="118" spans="1:7">
      <c r="A118" s="481" t="s">
        <v>264</v>
      </c>
      <c r="B118" s="482">
        <f t="shared" si="0"/>
        <v>60.64</v>
      </c>
      <c r="C118" s="485">
        <v>60.63</v>
      </c>
      <c r="D118" s="180"/>
      <c r="E118" s="485">
        <v>0.01</v>
      </c>
      <c r="F118" s="180"/>
      <c r="G118" s="180"/>
    </row>
    <row r="119" spans="1:7">
      <c r="A119" s="481" t="s">
        <v>265</v>
      </c>
      <c r="B119" s="482">
        <f t="shared" si="0"/>
        <v>52.599999999999994</v>
      </c>
      <c r="C119" s="485">
        <v>52.05</v>
      </c>
      <c r="D119" s="180"/>
      <c r="E119" s="485">
        <v>0.54</v>
      </c>
      <c r="F119" s="485">
        <v>0.01</v>
      </c>
      <c r="G119" s="485">
        <v>0</v>
      </c>
    </row>
    <row r="120" spans="1:7">
      <c r="A120" s="481" t="s">
        <v>231</v>
      </c>
      <c r="B120" s="482">
        <f t="shared" si="0"/>
        <v>24.470000000000002</v>
      </c>
      <c r="C120" s="485">
        <v>24.21</v>
      </c>
      <c r="D120" s="485">
        <v>0.19</v>
      </c>
      <c r="E120" s="485">
        <v>0.02</v>
      </c>
      <c r="F120" s="485">
        <v>0.01</v>
      </c>
      <c r="G120" s="485">
        <v>0.04</v>
      </c>
    </row>
    <row r="121" spans="1:7">
      <c r="A121" s="481" t="s">
        <v>239</v>
      </c>
      <c r="B121" s="482">
        <f t="shared" si="0"/>
        <v>15.480000000000002</v>
      </c>
      <c r="C121" s="485">
        <v>13.46</v>
      </c>
      <c r="D121" s="485">
        <v>0</v>
      </c>
      <c r="E121" s="485">
        <v>0.05</v>
      </c>
      <c r="F121" s="180"/>
      <c r="G121" s="485">
        <v>1.97</v>
      </c>
    </row>
    <row r="122" spans="1:7">
      <c r="A122" s="481" t="s">
        <v>321</v>
      </c>
      <c r="B122" s="482">
        <f t="shared" si="0"/>
        <v>17.059999999999999</v>
      </c>
      <c r="C122" s="485">
        <v>10.37</v>
      </c>
      <c r="D122" s="485">
        <v>3.8</v>
      </c>
      <c r="E122" s="485">
        <v>0.02</v>
      </c>
      <c r="F122" s="485">
        <v>2.41</v>
      </c>
      <c r="G122" s="485">
        <v>0.46</v>
      </c>
    </row>
    <row r="123" spans="1:7">
      <c r="A123" s="481" t="s">
        <v>302</v>
      </c>
      <c r="B123" s="482">
        <f t="shared" si="0"/>
        <v>200.83</v>
      </c>
      <c r="C123" s="485">
        <v>0.79</v>
      </c>
      <c r="D123" s="485">
        <v>15.39</v>
      </c>
      <c r="E123" s="485">
        <v>75.97</v>
      </c>
      <c r="F123" s="485">
        <v>42.21</v>
      </c>
      <c r="G123" s="485">
        <v>66.47</v>
      </c>
    </row>
    <row r="124" spans="1:7">
      <c r="A124" s="481" t="s">
        <v>322</v>
      </c>
      <c r="B124" s="482">
        <f t="shared" si="0"/>
        <v>171.53</v>
      </c>
      <c r="C124" s="485">
        <v>5.2</v>
      </c>
      <c r="D124" s="485">
        <v>159.4</v>
      </c>
      <c r="E124" s="485">
        <v>6.93</v>
      </c>
      <c r="F124" s="180"/>
      <c r="G124" s="485">
        <v>0</v>
      </c>
    </row>
    <row r="125" spans="1:7">
      <c r="A125" s="481" t="s">
        <v>323</v>
      </c>
      <c r="B125" s="482">
        <f t="shared" si="0"/>
        <v>131.68</v>
      </c>
      <c r="C125" s="485">
        <v>90.05</v>
      </c>
      <c r="D125" s="485">
        <v>28.79</v>
      </c>
      <c r="E125" s="485">
        <v>6.29</v>
      </c>
      <c r="F125" s="180"/>
      <c r="G125" s="485">
        <v>6.55</v>
      </c>
    </row>
    <row r="126" spans="1:7">
      <c r="A126" s="481" t="s">
        <v>434</v>
      </c>
      <c r="B126" s="482">
        <f t="shared" si="0"/>
        <v>17.180000000000003</v>
      </c>
      <c r="C126" s="485">
        <v>2.5</v>
      </c>
      <c r="D126" s="485">
        <v>9.23</v>
      </c>
      <c r="E126" s="485">
        <v>4.4400000000000004</v>
      </c>
      <c r="F126" s="485">
        <v>0.09</v>
      </c>
      <c r="G126" s="485">
        <v>0.92</v>
      </c>
    </row>
    <row r="127" spans="1:7">
      <c r="A127" s="481" t="s">
        <v>266</v>
      </c>
      <c r="B127" s="482">
        <f t="shared" si="0"/>
        <v>99.529999999999987</v>
      </c>
      <c r="C127" s="485">
        <v>99.46</v>
      </c>
      <c r="D127" s="180"/>
      <c r="E127" s="485">
        <v>7.0000000000000007E-2</v>
      </c>
      <c r="F127" s="180"/>
      <c r="G127" s="485">
        <v>0</v>
      </c>
    </row>
    <row r="128" spans="1:7">
      <c r="A128" s="481" t="s">
        <v>267</v>
      </c>
      <c r="B128" s="482">
        <f t="shared" si="0"/>
        <v>62.78</v>
      </c>
      <c r="C128" s="485">
        <v>62.23</v>
      </c>
      <c r="D128" s="180"/>
      <c r="E128" s="485">
        <v>0.38</v>
      </c>
      <c r="F128" s="485">
        <v>0.17</v>
      </c>
      <c r="G128" s="180"/>
    </row>
    <row r="129" spans="1:7">
      <c r="A129" s="481" t="s">
        <v>435</v>
      </c>
      <c r="B129" s="482">
        <f t="shared" si="0"/>
        <v>15.039999999999997</v>
      </c>
      <c r="C129" s="485">
        <v>10.69</v>
      </c>
      <c r="D129" s="485">
        <v>0.04</v>
      </c>
      <c r="E129" s="485">
        <v>3.87</v>
      </c>
      <c r="F129" s="180"/>
      <c r="G129" s="485">
        <v>0.44</v>
      </c>
    </row>
    <row r="130" spans="1:7">
      <c r="A130" s="481" t="s">
        <v>268</v>
      </c>
      <c r="B130" s="482">
        <f t="shared" si="0"/>
        <v>40.06</v>
      </c>
      <c r="C130" s="485">
        <v>40.06</v>
      </c>
      <c r="D130" s="180"/>
      <c r="E130" s="485">
        <v>0</v>
      </c>
      <c r="F130" s="180"/>
      <c r="G130" s="485">
        <v>0</v>
      </c>
    </row>
    <row r="131" spans="1:7">
      <c r="A131" s="481" t="s">
        <v>269</v>
      </c>
      <c r="B131" s="482">
        <f t="shared" si="0"/>
        <v>97.72</v>
      </c>
      <c r="C131" s="485">
        <v>97.7</v>
      </c>
      <c r="D131" s="180"/>
      <c r="E131" s="485">
        <v>0.02</v>
      </c>
      <c r="F131" s="180"/>
      <c r="G131" s="485">
        <v>0</v>
      </c>
    </row>
    <row r="132" spans="1:7">
      <c r="A132" s="481" t="s">
        <v>270</v>
      </c>
      <c r="B132" s="482">
        <f t="shared" si="0"/>
        <v>101.11</v>
      </c>
      <c r="C132" s="485">
        <v>101.11</v>
      </c>
      <c r="D132" s="180"/>
      <c r="E132" s="485">
        <v>0</v>
      </c>
      <c r="F132" s="180"/>
      <c r="G132" s="485">
        <v>0</v>
      </c>
    </row>
    <row r="133" spans="1:7">
      <c r="A133" s="481" t="s">
        <v>205</v>
      </c>
      <c r="B133" s="482">
        <f t="shared" si="0"/>
        <v>290.13000000000005</v>
      </c>
      <c r="C133" s="485">
        <v>116.39</v>
      </c>
      <c r="D133" s="485">
        <v>76.239999999999995</v>
      </c>
      <c r="E133" s="485">
        <v>81.3</v>
      </c>
      <c r="F133" s="485">
        <v>3.91</v>
      </c>
      <c r="G133" s="485">
        <v>12.29</v>
      </c>
    </row>
    <row r="134" spans="1:7">
      <c r="A134" s="481" t="s">
        <v>436</v>
      </c>
      <c r="B134" s="482">
        <f t="shared" si="0"/>
        <v>26.770000000000003</v>
      </c>
      <c r="C134" s="485">
        <v>15.06</v>
      </c>
      <c r="D134" s="485">
        <v>0</v>
      </c>
      <c r="E134" s="485">
        <v>2.02</v>
      </c>
      <c r="F134" s="485">
        <v>0.04</v>
      </c>
      <c r="G134" s="485">
        <v>9.65</v>
      </c>
    </row>
    <row r="135" spans="1:7">
      <c r="A135" s="481" t="s">
        <v>437</v>
      </c>
      <c r="B135" s="482">
        <f t="shared" si="0"/>
        <v>31.250000000000004</v>
      </c>
      <c r="C135" s="485">
        <v>10.96</v>
      </c>
      <c r="D135" s="485">
        <v>7.21</v>
      </c>
      <c r="E135" s="485">
        <v>3.35</v>
      </c>
      <c r="F135" s="485">
        <v>2.92</v>
      </c>
      <c r="G135" s="485">
        <v>6.81</v>
      </c>
    </row>
    <row r="136" spans="1:7">
      <c r="A136" s="481" t="s">
        <v>438</v>
      </c>
      <c r="B136" s="482">
        <f t="shared" si="0"/>
        <v>59.85</v>
      </c>
      <c r="C136" s="485">
        <v>7.88</v>
      </c>
      <c r="D136" s="485">
        <v>3.5</v>
      </c>
      <c r="E136" s="485">
        <v>8.4499999999999993</v>
      </c>
      <c r="F136" s="485">
        <v>7</v>
      </c>
      <c r="G136" s="485">
        <v>33.020000000000003</v>
      </c>
    </row>
    <row r="137" spans="1:7">
      <c r="A137" s="481" t="s">
        <v>439</v>
      </c>
      <c r="B137" s="482">
        <f t="shared" si="0"/>
        <v>138.96</v>
      </c>
      <c r="C137" s="485">
        <v>6.97</v>
      </c>
      <c r="D137" s="485">
        <v>2.19</v>
      </c>
      <c r="E137" s="180"/>
      <c r="F137" s="485">
        <v>23.38</v>
      </c>
      <c r="G137" s="485">
        <v>106.42</v>
      </c>
    </row>
    <row r="138" spans="1:7">
      <c r="A138" s="481" t="s">
        <v>206</v>
      </c>
      <c r="B138" s="482">
        <f t="shared" si="0"/>
        <v>47.230000000000004</v>
      </c>
      <c r="C138" s="485">
        <v>1.81</v>
      </c>
      <c r="D138" s="485">
        <v>5.58</v>
      </c>
      <c r="E138" s="180"/>
      <c r="F138" s="485">
        <v>10.130000000000001</v>
      </c>
      <c r="G138" s="485">
        <v>29.71</v>
      </c>
    </row>
    <row r="139" spans="1:7">
      <c r="A139" s="481" t="s">
        <v>232</v>
      </c>
      <c r="B139" s="482">
        <f t="shared" si="0"/>
        <v>16.36</v>
      </c>
      <c r="C139" s="485">
        <v>16.07</v>
      </c>
      <c r="D139" s="180"/>
      <c r="E139" s="485">
        <v>0.15</v>
      </c>
      <c r="F139" s="180"/>
      <c r="G139" s="485">
        <v>0.14000000000000001</v>
      </c>
    </row>
    <row r="140" spans="1:7">
      <c r="A140" s="481" t="s">
        <v>207</v>
      </c>
      <c r="B140" s="482">
        <f t="shared" si="0"/>
        <v>29.009999999999998</v>
      </c>
      <c r="C140" s="485">
        <v>6.63</v>
      </c>
      <c r="D140" s="485">
        <v>16.07</v>
      </c>
      <c r="E140" s="485">
        <v>1.89</v>
      </c>
      <c r="F140" s="485">
        <v>4.42</v>
      </c>
      <c r="G140" s="485">
        <v>0</v>
      </c>
    </row>
    <row r="141" spans="1:7">
      <c r="A141" s="481" t="s">
        <v>271</v>
      </c>
      <c r="B141" s="482">
        <f t="shared" si="0"/>
        <v>35.18</v>
      </c>
      <c r="C141" s="485">
        <v>34.549999999999997</v>
      </c>
      <c r="D141" s="485">
        <v>0</v>
      </c>
      <c r="E141" s="180"/>
      <c r="F141" s="485"/>
      <c r="G141" s="485">
        <v>0.63</v>
      </c>
    </row>
    <row r="142" spans="1:7">
      <c r="A142" s="481" t="s">
        <v>208</v>
      </c>
      <c r="B142" s="482">
        <f t="shared" si="0"/>
        <v>201.67000000000002</v>
      </c>
      <c r="C142" s="485">
        <v>0.24</v>
      </c>
      <c r="D142" s="485">
        <v>186.75</v>
      </c>
      <c r="E142" s="485">
        <v>14.37</v>
      </c>
      <c r="F142" s="180"/>
      <c r="G142" s="485">
        <v>0.31</v>
      </c>
    </row>
    <row r="143" spans="1:7">
      <c r="A143" s="481" t="s">
        <v>272</v>
      </c>
      <c r="B143" s="482">
        <f t="shared" si="0"/>
        <v>50.79</v>
      </c>
      <c r="C143" s="485">
        <v>50.79</v>
      </c>
      <c r="D143" s="180"/>
      <c r="E143" s="485">
        <v>0</v>
      </c>
      <c r="F143" s="180"/>
      <c r="G143" s="485">
        <v>0</v>
      </c>
    </row>
    <row r="144" spans="1:7">
      <c r="A144" s="481" t="s">
        <v>273</v>
      </c>
      <c r="B144" s="482">
        <f t="shared" si="0"/>
        <v>42.120000000000005</v>
      </c>
      <c r="C144" s="485">
        <v>40.380000000000003</v>
      </c>
      <c r="D144" s="180"/>
      <c r="E144" s="180"/>
      <c r="F144" s="180"/>
      <c r="G144" s="485">
        <v>1.74</v>
      </c>
    </row>
    <row r="145" spans="1:7">
      <c r="A145" s="481" t="s">
        <v>440</v>
      </c>
      <c r="B145" s="482">
        <f t="shared" si="0"/>
        <v>318.78999999999996</v>
      </c>
      <c r="C145" s="485">
        <v>0.64</v>
      </c>
      <c r="D145" s="485">
        <v>5.08</v>
      </c>
      <c r="E145" s="485">
        <v>170.78</v>
      </c>
      <c r="F145" s="485">
        <v>73.349999999999994</v>
      </c>
      <c r="G145" s="485">
        <v>68.94</v>
      </c>
    </row>
    <row r="146" spans="1:7">
      <c r="A146" s="481" t="s">
        <v>210</v>
      </c>
      <c r="B146" s="482">
        <f t="shared" si="0"/>
        <v>32.43</v>
      </c>
      <c r="C146" s="485">
        <v>31.46</v>
      </c>
      <c r="D146" s="485">
        <v>0</v>
      </c>
      <c r="E146" s="485">
        <v>0.97</v>
      </c>
      <c r="F146" s="485"/>
      <c r="G146" s="485">
        <v>0</v>
      </c>
    </row>
    <row r="147" spans="1:7">
      <c r="A147" s="481" t="s">
        <v>274</v>
      </c>
      <c r="B147" s="482">
        <f t="shared" si="0"/>
        <v>56.13</v>
      </c>
      <c r="C147" s="485">
        <v>55.99</v>
      </c>
      <c r="D147" s="180"/>
      <c r="E147" s="485">
        <v>0.13</v>
      </c>
      <c r="F147" s="485">
        <v>0.01</v>
      </c>
      <c r="G147" s="485">
        <v>0</v>
      </c>
    </row>
    <row r="148" spans="1:7">
      <c r="A148" s="481" t="s">
        <v>441</v>
      </c>
      <c r="B148" s="482">
        <f t="shared" si="0"/>
        <v>21.490000000000002</v>
      </c>
      <c r="C148" s="485">
        <v>9.69</v>
      </c>
      <c r="D148" s="485">
        <v>10.130000000000001</v>
      </c>
      <c r="E148" s="485">
        <v>1.67</v>
      </c>
      <c r="F148" s="180"/>
      <c r="G148" s="485">
        <v>0</v>
      </c>
    </row>
    <row r="149" spans="1:7">
      <c r="A149" s="481" t="s">
        <v>221</v>
      </c>
      <c r="B149" s="482">
        <f t="shared" si="0"/>
        <v>20.47</v>
      </c>
      <c r="C149" s="485">
        <v>10.73</v>
      </c>
      <c r="D149" s="485">
        <v>0</v>
      </c>
      <c r="E149" s="485">
        <v>5.31</v>
      </c>
      <c r="F149" s="485">
        <v>4.43</v>
      </c>
      <c r="G149" s="485">
        <v>0</v>
      </c>
    </row>
    <row r="150" spans="1:7">
      <c r="A150" s="481" t="s">
        <v>324</v>
      </c>
      <c r="B150" s="482">
        <f t="shared" si="0"/>
        <v>29.12</v>
      </c>
      <c r="C150" s="485">
        <v>16.39</v>
      </c>
      <c r="D150" s="485">
        <v>11.07</v>
      </c>
      <c r="E150" s="485">
        <v>0.85</v>
      </c>
      <c r="F150" s="485"/>
      <c r="G150" s="485">
        <v>0.81</v>
      </c>
    </row>
    <row r="151" spans="1:7">
      <c r="A151" s="481" t="s">
        <v>275</v>
      </c>
      <c r="B151" s="482">
        <f t="shared" si="0"/>
        <v>52.629999999999995</v>
      </c>
      <c r="C151" s="485">
        <v>52.51</v>
      </c>
      <c r="D151" s="180"/>
      <c r="E151" s="485">
        <v>0.12</v>
      </c>
      <c r="F151" s="180"/>
      <c r="G151" s="485">
        <v>0</v>
      </c>
    </row>
    <row r="152" spans="1:7">
      <c r="A152" s="481" t="s">
        <v>276</v>
      </c>
      <c r="B152" s="482">
        <f t="shared" si="0"/>
        <v>39.250000000000007</v>
      </c>
      <c r="C152" s="485">
        <v>38.86</v>
      </c>
      <c r="D152" s="180"/>
      <c r="E152" s="485">
        <v>0.34</v>
      </c>
      <c r="F152" s="485">
        <v>0.02</v>
      </c>
      <c r="G152" s="485">
        <v>0.03</v>
      </c>
    </row>
    <row r="153" spans="1:7">
      <c r="A153" s="481" t="s">
        <v>286</v>
      </c>
      <c r="B153" s="482">
        <f t="shared" si="0"/>
        <v>34.25</v>
      </c>
      <c r="C153" s="485">
        <v>34.25</v>
      </c>
      <c r="D153" s="180"/>
      <c r="E153" s="180"/>
      <c r="F153" s="180"/>
      <c r="G153" s="180"/>
    </row>
    <row r="154" spans="1:7">
      <c r="A154" s="481" t="s">
        <v>305</v>
      </c>
      <c r="B154" s="482">
        <f t="shared" si="0"/>
        <v>9.9699999999999989</v>
      </c>
      <c r="C154" s="485">
        <v>3.22</v>
      </c>
      <c r="D154" s="485">
        <v>1.29</v>
      </c>
      <c r="E154" s="485">
        <v>0.18</v>
      </c>
      <c r="F154" s="180"/>
      <c r="G154" s="485">
        <v>5.28</v>
      </c>
    </row>
    <row r="155" spans="1:7">
      <c r="A155" s="481" t="s">
        <v>442</v>
      </c>
      <c r="B155" s="482">
        <f t="shared" si="0"/>
        <v>43.739999999999995</v>
      </c>
      <c r="C155" s="485">
        <v>1.47</v>
      </c>
      <c r="D155" s="485">
        <v>19.09</v>
      </c>
      <c r="E155" s="485">
        <v>5.8</v>
      </c>
      <c r="F155" s="180"/>
      <c r="G155" s="485">
        <v>17.38</v>
      </c>
    </row>
    <row r="156" spans="1:7">
      <c r="A156" s="481" t="s">
        <v>213</v>
      </c>
      <c r="B156" s="482">
        <f t="shared" si="0"/>
        <v>188.44</v>
      </c>
      <c r="C156" s="485">
        <v>0.52</v>
      </c>
      <c r="D156" s="485">
        <v>108.92</v>
      </c>
      <c r="E156" s="485">
        <v>0.85</v>
      </c>
      <c r="F156" s="485">
        <v>76.27</v>
      </c>
      <c r="G156" s="485">
        <v>1.88</v>
      </c>
    </row>
    <row r="157" spans="1:7">
      <c r="A157" s="481" t="s">
        <v>443</v>
      </c>
      <c r="B157" s="482">
        <f t="shared" si="0"/>
        <v>36.58</v>
      </c>
      <c r="C157" s="485">
        <v>29.08</v>
      </c>
      <c r="D157" s="485">
        <v>1.39</v>
      </c>
      <c r="E157" s="485">
        <v>0.96</v>
      </c>
      <c r="F157" s="485">
        <v>0.02</v>
      </c>
      <c r="G157" s="485">
        <v>5.13</v>
      </c>
    </row>
    <row r="158" spans="1:7">
      <c r="A158" s="481" t="s">
        <v>222</v>
      </c>
      <c r="B158" s="482">
        <f t="shared" si="0"/>
        <v>31.38</v>
      </c>
      <c r="C158" s="485">
        <v>31.38</v>
      </c>
      <c r="D158" s="485">
        <v>0</v>
      </c>
      <c r="E158" s="485">
        <v>0</v>
      </c>
      <c r="F158" s="180"/>
      <c r="G158" s="180"/>
    </row>
    <row r="159" spans="1:7">
      <c r="A159" s="481" t="s">
        <v>288</v>
      </c>
      <c r="B159" s="482">
        <f t="shared" si="0"/>
        <v>46.82</v>
      </c>
      <c r="C159" s="485">
        <v>46.81</v>
      </c>
      <c r="D159" s="485">
        <v>0</v>
      </c>
      <c r="E159" s="180"/>
      <c r="F159" s="180"/>
      <c r="G159" s="485">
        <v>0.01</v>
      </c>
    </row>
    <row r="160" spans="1:7">
      <c r="A160" s="481" t="s">
        <v>289</v>
      </c>
      <c r="B160" s="482">
        <f t="shared" si="0"/>
        <v>94.44</v>
      </c>
      <c r="C160" s="485">
        <v>31.88</v>
      </c>
      <c r="D160" s="485">
        <v>62.56</v>
      </c>
      <c r="E160" s="180"/>
      <c r="F160" s="180"/>
      <c r="G160" s="180"/>
    </row>
    <row r="161" spans="1:7">
      <c r="A161" s="481" t="s">
        <v>214</v>
      </c>
      <c r="B161" s="482">
        <f t="shared" si="0"/>
        <v>50.050000000000004</v>
      </c>
      <c r="C161" s="485">
        <v>3.17</v>
      </c>
      <c r="D161" s="180"/>
      <c r="E161" s="485">
        <v>46.88</v>
      </c>
      <c r="F161" s="180"/>
      <c r="G161" s="485">
        <v>0</v>
      </c>
    </row>
    <row r="162" spans="1:7">
      <c r="A162" s="481" t="s">
        <v>277</v>
      </c>
      <c r="B162" s="482">
        <f t="shared" si="0"/>
        <v>138.86000000000001</v>
      </c>
      <c r="C162" s="485">
        <v>138.86000000000001</v>
      </c>
      <c r="D162" s="485">
        <v>0</v>
      </c>
      <c r="E162" s="485">
        <v>0</v>
      </c>
      <c r="F162" s="180"/>
      <c r="G162" s="485">
        <v>0</v>
      </c>
    </row>
    <row r="163" spans="1:7">
      <c r="A163" s="481" t="s">
        <v>444</v>
      </c>
      <c r="B163" s="482">
        <f t="shared" si="0"/>
        <v>12.899999999999999</v>
      </c>
      <c r="C163" s="485">
        <v>11.98</v>
      </c>
      <c r="D163" s="485">
        <v>0.68</v>
      </c>
      <c r="E163" s="485">
        <v>0.2</v>
      </c>
      <c r="F163" s="180"/>
      <c r="G163" s="485">
        <v>0.04</v>
      </c>
    </row>
    <row r="164" spans="1:7">
      <c r="A164" s="481" t="s">
        <v>445</v>
      </c>
      <c r="B164" s="482">
        <f t="shared" si="0"/>
        <v>76.850000000000009</v>
      </c>
      <c r="C164" s="485">
        <v>76.67</v>
      </c>
      <c r="D164" s="180"/>
      <c r="E164" s="180"/>
      <c r="F164" s="485">
        <v>0.17</v>
      </c>
      <c r="G164" s="485">
        <v>0.01</v>
      </c>
    </row>
    <row r="165" spans="1:7">
      <c r="A165" s="481" t="s">
        <v>446</v>
      </c>
      <c r="B165" s="482">
        <f t="shared" si="0"/>
        <v>187.79</v>
      </c>
      <c r="C165" s="485">
        <v>10.31</v>
      </c>
      <c r="D165" s="485">
        <v>115.91</v>
      </c>
      <c r="E165" s="485">
        <v>61.37</v>
      </c>
      <c r="F165" s="485">
        <v>0.17</v>
      </c>
      <c r="G165" s="485">
        <v>0.03</v>
      </c>
    </row>
    <row r="166" spans="1:7">
      <c r="A166" s="481" t="s">
        <v>291</v>
      </c>
      <c r="B166" s="482">
        <f t="shared" si="0"/>
        <v>55.919999999999995</v>
      </c>
      <c r="C166" s="485">
        <v>52.26</v>
      </c>
      <c r="D166" s="485">
        <v>0.05</v>
      </c>
      <c r="E166" s="485">
        <v>3.01</v>
      </c>
      <c r="F166" s="485">
        <v>0.09</v>
      </c>
      <c r="G166" s="485">
        <v>0.51</v>
      </c>
    </row>
    <row r="167" spans="1:7">
      <c r="A167" s="481" t="s">
        <v>325</v>
      </c>
      <c r="B167" s="482">
        <f t="shared" si="0"/>
        <v>47.6</v>
      </c>
      <c r="C167" s="485">
        <v>29.06</v>
      </c>
      <c r="D167" s="485">
        <v>0.1</v>
      </c>
      <c r="E167" s="485">
        <v>18.440000000000001</v>
      </c>
      <c r="F167" s="180"/>
      <c r="G167" s="485">
        <v>0</v>
      </c>
    </row>
    <row r="168" spans="1:7">
      <c r="A168" s="481" t="s">
        <v>287</v>
      </c>
      <c r="B168" s="482">
        <f t="shared" si="0"/>
        <v>71.34</v>
      </c>
      <c r="C168" s="485">
        <v>71.34</v>
      </c>
      <c r="D168" s="180"/>
      <c r="E168" s="485">
        <v>0</v>
      </c>
      <c r="F168" s="180"/>
      <c r="G168" s="485">
        <v>0</v>
      </c>
    </row>
    <row r="169" spans="1:7">
      <c r="A169" s="481" t="s">
        <v>448</v>
      </c>
      <c r="B169" s="482">
        <f t="shared" si="0"/>
        <v>161.69999999999999</v>
      </c>
      <c r="C169" s="485">
        <v>2.76</v>
      </c>
      <c r="D169" s="180"/>
      <c r="E169" s="485">
        <v>0</v>
      </c>
      <c r="F169" s="180"/>
      <c r="G169" s="485">
        <v>158.94</v>
      </c>
    </row>
    <row r="170" spans="1:7">
      <c r="A170" s="481" t="s">
        <v>449</v>
      </c>
      <c r="B170" s="482">
        <f t="shared" si="0"/>
        <v>30.619999999999997</v>
      </c>
      <c r="C170" s="485">
        <v>13.37</v>
      </c>
      <c r="D170" s="485">
        <v>10.63</v>
      </c>
      <c r="E170" s="485">
        <v>0.49</v>
      </c>
      <c r="F170" s="485">
        <v>1.38</v>
      </c>
      <c r="G170" s="485">
        <v>4.75</v>
      </c>
    </row>
    <row r="171" spans="1:7">
      <c r="A171" s="481" t="s">
        <v>450</v>
      </c>
      <c r="B171" s="482">
        <f t="shared" si="0"/>
        <v>16.809999999999999</v>
      </c>
      <c r="C171" s="485">
        <v>4.6500000000000004</v>
      </c>
      <c r="D171" s="485">
        <v>7.6</v>
      </c>
      <c r="E171" s="485">
        <v>4.5199999999999996</v>
      </c>
      <c r="F171" s="180"/>
      <c r="G171" s="485">
        <v>0.04</v>
      </c>
    </row>
    <row r="172" spans="1:7">
      <c r="A172" s="481" t="s">
        <v>235</v>
      </c>
      <c r="B172" s="482">
        <f t="shared" si="0"/>
        <v>10.039999999999999</v>
      </c>
      <c r="C172" s="485">
        <v>10</v>
      </c>
      <c r="D172" s="485">
        <v>0.03</v>
      </c>
      <c r="E172" s="485">
        <v>0.01</v>
      </c>
      <c r="F172" s="180"/>
      <c r="G172" s="485">
        <v>0</v>
      </c>
    </row>
    <row r="173" spans="1:7">
      <c r="A173" s="481" t="s">
        <v>215</v>
      </c>
      <c r="B173" s="482">
        <f t="shared" si="0"/>
        <v>69.63</v>
      </c>
      <c r="C173" s="485">
        <v>1.91</v>
      </c>
      <c r="D173" s="485">
        <v>57.08</v>
      </c>
      <c r="E173" s="485">
        <v>10.64</v>
      </c>
      <c r="F173" s="180"/>
      <c r="G173" s="485">
        <v>0</v>
      </c>
    </row>
    <row r="174" spans="1:7">
      <c r="A174" s="481" t="s">
        <v>216</v>
      </c>
      <c r="B174" s="482">
        <f t="shared" si="0"/>
        <v>19.209999999999997</v>
      </c>
      <c r="C174" s="485">
        <v>4.08</v>
      </c>
      <c r="D174" s="485">
        <v>14.92</v>
      </c>
      <c r="E174" s="485">
        <v>0.13</v>
      </c>
      <c r="F174" s="180"/>
      <c r="G174" s="485">
        <v>0.08</v>
      </c>
    </row>
    <row r="175" spans="1:7">
      <c r="B175" s="185"/>
      <c r="C175" s="180"/>
      <c r="D175" s="180"/>
      <c r="E175" s="180"/>
      <c r="F175" s="180"/>
      <c r="G175" s="180"/>
    </row>
    <row r="176" spans="1:7">
      <c r="B176" s="185"/>
      <c r="C176" s="180"/>
      <c r="D176" s="180"/>
      <c r="E176" s="180"/>
      <c r="F176" s="180"/>
      <c r="G176" s="180"/>
    </row>
    <row r="177" spans="2:7">
      <c r="B177" s="185"/>
      <c r="C177" s="180"/>
      <c r="D177" s="180"/>
      <c r="E177" s="180"/>
      <c r="F177" s="180"/>
      <c r="G177" s="180"/>
    </row>
  </sheetData>
  <hyperlinks>
    <hyperlink ref="H1" r:id="rId1" location="data/FBS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topLeftCell="A16" workbookViewId="0">
      <selection activeCell="B40" sqref="B40"/>
    </sheetView>
  </sheetViews>
  <sheetFormatPr defaultColWidth="14.42578125" defaultRowHeight="15.75" customHeight="1"/>
  <sheetData>
    <row r="1" spans="1:5">
      <c r="A1" s="222" t="s">
        <v>735</v>
      </c>
      <c r="B1" s="484" t="s">
        <v>736</v>
      </c>
      <c r="C1" s="185"/>
    </row>
    <row r="2" spans="1:5">
      <c r="A2" s="486" t="s">
        <v>279</v>
      </c>
      <c r="B2" s="492" t="s">
        <v>737</v>
      </c>
      <c r="C2" s="487" t="s">
        <v>738</v>
      </c>
      <c r="D2" s="493" t="s">
        <v>2820</v>
      </c>
      <c r="E2" s="493">
        <f>60%</f>
        <v>0.6</v>
      </c>
    </row>
    <row r="3" spans="1:5">
      <c r="A3" s="488" t="s">
        <v>468</v>
      </c>
      <c r="B3" s="494" t="s">
        <v>739</v>
      </c>
      <c r="C3" s="489" t="s">
        <v>2829</v>
      </c>
      <c r="D3" s="495" t="s">
        <v>2820</v>
      </c>
      <c r="E3" s="495">
        <f>121%</f>
        <v>1.21</v>
      </c>
    </row>
    <row r="4" spans="1:5">
      <c r="A4" s="486" t="s">
        <v>240</v>
      </c>
      <c r="B4" s="492" t="s">
        <v>738</v>
      </c>
      <c r="C4" s="487" t="s">
        <v>741</v>
      </c>
      <c r="D4" s="493" t="s">
        <v>2820</v>
      </c>
      <c r="E4" s="493">
        <f>877%</f>
        <v>8.77</v>
      </c>
    </row>
    <row r="5" spans="1:5">
      <c r="A5" s="488" t="s">
        <v>219</v>
      </c>
      <c r="B5" s="494" t="s">
        <v>742</v>
      </c>
      <c r="C5" s="489" t="s">
        <v>743</v>
      </c>
      <c r="D5" s="495" t="s">
        <v>2820</v>
      </c>
      <c r="E5" s="495">
        <f>614%</f>
        <v>6.14</v>
      </c>
    </row>
    <row r="6" spans="1:5">
      <c r="A6" s="486" t="s">
        <v>472</v>
      </c>
      <c r="B6" s="492" t="s">
        <v>744</v>
      </c>
      <c r="C6" s="487" t="s">
        <v>2830</v>
      </c>
      <c r="D6" s="493" t="s">
        <v>2820</v>
      </c>
      <c r="E6" s="493">
        <f>19%</f>
        <v>0.19</v>
      </c>
    </row>
    <row r="7" spans="1:5">
      <c r="A7" s="488" t="s">
        <v>173</v>
      </c>
      <c r="B7" s="494" t="s">
        <v>746</v>
      </c>
      <c r="C7" s="489" t="s">
        <v>747</v>
      </c>
      <c r="D7" s="495" t="s">
        <v>2820</v>
      </c>
      <c r="E7" s="495">
        <f>91%</f>
        <v>0.91</v>
      </c>
    </row>
    <row r="8" spans="1:5">
      <c r="A8" s="486" t="s">
        <v>405</v>
      </c>
      <c r="B8" s="492" t="s">
        <v>748</v>
      </c>
      <c r="C8" s="487" t="s">
        <v>749</v>
      </c>
      <c r="D8" s="493" t="s">
        <v>2820</v>
      </c>
      <c r="E8" s="493">
        <f>70%</f>
        <v>0.7</v>
      </c>
    </row>
    <row r="9" spans="1:5">
      <c r="A9" s="488" t="s">
        <v>307</v>
      </c>
      <c r="B9" s="494" t="s">
        <v>750</v>
      </c>
      <c r="C9" s="489" t="s">
        <v>751</v>
      </c>
      <c r="D9" s="495" t="s">
        <v>2820</v>
      </c>
      <c r="E9" s="495">
        <f>77%</f>
        <v>0.77</v>
      </c>
    </row>
    <row r="10" spans="1:5">
      <c r="A10" s="486" t="s">
        <v>280</v>
      </c>
      <c r="B10" s="492" t="s">
        <v>752</v>
      </c>
      <c r="C10" s="487" t="s">
        <v>753</v>
      </c>
      <c r="D10" s="493" t="s">
        <v>2820</v>
      </c>
      <c r="E10" s="493">
        <f>220%</f>
        <v>2.2000000000000002</v>
      </c>
    </row>
    <row r="11" spans="1:5">
      <c r="A11" s="488" t="s">
        <v>478</v>
      </c>
      <c r="B11" s="494" t="s">
        <v>754</v>
      </c>
      <c r="C11" s="489" t="s">
        <v>2831</v>
      </c>
      <c r="D11" s="495" t="s">
        <v>2820</v>
      </c>
      <c r="E11" s="495">
        <f>405%</f>
        <v>4.05</v>
      </c>
    </row>
    <row r="12" spans="1:5">
      <c r="A12" s="486" t="s">
        <v>480</v>
      </c>
      <c r="B12" s="492" t="s">
        <v>756</v>
      </c>
      <c r="C12" s="487" t="s">
        <v>2832</v>
      </c>
      <c r="D12" s="492" t="s">
        <v>758</v>
      </c>
      <c r="E12" s="496">
        <v>-7.0000000000000007E-2</v>
      </c>
    </row>
    <row r="13" spans="1:5">
      <c r="A13" s="488" t="s">
        <v>292</v>
      </c>
      <c r="B13" s="494" t="s">
        <v>759</v>
      </c>
      <c r="C13" s="489" t="s">
        <v>760</v>
      </c>
      <c r="D13" s="494" t="s">
        <v>761</v>
      </c>
      <c r="E13" s="497">
        <v>-0.31</v>
      </c>
    </row>
    <row r="14" spans="1:5">
      <c r="A14" s="486" t="s">
        <v>483</v>
      </c>
      <c r="B14" s="492" t="s">
        <v>762</v>
      </c>
      <c r="C14" s="487" t="s">
        <v>858</v>
      </c>
      <c r="D14" s="492" t="s">
        <v>764</v>
      </c>
      <c r="E14" s="496">
        <v>-0.32</v>
      </c>
    </row>
    <row r="15" spans="1:5">
      <c r="A15" s="488" t="s">
        <v>241</v>
      </c>
      <c r="B15" s="494" t="s">
        <v>765</v>
      </c>
      <c r="C15" s="489" t="s">
        <v>766</v>
      </c>
      <c r="D15" s="495" t="s">
        <v>2820</v>
      </c>
      <c r="E15" s="495">
        <f>13%</f>
        <v>0.13</v>
      </c>
    </row>
    <row r="16" spans="1:5">
      <c r="A16" s="486" t="s">
        <v>406</v>
      </c>
      <c r="B16" s="492" t="s">
        <v>767</v>
      </c>
      <c r="C16" s="487" t="s">
        <v>768</v>
      </c>
      <c r="D16" s="493" t="s">
        <v>2820</v>
      </c>
      <c r="E16" s="493">
        <f>52%</f>
        <v>0.52</v>
      </c>
    </row>
    <row r="17" spans="1:5">
      <c r="A17" s="488" t="s">
        <v>407</v>
      </c>
      <c r="B17" s="494" t="s">
        <v>769</v>
      </c>
      <c r="C17" s="489" t="s">
        <v>770</v>
      </c>
      <c r="D17" s="495" t="s">
        <v>2820</v>
      </c>
      <c r="E17" s="495">
        <f>248%</f>
        <v>2.48</v>
      </c>
    </row>
    <row r="18" spans="1:5">
      <c r="A18" s="486" t="s">
        <v>236</v>
      </c>
      <c r="B18" s="492" t="s">
        <v>771</v>
      </c>
      <c r="C18" s="487" t="s">
        <v>772</v>
      </c>
      <c r="D18" s="493" t="s">
        <v>2820</v>
      </c>
      <c r="E18" s="493">
        <f>791%</f>
        <v>7.91</v>
      </c>
    </row>
    <row r="19" spans="1:5">
      <c r="A19" s="488" t="s">
        <v>408</v>
      </c>
      <c r="B19" s="494" t="s">
        <v>773</v>
      </c>
      <c r="C19" s="489" t="s">
        <v>774</v>
      </c>
      <c r="D19" s="495" t="s">
        <v>2820</v>
      </c>
      <c r="E19" s="495">
        <f>393%</f>
        <v>3.93</v>
      </c>
    </row>
    <row r="20" spans="1:5">
      <c r="A20" s="486" t="s">
        <v>242</v>
      </c>
      <c r="B20" s="492" t="s">
        <v>775</v>
      </c>
      <c r="C20" s="487" t="s">
        <v>776</v>
      </c>
      <c r="D20" s="492" t="s">
        <v>777</v>
      </c>
      <c r="E20" s="496">
        <v>-0.15</v>
      </c>
    </row>
    <row r="21" spans="1:5">
      <c r="A21" s="488" t="s">
        <v>243</v>
      </c>
      <c r="B21" s="494" t="s">
        <v>778</v>
      </c>
      <c r="C21" s="489" t="s">
        <v>779</v>
      </c>
      <c r="D21" s="495" t="s">
        <v>2820</v>
      </c>
      <c r="E21" s="495">
        <f>20%</f>
        <v>0.2</v>
      </c>
    </row>
    <row r="22" spans="1:5">
      <c r="A22" s="486" t="s">
        <v>492</v>
      </c>
      <c r="B22" s="492" t="s">
        <v>780</v>
      </c>
      <c r="C22" s="487" t="s">
        <v>2833</v>
      </c>
      <c r="D22" s="492" t="s">
        <v>782</v>
      </c>
      <c r="E22" s="496">
        <v>-0.04</v>
      </c>
    </row>
    <row r="23" spans="1:5">
      <c r="A23" s="488" t="s">
        <v>308</v>
      </c>
      <c r="B23" s="494" t="s">
        <v>783</v>
      </c>
      <c r="C23" s="489" t="s">
        <v>784</v>
      </c>
      <c r="D23" s="495" t="s">
        <v>2820</v>
      </c>
      <c r="E23" s="495">
        <f>104%</f>
        <v>1.04</v>
      </c>
    </row>
    <row r="24" spans="1:5">
      <c r="A24" s="486" t="s">
        <v>174</v>
      </c>
      <c r="B24" s="492" t="s">
        <v>785</v>
      </c>
      <c r="C24" s="487" t="s">
        <v>786</v>
      </c>
      <c r="D24" s="492" t="s">
        <v>787</v>
      </c>
      <c r="E24" s="496">
        <v>-7.0000000000000007E-2</v>
      </c>
    </row>
    <row r="25" spans="1:5">
      <c r="A25" s="488" t="s">
        <v>496</v>
      </c>
      <c r="B25" s="494" t="s">
        <v>788</v>
      </c>
      <c r="C25" s="489" t="s">
        <v>2871</v>
      </c>
      <c r="D25" s="495" t="s">
        <v>2820</v>
      </c>
      <c r="E25" s="495">
        <f>37%</f>
        <v>0.37</v>
      </c>
    </row>
    <row r="26" spans="1:5">
      <c r="A26" s="486" t="s">
        <v>498</v>
      </c>
      <c r="B26" s="492" t="s">
        <v>790</v>
      </c>
      <c r="C26" s="487" t="s">
        <v>791</v>
      </c>
      <c r="D26" s="493" t="s">
        <v>2820</v>
      </c>
      <c r="E26" s="493">
        <f>231%</f>
        <v>2.31</v>
      </c>
    </row>
    <row r="27" spans="1:5">
      <c r="A27" s="488" t="s">
        <v>244</v>
      </c>
      <c r="B27" s="494" t="s">
        <v>792</v>
      </c>
      <c r="C27" s="489" t="s">
        <v>793</v>
      </c>
      <c r="D27" s="495" t="s">
        <v>2820</v>
      </c>
      <c r="E27" s="495">
        <f>31%</f>
        <v>0.31</v>
      </c>
    </row>
    <row r="28" spans="1:5">
      <c r="A28" s="486" t="s">
        <v>175</v>
      </c>
      <c r="B28" s="492" t="s">
        <v>794</v>
      </c>
      <c r="C28" s="487" t="s">
        <v>738</v>
      </c>
      <c r="D28" s="493" t="s">
        <v>2820</v>
      </c>
      <c r="E28" s="493">
        <f>417%</f>
        <v>4.17</v>
      </c>
    </row>
    <row r="29" spans="1:5">
      <c r="A29" s="488" t="s">
        <v>310</v>
      </c>
      <c r="B29" s="494" t="s">
        <v>795</v>
      </c>
      <c r="C29" s="489" t="s">
        <v>796</v>
      </c>
      <c r="D29" s="495" t="s">
        <v>2820</v>
      </c>
      <c r="E29" s="495">
        <f>185%</f>
        <v>1.85</v>
      </c>
    </row>
    <row r="30" spans="1:5">
      <c r="A30" s="486" t="s">
        <v>293</v>
      </c>
      <c r="B30" s="492" t="s">
        <v>797</v>
      </c>
      <c r="C30" s="487" t="s">
        <v>2870</v>
      </c>
      <c r="D30" s="493" t="s">
        <v>2820</v>
      </c>
      <c r="E30" s="493">
        <f>270%</f>
        <v>2.7</v>
      </c>
    </row>
    <row r="31" spans="1:5">
      <c r="A31" s="488" t="s">
        <v>245</v>
      </c>
      <c r="B31" s="494" t="s">
        <v>799</v>
      </c>
      <c r="C31" s="489" t="s">
        <v>800</v>
      </c>
      <c r="D31" s="495" t="s">
        <v>2820</v>
      </c>
      <c r="E31" s="495">
        <f>57%</f>
        <v>0.56999999999999995</v>
      </c>
    </row>
    <row r="32" spans="1:5">
      <c r="A32" s="486" t="s">
        <v>176</v>
      </c>
      <c r="B32" s="492" t="s">
        <v>801</v>
      </c>
      <c r="C32" s="487" t="s">
        <v>802</v>
      </c>
      <c r="D32" s="493" t="s">
        <v>2820</v>
      </c>
      <c r="E32" s="493">
        <f>390%</f>
        <v>3.9</v>
      </c>
    </row>
    <row r="33" spans="1:5">
      <c r="A33" s="488" t="s">
        <v>294</v>
      </c>
      <c r="B33" s="494" t="s">
        <v>803</v>
      </c>
      <c r="C33" s="489" t="s">
        <v>804</v>
      </c>
      <c r="D33" s="495" t="s">
        <v>2820</v>
      </c>
      <c r="E33" s="495">
        <f>100%</f>
        <v>1</v>
      </c>
    </row>
    <row r="34" spans="1:5">
      <c r="A34" s="486" t="s">
        <v>178</v>
      </c>
      <c r="B34" s="492" t="s">
        <v>805</v>
      </c>
      <c r="C34" s="487" t="s">
        <v>746</v>
      </c>
      <c r="D34" s="492" t="s">
        <v>806</v>
      </c>
      <c r="E34" s="493">
        <f>3%</f>
        <v>0.03</v>
      </c>
    </row>
    <row r="35" spans="1:5">
      <c r="A35" s="488" t="s">
        <v>290</v>
      </c>
      <c r="B35" s="494" t="s">
        <v>807</v>
      </c>
      <c r="C35" s="489" t="s">
        <v>808</v>
      </c>
      <c r="D35" s="494" t="s">
        <v>809</v>
      </c>
      <c r="E35" s="497">
        <v>-7.0000000000000007E-2</v>
      </c>
    </row>
    <row r="36" spans="1:5">
      <c r="A36" s="486" t="s">
        <v>179</v>
      </c>
      <c r="B36" s="492" t="s">
        <v>810</v>
      </c>
      <c r="C36" s="487" t="s">
        <v>811</v>
      </c>
      <c r="D36" s="493" t="s">
        <v>2820</v>
      </c>
      <c r="E36" s="493" t="s">
        <v>2820</v>
      </c>
    </row>
    <row r="37" spans="1:5">
      <c r="A37" s="488" t="s">
        <v>510</v>
      </c>
      <c r="B37" s="494" t="s">
        <v>812</v>
      </c>
      <c r="C37" s="489" t="s">
        <v>2869</v>
      </c>
      <c r="D37" s="495" t="s">
        <v>2820</v>
      </c>
      <c r="E37" s="495">
        <f>140%</f>
        <v>1.4</v>
      </c>
    </row>
    <row r="38" spans="1:5">
      <c r="A38" s="486" t="s">
        <v>180</v>
      </c>
      <c r="B38" s="492" t="s">
        <v>746</v>
      </c>
      <c r="C38" s="487" t="s">
        <v>801</v>
      </c>
      <c r="D38" s="493" t="s">
        <v>2820</v>
      </c>
      <c r="E38" s="493">
        <f>40%</f>
        <v>0.4</v>
      </c>
    </row>
    <row r="39" spans="1:5">
      <c r="A39" s="488" t="s">
        <v>513</v>
      </c>
      <c r="B39" s="494" t="s">
        <v>814</v>
      </c>
      <c r="C39" s="489" t="s">
        <v>2868</v>
      </c>
      <c r="D39" s="495" t="s">
        <v>2820</v>
      </c>
      <c r="E39" s="495">
        <f>353%</f>
        <v>3.53</v>
      </c>
    </row>
    <row r="40" spans="1:5">
      <c r="A40" s="486" t="s">
        <v>181</v>
      </c>
      <c r="B40" s="492" t="s">
        <v>816</v>
      </c>
      <c r="C40" s="487" t="s">
        <v>805</v>
      </c>
      <c r="D40" s="492" t="s">
        <v>817</v>
      </c>
      <c r="E40" s="496">
        <v>-0.42</v>
      </c>
    </row>
    <row r="41" spans="1:5">
      <c r="A41" s="488" t="s">
        <v>311</v>
      </c>
      <c r="B41" s="494" t="s">
        <v>818</v>
      </c>
      <c r="C41" s="489" t="s">
        <v>819</v>
      </c>
      <c r="D41" s="495" t="s">
        <v>2820</v>
      </c>
      <c r="E41" s="495">
        <f>204%</f>
        <v>2.04</v>
      </c>
    </row>
    <row r="42" spans="1:5">
      <c r="A42" s="486" t="s">
        <v>295</v>
      </c>
      <c r="B42" s="492" t="s">
        <v>820</v>
      </c>
      <c r="C42" s="487" t="s">
        <v>821</v>
      </c>
      <c r="D42" s="493" t="s">
        <v>2820</v>
      </c>
      <c r="E42" s="493" t="s">
        <v>2820</v>
      </c>
    </row>
    <row r="43" spans="1:5">
      <c r="A43" s="488" t="s">
        <v>312</v>
      </c>
      <c r="B43" s="494" t="s">
        <v>822</v>
      </c>
      <c r="C43" s="489" t="s">
        <v>762</v>
      </c>
      <c r="D43" s="495" t="s">
        <v>2820</v>
      </c>
      <c r="E43" s="495">
        <f>431%</f>
        <v>4.3099999999999996</v>
      </c>
    </row>
    <row r="44" spans="1:5">
      <c r="A44" s="486" t="s">
        <v>415</v>
      </c>
      <c r="B44" s="492" t="s">
        <v>823</v>
      </c>
      <c r="C44" s="487" t="s">
        <v>824</v>
      </c>
      <c r="D44" s="493" t="s">
        <v>2820</v>
      </c>
      <c r="E44" s="493">
        <f>70%</f>
        <v>0.7</v>
      </c>
    </row>
    <row r="45" spans="1:5">
      <c r="A45" s="488" t="s">
        <v>313</v>
      </c>
      <c r="B45" s="494" t="s">
        <v>825</v>
      </c>
      <c r="C45" s="489" t="s">
        <v>826</v>
      </c>
      <c r="D45" s="495" t="s">
        <v>2820</v>
      </c>
      <c r="E45" s="495">
        <f>100%</f>
        <v>1</v>
      </c>
    </row>
    <row r="46" spans="1:5">
      <c r="A46" s="486" t="s">
        <v>521</v>
      </c>
      <c r="B46" s="492" t="s">
        <v>823</v>
      </c>
      <c r="C46" s="487" t="s">
        <v>827</v>
      </c>
      <c r="D46" s="493" t="s">
        <v>2820</v>
      </c>
      <c r="E46" s="493">
        <f>521%</f>
        <v>5.21</v>
      </c>
    </row>
    <row r="47" spans="1:5">
      <c r="A47" s="488" t="s">
        <v>246</v>
      </c>
      <c r="B47" s="494" t="s">
        <v>828</v>
      </c>
      <c r="C47" s="489" t="s">
        <v>829</v>
      </c>
      <c r="D47" s="494" t="s">
        <v>830</v>
      </c>
      <c r="E47" s="497">
        <v>-0.19</v>
      </c>
    </row>
    <row r="48" spans="1:5">
      <c r="A48" s="486" t="s">
        <v>416</v>
      </c>
      <c r="B48" s="492" t="s">
        <v>831</v>
      </c>
      <c r="C48" s="487" t="s">
        <v>832</v>
      </c>
      <c r="D48" s="493" t="s">
        <v>2820</v>
      </c>
      <c r="E48" s="493">
        <f>174%</f>
        <v>1.74</v>
      </c>
    </row>
    <row r="49" spans="1:5">
      <c r="A49" s="488" t="s">
        <v>417</v>
      </c>
      <c r="B49" s="494" t="s">
        <v>833</v>
      </c>
      <c r="C49" s="489" t="s">
        <v>834</v>
      </c>
      <c r="D49" s="495" t="s">
        <v>2820</v>
      </c>
      <c r="E49" s="495">
        <f>52%</f>
        <v>0.52</v>
      </c>
    </row>
    <row r="50" spans="1:5">
      <c r="A50" s="486" t="s">
        <v>247</v>
      </c>
      <c r="B50" s="492" t="s">
        <v>835</v>
      </c>
      <c r="C50" s="487" t="s">
        <v>836</v>
      </c>
      <c r="D50" s="492" t="s">
        <v>837</v>
      </c>
      <c r="E50" s="496">
        <v>-0.32</v>
      </c>
    </row>
    <row r="51" spans="1:5">
      <c r="A51" s="488" t="s">
        <v>527</v>
      </c>
      <c r="B51" s="494" t="s">
        <v>838</v>
      </c>
      <c r="C51" s="489" t="s">
        <v>2867</v>
      </c>
      <c r="D51" s="495" t="s">
        <v>2820</v>
      </c>
      <c r="E51" s="495">
        <f>66%</f>
        <v>0.66</v>
      </c>
    </row>
    <row r="52" spans="1:5">
      <c r="A52" s="486" t="s">
        <v>248</v>
      </c>
      <c r="B52" s="492" t="s">
        <v>840</v>
      </c>
      <c r="C52" s="487" t="s">
        <v>841</v>
      </c>
      <c r="D52" s="493" t="s">
        <v>2820</v>
      </c>
      <c r="E52" s="493">
        <f>51%</f>
        <v>0.51</v>
      </c>
    </row>
    <row r="53" spans="1:5">
      <c r="A53" s="488" t="s">
        <v>184</v>
      </c>
      <c r="B53" s="494" t="s">
        <v>842</v>
      </c>
      <c r="C53" s="489" t="s">
        <v>785</v>
      </c>
      <c r="D53" s="495" t="s">
        <v>2820</v>
      </c>
      <c r="E53" s="495"/>
    </row>
    <row r="54" spans="1:5">
      <c r="A54" s="486" t="s">
        <v>419</v>
      </c>
      <c r="B54" s="492" t="s">
        <v>843</v>
      </c>
      <c r="C54" s="487" t="s">
        <v>844</v>
      </c>
      <c r="D54" s="493" t="s">
        <v>2820</v>
      </c>
      <c r="E54" s="493">
        <f>95%</f>
        <v>0.95</v>
      </c>
    </row>
    <row r="55" spans="1:5">
      <c r="A55" s="488" t="s">
        <v>420</v>
      </c>
      <c r="B55" s="494" t="s">
        <v>845</v>
      </c>
      <c r="C55" s="489" t="s">
        <v>846</v>
      </c>
      <c r="D55" s="495" t="s">
        <v>2820</v>
      </c>
      <c r="E55" s="495">
        <f>232%</f>
        <v>2.3199999999999998</v>
      </c>
    </row>
    <row r="56" spans="1:5">
      <c r="A56" s="486" t="s">
        <v>533</v>
      </c>
      <c r="B56" s="492" t="s">
        <v>847</v>
      </c>
      <c r="C56" s="487" t="s">
        <v>2866</v>
      </c>
      <c r="D56" s="492" t="s">
        <v>849</v>
      </c>
      <c r="E56" s="496">
        <v>-0.11</v>
      </c>
    </row>
    <row r="57" spans="1:5">
      <c r="A57" s="488" t="s">
        <v>535</v>
      </c>
      <c r="B57" s="494" t="s">
        <v>850</v>
      </c>
      <c r="C57" s="489" t="s">
        <v>2865</v>
      </c>
      <c r="D57" s="495" t="s">
        <v>2820</v>
      </c>
      <c r="E57" s="495">
        <f>537%</f>
        <v>5.37</v>
      </c>
    </row>
    <row r="58" spans="1:5">
      <c r="A58" s="486" t="s">
        <v>537</v>
      </c>
      <c r="B58" s="492" t="s">
        <v>852</v>
      </c>
      <c r="C58" s="487" t="s">
        <v>2864</v>
      </c>
      <c r="D58" s="493" t="s">
        <v>2820</v>
      </c>
      <c r="E58" s="493">
        <f>97%</f>
        <v>0.97</v>
      </c>
    </row>
    <row r="59" spans="1:5">
      <c r="A59" s="488" t="s">
        <v>314</v>
      </c>
      <c r="B59" s="494" t="s">
        <v>854</v>
      </c>
      <c r="C59" s="489" t="s">
        <v>855</v>
      </c>
      <c r="D59" s="495" t="s">
        <v>2820</v>
      </c>
      <c r="E59" s="495">
        <f>386%</f>
        <v>3.86</v>
      </c>
    </row>
    <row r="60" spans="1:5">
      <c r="A60" s="486" t="s">
        <v>224</v>
      </c>
      <c r="B60" s="492" t="s">
        <v>856</v>
      </c>
      <c r="C60" s="487" t="s">
        <v>818</v>
      </c>
      <c r="D60" s="493" t="s">
        <v>2820</v>
      </c>
      <c r="E60" s="493">
        <f>248%</f>
        <v>2.48</v>
      </c>
    </row>
    <row r="61" spans="1:5">
      <c r="A61" s="488" t="s">
        <v>315</v>
      </c>
      <c r="B61" s="494" t="s">
        <v>857</v>
      </c>
      <c r="C61" s="489" t="s">
        <v>858</v>
      </c>
      <c r="D61" s="495" t="s">
        <v>2820</v>
      </c>
      <c r="E61" s="495">
        <f>91%</f>
        <v>0.91</v>
      </c>
    </row>
    <row r="62" spans="1:5">
      <c r="A62" s="486" t="s">
        <v>249</v>
      </c>
      <c r="B62" s="492" t="s">
        <v>859</v>
      </c>
      <c r="C62" s="487" t="s">
        <v>860</v>
      </c>
      <c r="D62" s="492" t="s">
        <v>861</v>
      </c>
      <c r="E62" s="496">
        <v>-0.18</v>
      </c>
    </row>
    <row r="63" spans="1:5">
      <c r="A63" s="488" t="s">
        <v>421</v>
      </c>
      <c r="B63" s="494" t="s">
        <v>862</v>
      </c>
      <c r="C63" s="489" t="s">
        <v>863</v>
      </c>
      <c r="D63" s="495" t="s">
        <v>2820</v>
      </c>
      <c r="E63" s="495">
        <f>257%</f>
        <v>2.57</v>
      </c>
    </row>
    <row r="64" spans="1:5">
      <c r="A64" s="486" t="s">
        <v>187</v>
      </c>
      <c r="B64" s="492" t="s">
        <v>864</v>
      </c>
      <c r="C64" s="487" t="s">
        <v>865</v>
      </c>
      <c r="D64" s="492" t="s">
        <v>866</v>
      </c>
      <c r="E64" s="496">
        <v>-0.04</v>
      </c>
    </row>
    <row r="65" spans="1:5">
      <c r="A65" s="488" t="s">
        <v>545</v>
      </c>
      <c r="B65" s="494" t="s">
        <v>867</v>
      </c>
      <c r="C65" s="489" t="s">
        <v>2863</v>
      </c>
      <c r="D65" s="494" t="s">
        <v>869</v>
      </c>
      <c r="E65" s="497">
        <v>-0.4</v>
      </c>
    </row>
    <row r="66" spans="1:5">
      <c r="A66" s="486" t="s">
        <v>103</v>
      </c>
      <c r="B66" s="492" t="s">
        <v>870</v>
      </c>
      <c r="C66" s="487" t="s">
        <v>2862</v>
      </c>
      <c r="D66" s="493" t="s">
        <v>2820</v>
      </c>
      <c r="E66" s="493">
        <f>44%</f>
        <v>0.44</v>
      </c>
    </row>
    <row r="67" spans="1:5">
      <c r="A67" s="488" t="s">
        <v>548</v>
      </c>
      <c r="B67" s="494" t="s">
        <v>872</v>
      </c>
      <c r="C67" s="489" t="s">
        <v>2861</v>
      </c>
      <c r="D67" s="495" t="s">
        <v>2820</v>
      </c>
      <c r="E67" s="495">
        <f>5%</f>
        <v>0.05</v>
      </c>
    </row>
    <row r="68" spans="1:5">
      <c r="A68" s="486" t="s">
        <v>550</v>
      </c>
      <c r="B68" s="492" t="s">
        <v>874</v>
      </c>
      <c r="C68" s="487" t="s">
        <v>2860</v>
      </c>
      <c r="D68" s="493" t="s">
        <v>2820</v>
      </c>
      <c r="E68" s="493">
        <f>14%</f>
        <v>0.14000000000000001</v>
      </c>
    </row>
    <row r="69" spans="1:5">
      <c r="A69" s="488" t="s">
        <v>422</v>
      </c>
      <c r="B69" s="494" t="s">
        <v>876</v>
      </c>
      <c r="C69" s="489" t="s">
        <v>877</v>
      </c>
      <c r="D69" s="495" t="s">
        <v>2820</v>
      </c>
      <c r="E69" s="495">
        <f>140%</f>
        <v>1.4</v>
      </c>
    </row>
    <row r="70" spans="1:5">
      <c r="A70" s="486" t="s">
        <v>250</v>
      </c>
      <c r="B70" s="492" t="s">
        <v>878</v>
      </c>
      <c r="C70" s="487" t="s">
        <v>750</v>
      </c>
      <c r="D70" s="493" t="s">
        <v>2820</v>
      </c>
      <c r="E70" s="493">
        <f>19%</f>
        <v>0.19</v>
      </c>
    </row>
    <row r="71" spans="1:5">
      <c r="A71" s="488" t="s">
        <v>251</v>
      </c>
      <c r="B71" s="494" t="s">
        <v>874</v>
      </c>
      <c r="C71" s="489" t="s">
        <v>879</v>
      </c>
      <c r="D71" s="495" t="s">
        <v>2820</v>
      </c>
      <c r="E71" s="495">
        <f>9%</f>
        <v>0.09</v>
      </c>
    </row>
    <row r="72" spans="1:5">
      <c r="A72" s="486" t="s">
        <v>423</v>
      </c>
      <c r="B72" s="492" t="s">
        <v>880</v>
      </c>
      <c r="C72" s="487" t="s">
        <v>881</v>
      </c>
      <c r="D72" s="493" t="s">
        <v>2820</v>
      </c>
      <c r="E72" s="493">
        <f>343%</f>
        <v>3.43</v>
      </c>
    </row>
    <row r="73" spans="1:5">
      <c r="A73" s="488" t="s">
        <v>188</v>
      </c>
      <c r="B73" s="494" t="s">
        <v>882</v>
      </c>
      <c r="C73" s="489" t="s">
        <v>883</v>
      </c>
      <c r="D73" s="495" t="s">
        <v>2820</v>
      </c>
      <c r="E73" s="495">
        <f>269%</f>
        <v>2.69</v>
      </c>
    </row>
    <row r="74" spans="1:5">
      <c r="A74" s="486" t="s">
        <v>424</v>
      </c>
      <c r="B74" s="492" t="s">
        <v>884</v>
      </c>
      <c r="C74" s="487" t="s">
        <v>885</v>
      </c>
      <c r="D74" s="493" t="s">
        <v>2820</v>
      </c>
      <c r="E74" s="493">
        <f>244%</f>
        <v>2.44</v>
      </c>
    </row>
    <row r="75" spans="1:5">
      <c r="A75" s="488" t="s">
        <v>282</v>
      </c>
      <c r="B75" s="494" t="s">
        <v>886</v>
      </c>
      <c r="C75" s="489" t="s">
        <v>887</v>
      </c>
      <c r="D75" s="495" t="s">
        <v>2820</v>
      </c>
      <c r="E75" s="495">
        <f>96%</f>
        <v>0.96</v>
      </c>
    </row>
    <row r="76" spans="1:5">
      <c r="A76" s="486" t="s">
        <v>252</v>
      </c>
      <c r="B76" s="492" t="s">
        <v>888</v>
      </c>
      <c r="C76" s="487" t="s">
        <v>889</v>
      </c>
      <c r="D76" s="492" t="s">
        <v>890</v>
      </c>
      <c r="E76" s="496">
        <v>-0.11</v>
      </c>
    </row>
    <row r="77" spans="1:5">
      <c r="A77" s="488" t="s">
        <v>190</v>
      </c>
      <c r="B77" s="494" t="s">
        <v>862</v>
      </c>
      <c r="C77" s="489" t="s">
        <v>739</v>
      </c>
      <c r="D77" s="495" t="s">
        <v>2820</v>
      </c>
      <c r="E77" s="495">
        <f>155%</f>
        <v>1.55</v>
      </c>
    </row>
    <row r="78" spans="1:5">
      <c r="A78" s="486" t="s">
        <v>253</v>
      </c>
      <c r="B78" s="492" t="s">
        <v>891</v>
      </c>
      <c r="C78" s="487" t="s">
        <v>892</v>
      </c>
      <c r="D78" s="493" t="s">
        <v>2820</v>
      </c>
      <c r="E78" s="493">
        <f>51%</f>
        <v>0.51</v>
      </c>
    </row>
    <row r="79" spans="1:5">
      <c r="A79" s="488" t="s">
        <v>425</v>
      </c>
      <c r="B79" s="494" t="s">
        <v>893</v>
      </c>
      <c r="C79" s="489" t="s">
        <v>894</v>
      </c>
      <c r="D79" s="495" t="s">
        <v>2820</v>
      </c>
      <c r="E79" s="495">
        <f>61%</f>
        <v>0.61</v>
      </c>
    </row>
    <row r="80" spans="1:5">
      <c r="A80" s="486" t="s">
        <v>316</v>
      </c>
      <c r="B80" s="492" t="s">
        <v>895</v>
      </c>
      <c r="C80" s="487" t="s">
        <v>896</v>
      </c>
      <c r="D80" s="493" t="s">
        <v>2820</v>
      </c>
      <c r="E80" s="493">
        <f>128%</f>
        <v>1.28</v>
      </c>
    </row>
    <row r="81" spans="1:5">
      <c r="A81" s="488" t="s">
        <v>191</v>
      </c>
      <c r="B81" s="494" t="s">
        <v>897</v>
      </c>
      <c r="C81" s="489" t="s">
        <v>754</v>
      </c>
      <c r="D81" s="495" t="s">
        <v>2820</v>
      </c>
      <c r="E81" s="495">
        <f>151%</f>
        <v>1.51</v>
      </c>
    </row>
    <row r="82" spans="1:5">
      <c r="A82" s="486" t="s">
        <v>192</v>
      </c>
      <c r="B82" s="492" t="s">
        <v>898</v>
      </c>
      <c r="C82" s="487" t="s">
        <v>899</v>
      </c>
      <c r="D82" s="493" t="s">
        <v>2820</v>
      </c>
      <c r="E82" s="493">
        <f>350%</f>
        <v>3.5</v>
      </c>
    </row>
    <row r="83" spans="1:5">
      <c r="A83" s="488" t="s">
        <v>317</v>
      </c>
      <c r="B83" s="494" t="s">
        <v>900</v>
      </c>
      <c r="C83" s="489" t="s">
        <v>754</v>
      </c>
      <c r="D83" s="494" t="s">
        <v>901</v>
      </c>
      <c r="E83" s="497">
        <v>-0.3</v>
      </c>
    </row>
    <row r="84" spans="1:5">
      <c r="A84" s="486" t="s">
        <v>426</v>
      </c>
      <c r="B84" s="492" t="s">
        <v>746</v>
      </c>
      <c r="C84" s="487" t="s">
        <v>862</v>
      </c>
      <c r="D84" s="493" t="s">
        <v>2820</v>
      </c>
      <c r="E84" s="493">
        <f>34%</f>
        <v>0.34</v>
      </c>
    </row>
    <row r="85" spans="1:5">
      <c r="A85" s="488" t="s">
        <v>318</v>
      </c>
      <c r="B85" s="494" t="s">
        <v>902</v>
      </c>
      <c r="C85" s="489" t="s">
        <v>903</v>
      </c>
      <c r="D85" s="495" t="s">
        <v>2820</v>
      </c>
      <c r="E85" s="495">
        <f>4%</f>
        <v>0.04</v>
      </c>
    </row>
    <row r="86" spans="1:5">
      <c r="A86" s="486" t="s">
        <v>569</v>
      </c>
      <c r="B86" s="492" t="s">
        <v>904</v>
      </c>
      <c r="C86" s="487" t="s">
        <v>905</v>
      </c>
      <c r="D86" s="493" t="s">
        <v>2820</v>
      </c>
      <c r="E86" s="493">
        <f>151%</f>
        <v>1.51</v>
      </c>
    </row>
    <row r="87" spans="1:5">
      <c r="A87" s="488" t="s">
        <v>254</v>
      </c>
      <c r="B87" s="494" t="s">
        <v>906</v>
      </c>
      <c r="C87" s="489" t="s">
        <v>907</v>
      </c>
      <c r="D87" s="495" t="s">
        <v>2820</v>
      </c>
      <c r="E87" s="495">
        <f>47%</f>
        <v>0.47</v>
      </c>
    </row>
    <row r="88" spans="1:5">
      <c r="A88" s="486" t="s">
        <v>255</v>
      </c>
      <c r="B88" s="492" t="s">
        <v>797</v>
      </c>
      <c r="C88" s="487" t="s">
        <v>585</v>
      </c>
      <c r="D88" s="493" t="s">
        <v>2820</v>
      </c>
      <c r="E88" s="493">
        <f>150%</f>
        <v>1.5</v>
      </c>
    </row>
    <row r="89" spans="1:5">
      <c r="A89" s="488" t="s">
        <v>237</v>
      </c>
      <c r="B89" s="494" t="s">
        <v>908</v>
      </c>
      <c r="C89" s="489" t="s">
        <v>909</v>
      </c>
      <c r="D89" s="495" t="s">
        <v>2820</v>
      </c>
      <c r="E89" s="495">
        <f>948%</f>
        <v>9.48</v>
      </c>
    </row>
    <row r="90" spans="1:5">
      <c r="A90" s="486" t="s">
        <v>296</v>
      </c>
      <c r="B90" s="492" t="s">
        <v>910</v>
      </c>
      <c r="C90" s="487" t="s">
        <v>911</v>
      </c>
      <c r="D90" s="493" t="s">
        <v>2820</v>
      </c>
      <c r="E90" s="493" t="s">
        <v>2820</v>
      </c>
    </row>
    <row r="91" spans="1:5">
      <c r="A91" s="488" t="s">
        <v>225</v>
      </c>
      <c r="B91" s="494" t="s">
        <v>912</v>
      </c>
      <c r="C91" s="489" t="s">
        <v>791</v>
      </c>
      <c r="D91" s="495" t="s">
        <v>2820</v>
      </c>
      <c r="E91" s="495">
        <f>210%</f>
        <v>2.1</v>
      </c>
    </row>
    <row r="92" spans="1:5">
      <c r="A92" s="486" t="s">
        <v>226</v>
      </c>
      <c r="B92" s="492" t="s">
        <v>913</v>
      </c>
      <c r="C92" s="487" t="s">
        <v>914</v>
      </c>
      <c r="D92" s="493" t="s">
        <v>2820</v>
      </c>
      <c r="E92" s="493">
        <f>655%</f>
        <v>6.55</v>
      </c>
    </row>
    <row r="93" spans="1:5">
      <c r="A93" s="488" t="s">
        <v>256</v>
      </c>
      <c r="B93" s="494" t="s">
        <v>915</v>
      </c>
      <c r="C93" s="489" t="s">
        <v>916</v>
      </c>
      <c r="D93" s="494" t="s">
        <v>917</v>
      </c>
      <c r="E93" s="497">
        <v>-0.34</v>
      </c>
    </row>
    <row r="94" spans="1:5">
      <c r="A94" s="486" t="s">
        <v>227</v>
      </c>
      <c r="B94" s="492" t="s">
        <v>918</v>
      </c>
      <c r="C94" s="487" t="s">
        <v>919</v>
      </c>
      <c r="D94" s="492" t="s">
        <v>920</v>
      </c>
      <c r="E94" s="496">
        <v>-0.42</v>
      </c>
    </row>
    <row r="95" spans="1:5">
      <c r="A95" s="488" t="s">
        <v>257</v>
      </c>
      <c r="B95" s="494" t="s">
        <v>921</v>
      </c>
      <c r="C95" s="489" t="s">
        <v>922</v>
      </c>
      <c r="D95" s="495" t="s">
        <v>2820</v>
      </c>
      <c r="E95" s="495">
        <f>30%</f>
        <v>0.3</v>
      </c>
    </row>
    <row r="96" spans="1:5">
      <c r="A96" s="486" t="s">
        <v>428</v>
      </c>
      <c r="B96" s="492" t="s">
        <v>923</v>
      </c>
      <c r="C96" s="487" t="s">
        <v>867</v>
      </c>
      <c r="D96" s="492" t="s">
        <v>924</v>
      </c>
      <c r="E96" s="496">
        <v>-0.1</v>
      </c>
    </row>
    <row r="97" spans="1:5">
      <c r="A97" s="488" t="s">
        <v>297</v>
      </c>
      <c r="B97" s="494" t="s">
        <v>925</v>
      </c>
      <c r="C97" s="489" t="s">
        <v>926</v>
      </c>
      <c r="D97" s="495" t="s">
        <v>2820</v>
      </c>
      <c r="E97" s="495">
        <f>115%</f>
        <v>1.1499999999999999</v>
      </c>
    </row>
    <row r="98" spans="1:5">
      <c r="A98" s="486" t="s">
        <v>228</v>
      </c>
      <c r="B98" s="492" t="s">
        <v>927</v>
      </c>
      <c r="C98" s="487" t="s">
        <v>928</v>
      </c>
      <c r="D98" s="493" t="s">
        <v>2820</v>
      </c>
      <c r="E98" s="493">
        <f>54%</f>
        <v>0.54</v>
      </c>
    </row>
    <row r="99" spans="1:5">
      <c r="A99" s="488" t="s">
        <v>283</v>
      </c>
      <c r="B99" s="494" t="s">
        <v>929</v>
      </c>
      <c r="C99" s="489" t="s">
        <v>800</v>
      </c>
      <c r="D99" s="494" t="s">
        <v>930</v>
      </c>
      <c r="E99" s="497">
        <v>-0.14000000000000001</v>
      </c>
    </row>
    <row r="100" spans="1:5">
      <c r="A100" s="486" t="s">
        <v>193</v>
      </c>
      <c r="B100" s="492" t="s">
        <v>931</v>
      </c>
      <c r="C100" s="487" t="s">
        <v>932</v>
      </c>
      <c r="D100" s="493" t="s">
        <v>2820</v>
      </c>
      <c r="E100" s="493">
        <f>56%</f>
        <v>0.56000000000000005</v>
      </c>
    </row>
    <row r="101" spans="1:5">
      <c r="A101" s="488" t="s">
        <v>429</v>
      </c>
      <c r="B101" s="494" t="s">
        <v>933</v>
      </c>
      <c r="C101" s="489" t="s">
        <v>934</v>
      </c>
      <c r="D101" s="495" t="s">
        <v>2820</v>
      </c>
      <c r="E101" s="495">
        <f>20%</f>
        <v>0.2</v>
      </c>
    </row>
    <row r="102" spans="1:5">
      <c r="A102" s="486" t="s">
        <v>229</v>
      </c>
      <c r="B102" s="492" t="s">
        <v>935</v>
      </c>
      <c r="C102" s="487" t="s">
        <v>936</v>
      </c>
      <c r="D102" s="493" t="s">
        <v>2820</v>
      </c>
      <c r="E102" s="493" t="s">
        <v>2820</v>
      </c>
    </row>
    <row r="103" spans="1:5">
      <c r="A103" s="488" t="s">
        <v>430</v>
      </c>
      <c r="B103" s="494" t="s">
        <v>937</v>
      </c>
      <c r="C103" s="489" t="s">
        <v>938</v>
      </c>
      <c r="D103" s="494" t="s">
        <v>939</v>
      </c>
      <c r="E103" s="497">
        <v>-0.4</v>
      </c>
    </row>
    <row r="104" spans="1:5">
      <c r="A104" s="486" t="s">
        <v>588</v>
      </c>
      <c r="B104" s="492" t="s">
        <v>940</v>
      </c>
      <c r="C104" s="487" t="s">
        <v>2859</v>
      </c>
      <c r="D104" s="493" t="s">
        <v>2820</v>
      </c>
      <c r="E104" s="493">
        <f>169%</f>
        <v>1.69</v>
      </c>
    </row>
    <row r="105" spans="1:5">
      <c r="A105" s="488" t="s">
        <v>590</v>
      </c>
      <c r="B105" s="494" t="s">
        <v>805</v>
      </c>
      <c r="C105" s="489" t="s">
        <v>942</v>
      </c>
      <c r="D105" s="495" t="s">
        <v>2820</v>
      </c>
      <c r="E105" s="495">
        <f>456%</f>
        <v>4.5599999999999996</v>
      </c>
    </row>
    <row r="106" spans="1:5">
      <c r="A106" s="486" t="s">
        <v>258</v>
      </c>
      <c r="B106" s="492" t="s">
        <v>943</v>
      </c>
      <c r="C106" s="487" t="s">
        <v>944</v>
      </c>
      <c r="D106" s="493" t="s">
        <v>2820</v>
      </c>
      <c r="E106" s="493">
        <f>6%</f>
        <v>0.06</v>
      </c>
    </row>
    <row r="107" spans="1:5">
      <c r="A107" s="488" t="s">
        <v>593</v>
      </c>
      <c r="B107" s="494" t="s">
        <v>945</v>
      </c>
      <c r="C107" s="489" t="s">
        <v>2858</v>
      </c>
      <c r="D107" s="495" t="s">
        <v>2820</v>
      </c>
      <c r="E107" s="495">
        <f>125%</f>
        <v>1.25</v>
      </c>
    </row>
    <row r="108" spans="1:5">
      <c r="A108" s="486" t="s">
        <v>230</v>
      </c>
      <c r="B108" s="492" t="s">
        <v>947</v>
      </c>
      <c r="C108" s="487" t="s">
        <v>927</v>
      </c>
      <c r="D108" s="492" t="s">
        <v>948</v>
      </c>
      <c r="E108" s="496">
        <v>-0.22</v>
      </c>
    </row>
    <row r="109" spans="1:5">
      <c r="A109" s="488" t="s">
        <v>194</v>
      </c>
      <c r="B109" s="494" t="s">
        <v>949</v>
      </c>
      <c r="C109" s="489" t="s">
        <v>950</v>
      </c>
      <c r="D109" s="494" t="s">
        <v>787</v>
      </c>
      <c r="E109" s="497">
        <v>-0.08</v>
      </c>
    </row>
    <row r="110" spans="1:5">
      <c r="A110" s="486" t="s">
        <v>195</v>
      </c>
      <c r="B110" s="492" t="s">
        <v>951</v>
      </c>
      <c r="C110" s="487" t="s">
        <v>952</v>
      </c>
      <c r="D110" s="492" t="s">
        <v>953</v>
      </c>
      <c r="E110" s="496">
        <v>-0.3</v>
      </c>
    </row>
    <row r="111" spans="1:5">
      <c r="A111" s="488" t="s">
        <v>259</v>
      </c>
      <c r="B111" s="494" t="s">
        <v>954</v>
      </c>
      <c r="C111" s="489" t="s">
        <v>955</v>
      </c>
      <c r="D111" s="495" t="s">
        <v>2820</v>
      </c>
      <c r="E111" s="495">
        <f>24%</f>
        <v>0.24</v>
      </c>
    </row>
    <row r="112" spans="1:5">
      <c r="A112" s="486" t="s">
        <v>599</v>
      </c>
      <c r="B112" s="492" t="s">
        <v>956</v>
      </c>
      <c r="C112" s="487" t="s">
        <v>2857</v>
      </c>
      <c r="D112" s="493" t="s">
        <v>2820</v>
      </c>
      <c r="E112" s="493">
        <f>328%</f>
        <v>3.28</v>
      </c>
    </row>
    <row r="113" spans="1:5">
      <c r="A113" s="488" t="s">
        <v>260</v>
      </c>
      <c r="B113" s="494" t="s">
        <v>958</v>
      </c>
      <c r="C113" s="489" t="s">
        <v>959</v>
      </c>
      <c r="D113" s="495" t="s">
        <v>2820</v>
      </c>
      <c r="E113" s="495">
        <f>53%</f>
        <v>0.53</v>
      </c>
    </row>
    <row r="114" spans="1:5">
      <c r="A114" s="486" t="s">
        <v>602</v>
      </c>
      <c r="B114" s="492" t="s">
        <v>960</v>
      </c>
      <c r="C114" s="487" t="s">
        <v>961</v>
      </c>
      <c r="D114" s="493" t="s">
        <v>2820</v>
      </c>
      <c r="E114" s="493">
        <f>349%</f>
        <v>3.49</v>
      </c>
    </row>
    <row r="115" spans="1:5">
      <c r="A115" s="488" t="s">
        <v>196</v>
      </c>
      <c r="B115" s="494" t="s">
        <v>962</v>
      </c>
      <c r="C115" s="489" t="s">
        <v>963</v>
      </c>
      <c r="D115" s="494" t="s">
        <v>964</v>
      </c>
      <c r="E115" s="497">
        <v>-0.57999999999999996</v>
      </c>
    </row>
    <row r="116" spans="1:5">
      <c r="A116" s="486" t="s">
        <v>197</v>
      </c>
      <c r="B116" s="492" t="s">
        <v>965</v>
      </c>
      <c r="C116" s="487" t="s">
        <v>966</v>
      </c>
      <c r="D116" s="493" t="s">
        <v>2820</v>
      </c>
      <c r="E116" s="493">
        <f>45%</f>
        <v>0.45</v>
      </c>
    </row>
    <row r="117" spans="1:5">
      <c r="A117" s="488" t="s">
        <v>298</v>
      </c>
      <c r="B117" s="494" t="s">
        <v>967</v>
      </c>
      <c r="C117" s="489" t="s">
        <v>968</v>
      </c>
      <c r="D117" s="495" t="s">
        <v>2820</v>
      </c>
      <c r="E117" s="495">
        <f>732%</f>
        <v>7.32</v>
      </c>
    </row>
    <row r="118" spans="1:5">
      <c r="A118" s="486" t="s">
        <v>432</v>
      </c>
      <c r="B118" s="492" t="s">
        <v>842</v>
      </c>
      <c r="C118" s="487" t="s">
        <v>969</v>
      </c>
      <c r="D118" s="493" t="s">
        <v>2820</v>
      </c>
      <c r="E118" s="493"/>
    </row>
    <row r="119" spans="1:5">
      <c r="A119" s="488" t="s">
        <v>198</v>
      </c>
      <c r="B119" s="494" t="s">
        <v>963</v>
      </c>
      <c r="C119" s="489" t="s">
        <v>970</v>
      </c>
      <c r="D119" s="495" t="s">
        <v>2820</v>
      </c>
      <c r="E119" s="495">
        <f>9%</f>
        <v>0.09</v>
      </c>
    </row>
    <row r="120" spans="1:5">
      <c r="A120" s="486" t="s">
        <v>261</v>
      </c>
      <c r="B120" s="492" t="s">
        <v>971</v>
      </c>
      <c r="C120" s="487" t="s">
        <v>972</v>
      </c>
      <c r="D120" s="493" t="s">
        <v>2820</v>
      </c>
      <c r="E120" s="493">
        <f>48%</f>
        <v>0.48</v>
      </c>
    </row>
    <row r="121" spans="1:5">
      <c r="A121" s="488" t="s">
        <v>199</v>
      </c>
      <c r="B121" s="494" t="s">
        <v>973</v>
      </c>
      <c r="C121" s="489" t="s">
        <v>974</v>
      </c>
      <c r="D121" s="495" t="s">
        <v>2820</v>
      </c>
      <c r="E121" s="495">
        <f>67%</f>
        <v>0.67</v>
      </c>
    </row>
    <row r="122" spans="1:5">
      <c r="A122" s="486" t="s">
        <v>200</v>
      </c>
      <c r="B122" s="492" t="s">
        <v>975</v>
      </c>
      <c r="C122" s="487" t="s">
        <v>976</v>
      </c>
      <c r="D122" s="493" t="s">
        <v>2820</v>
      </c>
      <c r="E122" s="493">
        <f>316%</f>
        <v>3.16</v>
      </c>
    </row>
    <row r="123" spans="1:5">
      <c r="A123" s="488" t="s">
        <v>612</v>
      </c>
      <c r="B123" s="494" t="s">
        <v>942</v>
      </c>
      <c r="C123" s="489" t="s">
        <v>2856</v>
      </c>
      <c r="D123" s="495" t="s">
        <v>2820</v>
      </c>
      <c r="E123" s="495">
        <f>158%</f>
        <v>1.58</v>
      </c>
    </row>
    <row r="124" spans="1:5">
      <c r="A124" s="486" t="s">
        <v>319</v>
      </c>
      <c r="B124" s="492" t="s">
        <v>597</v>
      </c>
      <c r="C124" s="487" t="s">
        <v>978</v>
      </c>
      <c r="D124" s="493" t="s">
        <v>2820</v>
      </c>
      <c r="E124" s="493">
        <f>535%</f>
        <v>5.35</v>
      </c>
    </row>
    <row r="125" spans="1:5">
      <c r="A125" s="488" t="s">
        <v>615</v>
      </c>
      <c r="B125" s="494" t="s">
        <v>933</v>
      </c>
      <c r="C125" s="489" t="s">
        <v>2855</v>
      </c>
      <c r="D125" s="495" t="s">
        <v>2820</v>
      </c>
      <c r="E125" s="495">
        <f>63%</f>
        <v>0.63</v>
      </c>
    </row>
    <row r="126" spans="1:5">
      <c r="A126" s="486" t="s">
        <v>616</v>
      </c>
      <c r="B126" s="492" t="s">
        <v>980</v>
      </c>
      <c r="C126" s="487" t="s">
        <v>2854</v>
      </c>
      <c r="D126" s="493" t="s">
        <v>2820</v>
      </c>
      <c r="E126" s="493">
        <f>64%</f>
        <v>0.64</v>
      </c>
    </row>
    <row r="127" spans="1:5">
      <c r="A127" s="488" t="s">
        <v>618</v>
      </c>
      <c r="B127" s="494" t="s">
        <v>982</v>
      </c>
      <c r="C127" s="489" t="s">
        <v>983</v>
      </c>
      <c r="D127" s="495" t="s">
        <v>2820</v>
      </c>
      <c r="E127" s="495">
        <f>36%</f>
        <v>0.36</v>
      </c>
    </row>
    <row r="128" spans="1:5">
      <c r="A128" s="486" t="s">
        <v>285</v>
      </c>
      <c r="B128" s="492" t="s">
        <v>984</v>
      </c>
      <c r="C128" s="487" t="s">
        <v>985</v>
      </c>
      <c r="D128" s="493" t="s">
        <v>2820</v>
      </c>
      <c r="E128" s="493" t="s">
        <v>2820</v>
      </c>
    </row>
    <row r="129" spans="1:5">
      <c r="A129" s="488" t="s">
        <v>262</v>
      </c>
      <c r="B129" s="494" t="s">
        <v>986</v>
      </c>
      <c r="C129" s="489" t="s">
        <v>987</v>
      </c>
      <c r="D129" s="495" t="s">
        <v>2820</v>
      </c>
      <c r="E129" s="495">
        <f>177%</f>
        <v>1.77</v>
      </c>
    </row>
    <row r="130" spans="1:5">
      <c r="A130" s="486" t="s">
        <v>220</v>
      </c>
      <c r="B130" s="492" t="s">
        <v>988</v>
      </c>
      <c r="C130" s="487" t="s">
        <v>989</v>
      </c>
      <c r="D130" s="493" t="s">
        <v>2820</v>
      </c>
      <c r="E130" s="493">
        <f>184%</f>
        <v>1.84</v>
      </c>
    </row>
    <row r="131" spans="1:5">
      <c r="A131" s="488" t="s">
        <v>201</v>
      </c>
      <c r="B131" s="494" t="s">
        <v>990</v>
      </c>
      <c r="C131" s="489" t="s">
        <v>991</v>
      </c>
      <c r="D131" s="495" t="s">
        <v>2820</v>
      </c>
      <c r="E131" s="495" t="s">
        <v>2820</v>
      </c>
    </row>
    <row r="132" spans="1:5">
      <c r="A132" s="486" t="s">
        <v>299</v>
      </c>
      <c r="B132" s="492" t="s">
        <v>992</v>
      </c>
      <c r="C132" s="487" t="s">
        <v>993</v>
      </c>
      <c r="D132" s="493" t="s">
        <v>2820</v>
      </c>
      <c r="E132" s="493">
        <f>831%</f>
        <v>8.31</v>
      </c>
    </row>
    <row r="133" spans="1:5">
      <c r="A133" s="488" t="s">
        <v>202</v>
      </c>
      <c r="B133" s="494" t="s">
        <v>810</v>
      </c>
      <c r="C133" s="489" t="s">
        <v>994</v>
      </c>
      <c r="D133" s="495" t="s">
        <v>2820</v>
      </c>
      <c r="E133" s="495" t="s">
        <v>2820</v>
      </c>
    </row>
    <row r="134" spans="1:5">
      <c r="A134" s="486" t="s">
        <v>238</v>
      </c>
      <c r="B134" s="492" t="s">
        <v>995</v>
      </c>
      <c r="C134" s="487" t="s">
        <v>867</v>
      </c>
      <c r="D134" s="493" t="s">
        <v>2820</v>
      </c>
      <c r="E134" s="493">
        <f>141%</f>
        <v>1.41</v>
      </c>
    </row>
    <row r="135" spans="1:5">
      <c r="A135" s="488" t="s">
        <v>627</v>
      </c>
      <c r="B135" s="494" t="s">
        <v>856</v>
      </c>
      <c r="C135" s="489" t="s">
        <v>2853</v>
      </c>
      <c r="D135" s="495" t="s">
        <v>2820</v>
      </c>
      <c r="E135" s="495">
        <f>174%</f>
        <v>1.74</v>
      </c>
    </row>
    <row r="136" spans="1:5">
      <c r="A136" s="486" t="s">
        <v>263</v>
      </c>
      <c r="B136" s="492" t="s">
        <v>997</v>
      </c>
      <c r="C136" s="487" t="s">
        <v>998</v>
      </c>
      <c r="D136" s="493" t="s">
        <v>2820</v>
      </c>
      <c r="E136" s="493">
        <f>11%</f>
        <v>0.11</v>
      </c>
    </row>
    <row r="137" spans="1:5">
      <c r="A137" s="488" t="s">
        <v>630</v>
      </c>
      <c r="B137" s="494" t="s">
        <v>999</v>
      </c>
      <c r="C137" s="489" t="s">
        <v>2852</v>
      </c>
      <c r="D137" s="495" t="s">
        <v>2820</v>
      </c>
      <c r="E137" s="495">
        <f>14%</f>
        <v>0.14000000000000001</v>
      </c>
    </row>
    <row r="138" spans="1:5">
      <c r="A138" s="486" t="s">
        <v>433</v>
      </c>
      <c r="B138" s="492" t="s">
        <v>1001</v>
      </c>
      <c r="C138" s="487" t="s">
        <v>1002</v>
      </c>
      <c r="D138" s="493" t="s">
        <v>2820</v>
      </c>
      <c r="E138" s="493">
        <f>119%</f>
        <v>1.19</v>
      </c>
    </row>
    <row r="139" spans="1:5">
      <c r="A139" s="488" t="s">
        <v>300</v>
      </c>
      <c r="B139" s="494" t="s">
        <v>1003</v>
      </c>
      <c r="C139" s="489" t="s">
        <v>1004</v>
      </c>
      <c r="D139" s="494" t="s">
        <v>1005</v>
      </c>
      <c r="E139" s="497">
        <v>-0.4</v>
      </c>
    </row>
    <row r="140" spans="1:5">
      <c r="A140" s="486" t="s">
        <v>320</v>
      </c>
      <c r="B140" s="492" t="s">
        <v>1006</v>
      </c>
      <c r="C140" s="487" t="s">
        <v>1007</v>
      </c>
      <c r="D140" s="493" t="s">
        <v>2820</v>
      </c>
      <c r="E140" s="493">
        <f>24%</f>
        <v>0.24</v>
      </c>
    </row>
    <row r="141" spans="1:5">
      <c r="A141" s="488" t="s">
        <v>203</v>
      </c>
      <c r="B141" s="494" t="s">
        <v>1008</v>
      </c>
      <c r="C141" s="489" t="s">
        <v>1009</v>
      </c>
      <c r="D141" s="494" t="s">
        <v>1010</v>
      </c>
      <c r="E141" s="497">
        <v>-0.61</v>
      </c>
    </row>
    <row r="142" spans="1:5">
      <c r="A142" s="486" t="s">
        <v>204</v>
      </c>
      <c r="B142" s="492" t="s">
        <v>738</v>
      </c>
      <c r="C142" s="487" t="s">
        <v>1011</v>
      </c>
      <c r="D142" s="493" t="s">
        <v>2820</v>
      </c>
      <c r="E142" s="493">
        <f>66%</f>
        <v>0.66</v>
      </c>
    </row>
    <row r="143" spans="1:5">
      <c r="A143" s="488" t="s">
        <v>301</v>
      </c>
      <c r="B143" s="494" t="s">
        <v>1012</v>
      </c>
      <c r="C143" s="489" t="s">
        <v>1013</v>
      </c>
      <c r="D143" s="495" t="s">
        <v>2820</v>
      </c>
      <c r="E143" s="495">
        <f>59%</f>
        <v>0.59</v>
      </c>
    </row>
    <row r="144" spans="1:5">
      <c r="A144" s="486" t="s">
        <v>264</v>
      </c>
      <c r="B144" s="492" t="s">
        <v>1014</v>
      </c>
      <c r="C144" s="487" t="s">
        <v>1015</v>
      </c>
      <c r="D144" s="492" t="s">
        <v>1016</v>
      </c>
      <c r="E144" s="496">
        <v>-0.49</v>
      </c>
    </row>
    <row r="145" spans="1:5">
      <c r="A145" s="488" t="s">
        <v>639</v>
      </c>
      <c r="B145" s="494" t="s">
        <v>1017</v>
      </c>
      <c r="C145" s="489" t="s">
        <v>2851</v>
      </c>
      <c r="D145" s="495" t="s">
        <v>2820</v>
      </c>
      <c r="E145" s="495">
        <f>310%</f>
        <v>3.1</v>
      </c>
    </row>
    <row r="146" spans="1:5">
      <c r="A146" s="486" t="s">
        <v>641</v>
      </c>
      <c r="B146" s="492" t="s">
        <v>1019</v>
      </c>
      <c r="C146" s="487" t="s">
        <v>2850</v>
      </c>
      <c r="D146" s="492" t="s">
        <v>1021</v>
      </c>
      <c r="E146" s="496">
        <v>-0.17</v>
      </c>
    </row>
    <row r="147" spans="1:5">
      <c r="A147" s="488" t="s">
        <v>643</v>
      </c>
      <c r="B147" s="494" t="s">
        <v>1022</v>
      </c>
      <c r="C147" s="489" t="s">
        <v>2849</v>
      </c>
      <c r="D147" s="494" t="s">
        <v>1024</v>
      </c>
      <c r="E147" s="497">
        <v>-0.14000000000000001</v>
      </c>
    </row>
    <row r="148" spans="1:5">
      <c r="A148" s="486" t="s">
        <v>265</v>
      </c>
      <c r="B148" s="492" t="s">
        <v>1025</v>
      </c>
      <c r="C148" s="487" t="s">
        <v>1026</v>
      </c>
      <c r="D148" s="493" t="s">
        <v>2820</v>
      </c>
      <c r="E148" s="493">
        <f>36%</f>
        <v>0.36</v>
      </c>
    </row>
    <row r="149" spans="1:5">
      <c r="A149" s="488" t="s">
        <v>646</v>
      </c>
      <c r="B149" s="494" t="s">
        <v>1027</v>
      </c>
      <c r="C149" s="489" t="s">
        <v>2848</v>
      </c>
      <c r="D149" s="494" t="s">
        <v>1029</v>
      </c>
      <c r="E149" s="497">
        <v>-0.3</v>
      </c>
    </row>
    <row r="150" spans="1:5">
      <c r="A150" s="486" t="s">
        <v>231</v>
      </c>
      <c r="B150" s="492" t="s">
        <v>1030</v>
      </c>
      <c r="C150" s="487" t="s">
        <v>1031</v>
      </c>
      <c r="D150" s="493" t="s">
        <v>2820</v>
      </c>
      <c r="E150" s="493">
        <f>26%</f>
        <v>0.26</v>
      </c>
    </row>
    <row r="151" spans="1:5">
      <c r="A151" s="488" t="s">
        <v>239</v>
      </c>
      <c r="B151" s="494" t="s">
        <v>1032</v>
      </c>
      <c r="C151" s="489" t="s">
        <v>1033</v>
      </c>
      <c r="D151" s="495" t="s">
        <v>2820</v>
      </c>
      <c r="E151" s="495" t="s">
        <v>2820</v>
      </c>
    </row>
    <row r="152" spans="1:5">
      <c r="A152" s="486" t="s">
        <v>321</v>
      </c>
      <c r="B152" s="492" t="s">
        <v>1034</v>
      </c>
      <c r="C152" s="487" t="s">
        <v>1035</v>
      </c>
      <c r="D152" s="493" t="s">
        <v>2820</v>
      </c>
      <c r="E152" s="493">
        <f>38%</f>
        <v>0.38</v>
      </c>
    </row>
    <row r="153" spans="1:5">
      <c r="A153" s="488" t="s">
        <v>322</v>
      </c>
      <c r="B153" s="494" t="s">
        <v>1036</v>
      </c>
      <c r="C153" s="489" t="s">
        <v>1037</v>
      </c>
      <c r="D153" s="495" t="s">
        <v>2820</v>
      </c>
      <c r="E153" s="495">
        <f>148%</f>
        <v>1.48</v>
      </c>
    </row>
    <row r="154" spans="1:5">
      <c r="A154" s="486" t="s">
        <v>323</v>
      </c>
      <c r="B154" s="492" t="s">
        <v>1038</v>
      </c>
      <c r="C154" s="487" t="s">
        <v>1039</v>
      </c>
      <c r="D154" s="493" t="s">
        <v>2820</v>
      </c>
      <c r="E154" s="493">
        <f>493%</f>
        <v>4.93</v>
      </c>
    </row>
    <row r="155" spans="1:5">
      <c r="A155" s="488" t="s">
        <v>434</v>
      </c>
      <c r="B155" s="494" t="s">
        <v>1040</v>
      </c>
      <c r="C155" s="489" t="s">
        <v>960</v>
      </c>
      <c r="D155" s="495" t="s">
        <v>2820</v>
      </c>
      <c r="E155" s="495">
        <f>58%</f>
        <v>0.57999999999999996</v>
      </c>
    </row>
    <row r="156" spans="1:5">
      <c r="A156" s="486" t="s">
        <v>266</v>
      </c>
      <c r="B156" s="492" t="s">
        <v>1041</v>
      </c>
      <c r="C156" s="487" t="s">
        <v>1042</v>
      </c>
      <c r="D156" s="492" t="s">
        <v>1043</v>
      </c>
      <c r="E156" s="496">
        <v>-0.18</v>
      </c>
    </row>
    <row r="157" spans="1:5">
      <c r="A157" s="488" t="s">
        <v>655</v>
      </c>
      <c r="B157" s="494" t="s">
        <v>994</v>
      </c>
      <c r="C157" s="489" t="s">
        <v>2847</v>
      </c>
      <c r="D157" s="495" t="s">
        <v>2820</v>
      </c>
      <c r="E157" s="495">
        <f>351%</f>
        <v>3.51</v>
      </c>
    </row>
    <row r="158" spans="1:5">
      <c r="A158" s="486" t="s">
        <v>267</v>
      </c>
      <c r="B158" s="492" t="s">
        <v>1045</v>
      </c>
      <c r="C158" s="487" t="s">
        <v>1046</v>
      </c>
      <c r="D158" s="493" t="s">
        <v>2820</v>
      </c>
      <c r="E158" s="493">
        <f>159%</f>
        <v>1.59</v>
      </c>
    </row>
    <row r="159" spans="1:5">
      <c r="A159" s="488" t="s">
        <v>269</v>
      </c>
      <c r="B159" s="494" t="s">
        <v>1035</v>
      </c>
      <c r="C159" s="489" t="s">
        <v>1047</v>
      </c>
      <c r="D159" s="495" t="s">
        <v>2820</v>
      </c>
      <c r="E159" s="495">
        <f>139%</f>
        <v>1.39</v>
      </c>
    </row>
    <row r="160" spans="1:5">
      <c r="A160" s="486" t="s">
        <v>659</v>
      </c>
      <c r="B160" s="492" t="s">
        <v>1048</v>
      </c>
      <c r="C160" s="487" t="s">
        <v>1049</v>
      </c>
      <c r="D160" s="493" t="s">
        <v>2820</v>
      </c>
      <c r="E160" s="493">
        <f>9%</f>
        <v>0.09</v>
      </c>
    </row>
    <row r="161" spans="1:5">
      <c r="A161" s="488" t="s">
        <v>205</v>
      </c>
      <c r="B161" s="494" t="s">
        <v>1050</v>
      </c>
      <c r="C161" s="489" t="s">
        <v>980</v>
      </c>
      <c r="D161" s="495" t="s">
        <v>2820</v>
      </c>
      <c r="E161" s="495">
        <f>388%</f>
        <v>3.88</v>
      </c>
    </row>
    <row r="162" spans="1:5">
      <c r="A162" s="486" t="s">
        <v>436</v>
      </c>
      <c r="B162" s="492" t="s">
        <v>1051</v>
      </c>
      <c r="C162" s="487" t="s">
        <v>1052</v>
      </c>
      <c r="D162" s="493" t="s">
        <v>2820</v>
      </c>
      <c r="E162" s="493">
        <f>91%</f>
        <v>0.91</v>
      </c>
    </row>
    <row r="163" spans="1:5">
      <c r="A163" s="488" t="s">
        <v>437</v>
      </c>
      <c r="B163" s="494" t="s">
        <v>795</v>
      </c>
      <c r="C163" s="489" t="s">
        <v>1053</v>
      </c>
      <c r="D163" s="495" t="s">
        <v>2820</v>
      </c>
      <c r="E163" s="495">
        <f>36%</f>
        <v>0.36</v>
      </c>
    </row>
    <row r="164" spans="1:5">
      <c r="A164" s="486" t="s">
        <v>438</v>
      </c>
      <c r="B164" s="492" t="s">
        <v>1054</v>
      </c>
      <c r="C164" s="487" t="s">
        <v>1055</v>
      </c>
      <c r="D164" s="493" t="s">
        <v>2820</v>
      </c>
      <c r="E164" s="493">
        <f>122%</f>
        <v>1.22</v>
      </c>
    </row>
    <row r="165" spans="1:5">
      <c r="A165" s="488" t="s">
        <v>439</v>
      </c>
      <c r="B165" s="494" t="s">
        <v>1056</v>
      </c>
      <c r="C165" s="489" t="s">
        <v>1057</v>
      </c>
      <c r="D165" s="495" t="s">
        <v>2820</v>
      </c>
      <c r="E165" s="495">
        <f>92%</f>
        <v>0.92</v>
      </c>
    </row>
    <row r="166" spans="1:5">
      <c r="A166" s="486" t="s">
        <v>206</v>
      </c>
      <c r="B166" s="492" t="s">
        <v>995</v>
      </c>
      <c r="C166" s="487" t="s">
        <v>1058</v>
      </c>
      <c r="D166" s="492" t="s">
        <v>849</v>
      </c>
      <c r="E166" s="496">
        <v>-0.16</v>
      </c>
    </row>
    <row r="167" spans="1:5">
      <c r="A167" s="488" t="s">
        <v>232</v>
      </c>
      <c r="B167" s="494" t="s">
        <v>1059</v>
      </c>
      <c r="C167" s="489" t="s">
        <v>1060</v>
      </c>
      <c r="D167" s="495" t="s">
        <v>2820</v>
      </c>
      <c r="E167" s="495" t="s">
        <v>2820</v>
      </c>
    </row>
    <row r="168" spans="1:5">
      <c r="A168" s="486" t="s">
        <v>207</v>
      </c>
      <c r="B168" s="492" t="s">
        <v>899</v>
      </c>
      <c r="C168" s="487" t="s">
        <v>880</v>
      </c>
      <c r="D168" s="493" t="s">
        <v>2820</v>
      </c>
      <c r="E168" s="493">
        <f>104%</f>
        <v>1.04</v>
      </c>
    </row>
    <row r="169" spans="1:5">
      <c r="A169" s="488" t="s">
        <v>271</v>
      </c>
      <c r="B169" s="494" t="s">
        <v>1061</v>
      </c>
      <c r="C169" s="489" t="s">
        <v>1062</v>
      </c>
      <c r="D169" s="495" t="s">
        <v>2820</v>
      </c>
      <c r="E169" s="495">
        <f>35%</f>
        <v>0.35</v>
      </c>
    </row>
    <row r="170" spans="1:5">
      <c r="A170" s="486" t="s">
        <v>670</v>
      </c>
      <c r="B170" s="492" t="s">
        <v>1063</v>
      </c>
      <c r="C170" s="487" t="s">
        <v>2846</v>
      </c>
      <c r="D170" s="492" t="s">
        <v>1010</v>
      </c>
      <c r="E170" s="496">
        <v>-0.05</v>
      </c>
    </row>
    <row r="171" spans="1:5">
      <c r="A171" s="488" t="s">
        <v>208</v>
      </c>
      <c r="B171" s="494" t="s">
        <v>1065</v>
      </c>
      <c r="C171" s="489" t="s">
        <v>885</v>
      </c>
      <c r="D171" s="495" t="s">
        <v>2820</v>
      </c>
      <c r="E171" s="495">
        <f>88%</f>
        <v>0.88</v>
      </c>
    </row>
    <row r="172" spans="1:5">
      <c r="A172" s="486" t="s">
        <v>272</v>
      </c>
      <c r="B172" s="492" t="s">
        <v>1066</v>
      </c>
      <c r="C172" s="487" t="s">
        <v>1067</v>
      </c>
      <c r="D172" s="492" t="s">
        <v>939</v>
      </c>
      <c r="E172" s="496">
        <v>-0.18</v>
      </c>
    </row>
    <row r="173" spans="1:5">
      <c r="A173" s="488" t="s">
        <v>273</v>
      </c>
      <c r="B173" s="494" t="s">
        <v>1068</v>
      </c>
      <c r="C173" s="489" t="s">
        <v>1069</v>
      </c>
      <c r="D173" s="495" t="s">
        <v>2820</v>
      </c>
      <c r="E173" s="495">
        <f>32%</f>
        <v>0.32</v>
      </c>
    </row>
    <row r="174" spans="1:5">
      <c r="A174" s="486" t="s">
        <v>675</v>
      </c>
      <c r="B174" s="492" t="s">
        <v>1070</v>
      </c>
      <c r="C174" s="487" t="s">
        <v>2845</v>
      </c>
      <c r="D174" s="493" t="s">
        <v>2820</v>
      </c>
      <c r="E174" s="493">
        <f>142%</f>
        <v>1.42</v>
      </c>
    </row>
    <row r="175" spans="1:5">
      <c r="A175" s="488" t="s">
        <v>440</v>
      </c>
      <c r="B175" s="494" t="s">
        <v>1072</v>
      </c>
      <c r="C175" s="489" t="s">
        <v>1073</v>
      </c>
      <c r="D175" s="494" t="s">
        <v>1010</v>
      </c>
      <c r="E175" s="497">
        <v>-0.25</v>
      </c>
    </row>
    <row r="176" spans="1:5">
      <c r="A176" s="486" t="s">
        <v>210</v>
      </c>
      <c r="B176" s="492" t="s">
        <v>1074</v>
      </c>
      <c r="C176" s="487" t="s">
        <v>1075</v>
      </c>
      <c r="D176" s="493" t="s">
        <v>2820</v>
      </c>
      <c r="E176" s="493">
        <f>167%</f>
        <v>1.67</v>
      </c>
    </row>
    <row r="177" spans="1:5">
      <c r="A177" s="488" t="s">
        <v>679</v>
      </c>
      <c r="B177" s="494" t="s">
        <v>1076</v>
      </c>
      <c r="C177" s="489" t="s">
        <v>2844</v>
      </c>
      <c r="D177" s="495" t="s">
        <v>2820</v>
      </c>
      <c r="E177" s="495">
        <f>153%</f>
        <v>1.53</v>
      </c>
    </row>
    <row r="178" spans="1:5">
      <c r="A178" s="486" t="s">
        <v>681</v>
      </c>
      <c r="B178" s="492" t="s">
        <v>827</v>
      </c>
      <c r="C178" s="487" t="s">
        <v>2843</v>
      </c>
      <c r="D178" s="493" t="s">
        <v>2820</v>
      </c>
      <c r="E178" s="493">
        <f>192%</f>
        <v>1.92</v>
      </c>
    </row>
    <row r="179" spans="1:5">
      <c r="A179" s="488" t="s">
        <v>304</v>
      </c>
      <c r="B179" s="494" t="s">
        <v>885</v>
      </c>
      <c r="C179" s="489" t="s">
        <v>1079</v>
      </c>
      <c r="D179" s="495" t="s">
        <v>2820</v>
      </c>
      <c r="E179" s="495">
        <f>627%</f>
        <v>6.27</v>
      </c>
    </row>
    <row r="180" spans="1:5">
      <c r="A180" s="486" t="s">
        <v>684</v>
      </c>
      <c r="B180" s="492" t="s">
        <v>1080</v>
      </c>
      <c r="C180" s="487" t="s">
        <v>2842</v>
      </c>
      <c r="D180" s="493" t="s">
        <v>2820</v>
      </c>
      <c r="E180" s="493">
        <f>188%</f>
        <v>1.88</v>
      </c>
    </row>
    <row r="181" spans="1:5">
      <c r="A181" s="488" t="s">
        <v>686</v>
      </c>
      <c r="B181" s="494" t="s">
        <v>884</v>
      </c>
      <c r="C181" s="489" t="s">
        <v>2841</v>
      </c>
      <c r="D181" s="495" t="s">
        <v>2820</v>
      </c>
      <c r="E181" s="495">
        <f>580%</f>
        <v>5.8</v>
      </c>
    </row>
    <row r="182" spans="1:5">
      <c r="A182" s="486" t="s">
        <v>688</v>
      </c>
      <c r="B182" s="492" t="s">
        <v>1083</v>
      </c>
      <c r="C182" s="487" t="s">
        <v>2840</v>
      </c>
      <c r="D182" s="493" t="s">
        <v>2820</v>
      </c>
      <c r="E182" s="493">
        <f>73%</f>
        <v>0.73</v>
      </c>
    </row>
    <row r="183" spans="1:5">
      <c r="A183" s="488" t="s">
        <v>274</v>
      </c>
      <c r="B183" s="494" t="s">
        <v>834</v>
      </c>
      <c r="C183" s="489" t="s">
        <v>1085</v>
      </c>
      <c r="D183" s="495" t="s">
        <v>2820</v>
      </c>
      <c r="E183" s="495">
        <f>74%</f>
        <v>0.74</v>
      </c>
    </row>
    <row r="184" spans="1:5">
      <c r="A184" s="486" t="s">
        <v>441</v>
      </c>
      <c r="B184" s="492" t="s">
        <v>1086</v>
      </c>
      <c r="C184" s="487" t="s">
        <v>1087</v>
      </c>
      <c r="D184" s="493" t="s">
        <v>2820</v>
      </c>
      <c r="E184" s="493">
        <f>364%</f>
        <v>3.64</v>
      </c>
    </row>
    <row r="185" spans="1:5">
      <c r="A185" s="488" t="s">
        <v>221</v>
      </c>
      <c r="B185" s="494" t="s">
        <v>1088</v>
      </c>
      <c r="C185" s="489" t="s">
        <v>1089</v>
      </c>
      <c r="D185" s="495" t="s">
        <v>2820</v>
      </c>
      <c r="E185" s="495">
        <f>23%</f>
        <v>0.23</v>
      </c>
    </row>
    <row r="186" spans="1:5">
      <c r="A186" s="486" t="s">
        <v>693</v>
      </c>
      <c r="B186" s="492" t="s">
        <v>963</v>
      </c>
      <c r="C186" s="487" t="s">
        <v>2839</v>
      </c>
      <c r="D186" s="493" t="s">
        <v>2820</v>
      </c>
      <c r="E186" s="493">
        <f>14%</f>
        <v>0.14000000000000001</v>
      </c>
    </row>
    <row r="187" spans="1:5">
      <c r="A187" s="488" t="s">
        <v>324</v>
      </c>
      <c r="B187" s="494" t="s">
        <v>1091</v>
      </c>
      <c r="C187" s="489" t="s">
        <v>1092</v>
      </c>
      <c r="D187" s="495" t="s">
        <v>2820</v>
      </c>
      <c r="E187" s="495">
        <f>236%</f>
        <v>2.36</v>
      </c>
    </row>
    <row r="188" spans="1:5">
      <c r="A188" s="486" t="s">
        <v>275</v>
      </c>
      <c r="B188" s="492" t="s">
        <v>1093</v>
      </c>
      <c r="C188" s="487" t="s">
        <v>1094</v>
      </c>
      <c r="D188" s="493" t="s">
        <v>2820</v>
      </c>
      <c r="E188" s="493">
        <f>18%</f>
        <v>0.18</v>
      </c>
    </row>
    <row r="189" spans="1:5">
      <c r="A189" s="488" t="s">
        <v>276</v>
      </c>
      <c r="B189" s="494" t="s">
        <v>1095</v>
      </c>
      <c r="C189" s="489" t="s">
        <v>1096</v>
      </c>
      <c r="D189" s="495" t="s">
        <v>2820</v>
      </c>
      <c r="E189" s="495">
        <f>2%</f>
        <v>0.02</v>
      </c>
    </row>
    <row r="190" spans="1:5">
      <c r="A190" s="486" t="s">
        <v>698</v>
      </c>
      <c r="B190" s="492" t="s">
        <v>1097</v>
      </c>
      <c r="C190" s="487" t="s">
        <v>1098</v>
      </c>
      <c r="D190" s="493" t="s">
        <v>2820</v>
      </c>
      <c r="E190" s="493">
        <f>795%</f>
        <v>7.95</v>
      </c>
    </row>
    <row r="191" spans="1:5">
      <c r="A191" s="488" t="s">
        <v>286</v>
      </c>
      <c r="B191" s="494" t="s">
        <v>1099</v>
      </c>
      <c r="C191" s="489" t="s">
        <v>1100</v>
      </c>
      <c r="D191" s="495" t="s">
        <v>2820</v>
      </c>
      <c r="E191" s="495">
        <f>16%</f>
        <v>0.16</v>
      </c>
    </row>
    <row r="192" spans="1:5">
      <c r="A192" s="486" t="s">
        <v>212</v>
      </c>
      <c r="B192" s="492" t="s">
        <v>950</v>
      </c>
      <c r="C192" s="487" t="s">
        <v>746</v>
      </c>
      <c r="D192" s="492" t="s">
        <v>1101</v>
      </c>
      <c r="E192" s="496">
        <v>-0.62</v>
      </c>
    </row>
    <row r="193" spans="1:5">
      <c r="A193" s="488" t="s">
        <v>305</v>
      </c>
      <c r="B193" s="494" t="s">
        <v>1102</v>
      </c>
      <c r="C193" s="489" t="s">
        <v>1103</v>
      </c>
      <c r="D193" s="495" t="s">
        <v>2820</v>
      </c>
      <c r="E193" s="495">
        <f>38%</f>
        <v>0.38</v>
      </c>
    </row>
    <row r="194" spans="1:5">
      <c r="A194" s="486" t="s">
        <v>703</v>
      </c>
      <c r="B194" s="492" t="s">
        <v>1104</v>
      </c>
      <c r="C194" s="487" t="s">
        <v>1105</v>
      </c>
      <c r="D194" s="492" t="s">
        <v>924</v>
      </c>
      <c r="E194" s="496">
        <v>-0.22</v>
      </c>
    </row>
    <row r="195" spans="1:5">
      <c r="A195" s="488" t="s">
        <v>213</v>
      </c>
      <c r="B195" s="494" t="s">
        <v>1106</v>
      </c>
      <c r="C195" s="489" t="s">
        <v>1107</v>
      </c>
      <c r="D195" s="495" t="s">
        <v>2820</v>
      </c>
      <c r="E195" s="495">
        <f>280%</f>
        <v>2.8</v>
      </c>
    </row>
    <row r="196" spans="1:5">
      <c r="A196" s="486" t="s">
        <v>443</v>
      </c>
      <c r="B196" s="492" t="s">
        <v>1108</v>
      </c>
      <c r="C196" s="487" t="s">
        <v>1109</v>
      </c>
      <c r="D196" s="493" t="s">
        <v>2820</v>
      </c>
      <c r="E196" s="493">
        <f>287%</f>
        <v>2.87</v>
      </c>
    </row>
    <row r="197" spans="1:5">
      <c r="A197" s="488" t="s">
        <v>222</v>
      </c>
      <c r="B197" s="494" t="s">
        <v>1110</v>
      </c>
      <c r="C197" s="489" t="s">
        <v>1111</v>
      </c>
      <c r="D197" s="495" t="s">
        <v>2820</v>
      </c>
      <c r="E197" s="495">
        <f>481%</f>
        <v>4.8099999999999996</v>
      </c>
    </row>
    <row r="198" spans="1:5">
      <c r="A198" s="486" t="s">
        <v>288</v>
      </c>
      <c r="B198" s="492" t="s">
        <v>1112</v>
      </c>
      <c r="C198" s="487" t="s">
        <v>1113</v>
      </c>
      <c r="D198" s="493" t="s">
        <v>2820</v>
      </c>
      <c r="E198" s="493">
        <f>273%</f>
        <v>2.73</v>
      </c>
    </row>
    <row r="199" spans="1:5">
      <c r="A199" s="488" t="s">
        <v>289</v>
      </c>
      <c r="B199" s="494" t="s">
        <v>1114</v>
      </c>
      <c r="C199" s="489" t="s">
        <v>770</v>
      </c>
      <c r="D199" s="495" t="s">
        <v>2820</v>
      </c>
      <c r="E199" s="495">
        <f>74%</f>
        <v>0.74</v>
      </c>
    </row>
    <row r="200" spans="1:5">
      <c r="A200" s="486" t="s">
        <v>710</v>
      </c>
      <c r="B200" s="492" t="s">
        <v>1115</v>
      </c>
      <c r="C200" s="487" t="s">
        <v>2838</v>
      </c>
      <c r="D200" s="493" t="s">
        <v>2820</v>
      </c>
      <c r="E200" s="493">
        <f>106%</f>
        <v>1.06</v>
      </c>
    </row>
    <row r="201" spans="1:5">
      <c r="A201" s="488" t="s">
        <v>214</v>
      </c>
      <c r="B201" s="494" t="s">
        <v>992</v>
      </c>
      <c r="C201" s="489" t="s">
        <v>1117</v>
      </c>
      <c r="D201" s="495" t="s">
        <v>2820</v>
      </c>
      <c r="E201" s="495">
        <f>52%</f>
        <v>0.52</v>
      </c>
    </row>
    <row r="202" spans="1:5">
      <c r="A202" s="486" t="s">
        <v>277</v>
      </c>
      <c r="B202" s="492" t="s">
        <v>1118</v>
      </c>
      <c r="C202" s="487" t="s">
        <v>1119</v>
      </c>
      <c r="D202" s="493" t="s">
        <v>2820</v>
      </c>
      <c r="E202" s="493">
        <f>11%</f>
        <v>0.11</v>
      </c>
    </row>
    <row r="203" spans="1:5">
      <c r="A203" s="488" t="s">
        <v>444</v>
      </c>
      <c r="B203" s="494" t="s">
        <v>1120</v>
      </c>
      <c r="C203" s="489" t="s">
        <v>1121</v>
      </c>
      <c r="D203" s="495" t="s">
        <v>2820</v>
      </c>
      <c r="E203" s="495">
        <f>489%</f>
        <v>4.8899999999999997</v>
      </c>
    </row>
    <row r="204" spans="1:5">
      <c r="A204" s="486" t="s">
        <v>715</v>
      </c>
      <c r="B204" s="492" t="s">
        <v>1122</v>
      </c>
      <c r="C204" s="487" t="s">
        <v>1123</v>
      </c>
      <c r="D204" s="492" t="s">
        <v>1124</v>
      </c>
      <c r="E204" s="496">
        <v>-0.24</v>
      </c>
    </row>
    <row r="205" spans="1:5">
      <c r="A205" s="488" t="s">
        <v>717</v>
      </c>
      <c r="B205" s="494" t="s">
        <v>1125</v>
      </c>
      <c r="C205" s="489" t="s">
        <v>1126</v>
      </c>
      <c r="D205" s="494" t="s">
        <v>1127</v>
      </c>
      <c r="E205" s="497">
        <v>-0.12</v>
      </c>
    </row>
    <row r="206" spans="1:5">
      <c r="A206" s="486" t="s">
        <v>325</v>
      </c>
      <c r="B206" s="492" t="s">
        <v>1128</v>
      </c>
      <c r="C206" s="487" t="s">
        <v>1129</v>
      </c>
      <c r="D206" s="493" t="s">
        <v>2820</v>
      </c>
      <c r="E206" s="493">
        <f>99%</f>
        <v>0.99</v>
      </c>
    </row>
    <row r="207" spans="1:5">
      <c r="A207" s="488" t="s">
        <v>287</v>
      </c>
      <c r="B207" s="494" t="s">
        <v>1130</v>
      </c>
      <c r="C207" s="489" t="s">
        <v>1131</v>
      </c>
      <c r="D207" s="495" t="s">
        <v>2820</v>
      </c>
      <c r="E207" s="495">
        <f>47%</f>
        <v>0.47</v>
      </c>
    </row>
    <row r="208" spans="1:5">
      <c r="A208" s="486" t="s">
        <v>448</v>
      </c>
      <c r="B208" s="492" t="s">
        <v>880</v>
      </c>
      <c r="C208" s="487" t="s">
        <v>844</v>
      </c>
      <c r="D208" s="493" t="s">
        <v>2820</v>
      </c>
      <c r="E208" s="493">
        <f>49%</f>
        <v>0.49</v>
      </c>
    </row>
    <row r="209" spans="1:5">
      <c r="A209" s="488" t="s">
        <v>326</v>
      </c>
      <c r="B209" s="494" t="s">
        <v>1132</v>
      </c>
      <c r="C209" s="489" t="s">
        <v>1133</v>
      </c>
      <c r="D209" s="494" t="s">
        <v>830</v>
      </c>
      <c r="E209" s="497">
        <v>-0.34</v>
      </c>
    </row>
    <row r="210" spans="1:5">
      <c r="A210" s="486" t="s">
        <v>306</v>
      </c>
      <c r="B210" s="492" t="s">
        <v>1038</v>
      </c>
      <c r="C210" s="487" t="s">
        <v>1134</v>
      </c>
      <c r="D210" s="493" t="s">
        <v>2820</v>
      </c>
      <c r="E210" s="493">
        <f>191%</f>
        <v>1.91</v>
      </c>
    </row>
    <row r="211" spans="1:5">
      <c r="A211" s="488" t="s">
        <v>724</v>
      </c>
      <c r="B211" s="494" t="s">
        <v>785</v>
      </c>
      <c r="C211" s="489" t="s">
        <v>2837</v>
      </c>
      <c r="D211" s="495" t="s">
        <v>2820</v>
      </c>
      <c r="E211" s="495">
        <f>128%</f>
        <v>1.28</v>
      </c>
    </row>
    <row r="212" spans="1:5">
      <c r="A212" s="486" t="s">
        <v>726</v>
      </c>
      <c r="B212" s="492" t="s">
        <v>974</v>
      </c>
      <c r="C212" s="487" t="s">
        <v>2836</v>
      </c>
      <c r="D212" s="493" t="s">
        <v>2820</v>
      </c>
      <c r="E212" s="493">
        <f>217%</f>
        <v>2.17</v>
      </c>
    </row>
    <row r="213" spans="1:5">
      <c r="A213" s="488" t="s">
        <v>728</v>
      </c>
      <c r="B213" s="494" t="s">
        <v>1137</v>
      </c>
      <c r="C213" s="489" t="s">
        <v>2835</v>
      </c>
      <c r="D213" s="495" t="s">
        <v>2820</v>
      </c>
      <c r="E213" s="495">
        <f>102%</f>
        <v>1.02</v>
      </c>
    </row>
    <row r="214" spans="1:5">
      <c r="A214" s="486" t="s">
        <v>235</v>
      </c>
      <c r="B214" s="492" t="s">
        <v>1139</v>
      </c>
      <c r="C214" s="487" t="s">
        <v>1097</v>
      </c>
      <c r="D214" s="493" t="s">
        <v>2820</v>
      </c>
      <c r="E214" s="493">
        <f>184%</f>
        <v>1.84</v>
      </c>
    </row>
    <row r="215" spans="1:5">
      <c r="A215" s="488" t="s">
        <v>731</v>
      </c>
      <c r="B215" s="494" t="s">
        <v>1140</v>
      </c>
      <c r="C215" s="489" t="s">
        <v>2834</v>
      </c>
      <c r="D215" s="495" t="s">
        <v>2820</v>
      </c>
      <c r="E215" s="495">
        <f>236%</f>
        <v>2.36</v>
      </c>
    </row>
    <row r="216" spans="1:5">
      <c r="A216" s="486" t="s">
        <v>215</v>
      </c>
      <c r="B216" s="492" t="s">
        <v>899</v>
      </c>
      <c r="C216" s="487" t="s">
        <v>1142</v>
      </c>
      <c r="D216" s="493" t="s">
        <v>2820</v>
      </c>
      <c r="E216" s="493">
        <f>199%</f>
        <v>1.99</v>
      </c>
    </row>
    <row r="217" spans="1:5">
      <c r="A217" s="488" t="s">
        <v>216</v>
      </c>
      <c r="B217" s="494" t="s">
        <v>1143</v>
      </c>
      <c r="C217" s="489" t="s">
        <v>1144</v>
      </c>
      <c r="D217" s="495" t="s">
        <v>2820</v>
      </c>
      <c r="E217" s="495">
        <f>22%</f>
        <v>0.22</v>
      </c>
    </row>
    <row r="218" spans="1:5">
      <c r="A218" s="498">
        <v>1961</v>
      </c>
      <c r="C218" s="185"/>
    </row>
    <row r="219" spans="1:5">
      <c r="A219" s="498">
        <v>2017</v>
      </c>
      <c r="C219" s="185"/>
    </row>
    <row r="220" spans="1:5">
      <c r="A220" s="499" t="s">
        <v>1145</v>
      </c>
      <c r="C220" s="185"/>
    </row>
    <row r="221" spans="1:5">
      <c r="A221" s="499" t="s">
        <v>1146</v>
      </c>
      <c r="C221" s="185"/>
    </row>
    <row r="222" spans="1:5">
      <c r="A222" s="500" t="s">
        <v>1147</v>
      </c>
      <c r="C222" s="185"/>
    </row>
    <row r="223" spans="1:5">
      <c r="A223" s="499" t="s">
        <v>1148</v>
      </c>
      <c r="C223" s="185"/>
    </row>
    <row r="224" spans="1:5">
      <c r="A224" s="499" t="s">
        <v>1149</v>
      </c>
      <c r="C224" s="185"/>
    </row>
    <row r="225" spans="1:3">
      <c r="A225" s="501" t="s">
        <v>1150</v>
      </c>
      <c r="C225" s="185"/>
    </row>
    <row r="226" spans="1:3"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hyperlinks>
    <hyperlink ref="B1" r:id="rId1" location="dairy-production-consumption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5" sqref="C25"/>
    </sheetView>
  </sheetViews>
  <sheetFormatPr defaultColWidth="14.42578125" defaultRowHeight="15.75" customHeight="1"/>
  <cols>
    <col min="1" max="1" width="25.42578125" customWidth="1"/>
  </cols>
  <sheetData>
    <row r="1" spans="1:7">
      <c r="A1" s="502" t="s">
        <v>466</v>
      </c>
      <c r="B1" s="482" t="s">
        <v>69</v>
      </c>
      <c r="C1" s="482" t="s">
        <v>1151</v>
      </c>
      <c r="D1" s="287" t="s">
        <v>1152</v>
      </c>
      <c r="E1" s="287" t="s">
        <v>1153</v>
      </c>
      <c r="F1" s="287" t="s">
        <v>1154</v>
      </c>
      <c r="G1" s="287" t="s">
        <v>1155</v>
      </c>
    </row>
    <row r="2" spans="1:7">
      <c r="A2" s="480" t="s">
        <v>279</v>
      </c>
      <c r="B2" s="503">
        <f t="shared" ref="B2:B174" si="0">SUM(C2:F2)</f>
        <v>8.26</v>
      </c>
      <c r="C2" s="480">
        <v>3.63</v>
      </c>
      <c r="D2" s="480">
        <v>0.01</v>
      </c>
      <c r="E2" s="480">
        <v>4.3099999999999996</v>
      </c>
      <c r="F2" s="480">
        <v>0.31</v>
      </c>
      <c r="G2" s="480">
        <v>1.43</v>
      </c>
    </row>
    <row r="3" spans="1:7">
      <c r="A3" s="480" t="s">
        <v>240</v>
      </c>
      <c r="B3" s="503">
        <f t="shared" si="0"/>
        <v>29.630000000000003</v>
      </c>
      <c r="C3" s="480">
        <v>13.38</v>
      </c>
      <c r="D3" s="480">
        <v>5.35</v>
      </c>
      <c r="E3" s="480">
        <v>10.9</v>
      </c>
      <c r="F3" s="480">
        <v>0</v>
      </c>
      <c r="G3" s="480">
        <v>9.48</v>
      </c>
    </row>
    <row r="4" spans="1:7">
      <c r="A4" s="480" t="s">
        <v>219</v>
      </c>
      <c r="B4" s="503">
        <f t="shared" si="0"/>
        <v>12.86</v>
      </c>
      <c r="C4" s="480">
        <v>4.6399999999999997</v>
      </c>
      <c r="D4" s="480">
        <v>0.01</v>
      </c>
      <c r="E4" s="480">
        <v>7.85</v>
      </c>
      <c r="F4" s="480">
        <v>0.36</v>
      </c>
      <c r="G4" s="480">
        <v>6.98</v>
      </c>
    </row>
    <row r="5" spans="1:7">
      <c r="A5" s="480" t="s">
        <v>173</v>
      </c>
      <c r="B5" s="503">
        <f t="shared" si="0"/>
        <v>11.930000000000001</v>
      </c>
      <c r="C5" s="480">
        <v>4.0999999999999996</v>
      </c>
      <c r="D5" s="480">
        <v>6.7</v>
      </c>
      <c r="E5" s="480">
        <v>0.82</v>
      </c>
      <c r="F5" s="480">
        <v>0.31</v>
      </c>
      <c r="G5" s="480">
        <v>11.76</v>
      </c>
    </row>
    <row r="6" spans="1:7">
      <c r="A6" s="480" t="s">
        <v>405</v>
      </c>
      <c r="B6" s="503">
        <f t="shared" si="0"/>
        <v>16.14</v>
      </c>
      <c r="C6" s="480">
        <v>7.11</v>
      </c>
      <c r="D6" s="480">
        <v>7.55</v>
      </c>
      <c r="E6" s="480">
        <v>1.34</v>
      </c>
      <c r="F6" s="480">
        <v>0.14000000000000001</v>
      </c>
      <c r="G6" s="480">
        <v>57.64</v>
      </c>
    </row>
    <row r="7" spans="1:7">
      <c r="A7" s="480" t="s">
        <v>307</v>
      </c>
      <c r="B7" s="503">
        <f t="shared" si="0"/>
        <v>72.27</v>
      </c>
      <c r="C7" s="480">
        <v>55.44</v>
      </c>
      <c r="D7" s="480">
        <v>14.45</v>
      </c>
      <c r="E7" s="480">
        <v>1.27</v>
      </c>
      <c r="F7" s="480">
        <v>1.1100000000000001</v>
      </c>
      <c r="G7" s="480">
        <v>44.25</v>
      </c>
    </row>
    <row r="8" spans="1:7">
      <c r="A8" s="480" t="s">
        <v>280</v>
      </c>
      <c r="B8" s="503">
        <f t="shared" si="0"/>
        <v>27.53</v>
      </c>
      <c r="C8" s="480">
        <v>18.32</v>
      </c>
      <c r="D8" s="480">
        <v>6.28</v>
      </c>
      <c r="E8" s="480">
        <v>2.9</v>
      </c>
      <c r="F8" s="480">
        <v>0.03</v>
      </c>
      <c r="G8" s="480">
        <v>15.17</v>
      </c>
    </row>
    <row r="9" spans="1:7">
      <c r="A9" s="480" t="s">
        <v>292</v>
      </c>
      <c r="B9" s="503">
        <f t="shared" si="0"/>
        <v>64.36</v>
      </c>
      <c r="C9" s="480">
        <v>28.21</v>
      </c>
      <c r="D9" s="480">
        <v>25.86</v>
      </c>
      <c r="E9" s="480">
        <v>9.23</v>
      </c>
      <c r="F9" s="480">
        <v>1.06</v>
      </c>
      <c r="G9" s="480">
        <v>48.66</v>
      </c>
    </row>
    <row r="10" spans="1:7">
      <c r="A10" s="480" t="s">
        <v>241</v>
      </c>
      <c r="B10" s="503">
        <f t="shared" si="0"/>
        <v>68.08</v>
      </c>
      <c r="C10" s="480">
        <v>16.649999999999999</v>
      </c>
      <c r="D10" s="480">
        <v>48.95</v>
      </c>
      <c r="E10" s="480">
        <v>1.1399999999999999</v>
      </c>
      <c r="F10" s="480">
        <v>1.34</v>
      </c>
      <c r="G10" s="480">
        <v>18.510000000000002</v>
      </c>
    </row>
    <row r="11" spans="1:7">
      <c r="A11" s="480" t="s">
        <v>406</v>
      </c>
      <c r="B11" s="503">
        <f t="shared" si="0"/>
        <v>20.909999999999997</v>
      </c>
      <c r="C11" s="480">
        <v>12.61</v>
      </c>
      <c r="D11" s="480">
        <v>0.53</v>
      </c>
      <c r="E11" s="480">
        <v>7.77</v>
      </c>
      <c r="F11" s="480">
        <v>0</v>
      </c>
      <c r="G11" s="480">
        <v>13.87</v>
      </c>
    </row>
    <row r="12" spans="1:7">
      <c r="A12" s="480" t="s">
        <v>407</v>
      </c>
      <c r="B12" s="503">
        <f t="shared" si="0"/>
        <v>34.71</v>
      </c>
      <c r="C12" s="480">
        <v>7.06</v>
      </c>
      <c r="D12" s="480">
        <v>25.79</v>
      </c>
      <c r="E12" s="480">
        <v>1.74</v>
      </c>
      <c r="F12" s="480">
        <v>0.12</v>
      </c>
      <c r="G12" s="480">
        <v>51.88</v>
      </c>
    </row>
    <row r="13" spans="1:7">
      <c r="A13" s="480" t="s">
        <v>236</v>
      </c>
      <c r="B13" s="503">
        <f t="shared" si="0"/>
        <v>2.7</v>
      </c>
      <c r="C13" s="480">
        <v>1.29</v>
      </c>
      <c r="D13" s="480">
        <v>0</v>
      </c>
      <c r="E13" s="480">
        <v>1.41</v>
      </c>
      <c r="F13" s="480">
        <v>0</v>
      </c>
      <c r="G13" s="480">
        <v>1.59</v>
      </c>
    </row>
    <row r="14" spans="1:7">
      <c r="A14" s="480" t="s">
        <v>408</v>
      </c>
      <c r="B14" s="503">
        <f t="shared" si="0"/>
        <v>24.66</v>
      </c>
      <c r="C14" s="480">
        <v>12.2</v>
      </c>
      <c r="D14" s="480">
        <v>8.42</v>
      </c>
      <c r="E14" s="480">
        <v>3.99</v>
      </c>
      <c r="F14" s="480">
        <v>0.05</v>
      </c>
      <c r="G14" s="480">
        <v>48.66</v>
      </c>
    </row>
    <row r="15" spans="1:7">
      <c r="A15" s="480" t="s">
        <v>242</v>
      </c>
      <c r="B15" s="503">
        <f t="shared" si="0"/>
        <v>55.18</v>
      </c>
      <c r="C15" s="480">
        <v>16.39</v>
      </c>
      <c r="D15" s="480">
        <v>38.46</v>
      </c>
      <c r="E15" s="480">
        <v>0.11</v>
      </c>
      <c r="F15" s="480">
        <v>0.22</v>
      </c>
      <c r="G15" s="480">
        <v>28.84</v>
      </c>
    </row>
    <row r="16" spans="1:7">
      <c r="A16" s="480" t="s">
        <v>243</v>
      </c>
      <c r="B16" s="503">
        <f t="shared" si="0"/>
        <v>43.2</v>
      </c>
      <c r="C16" s="480">
        <v>11.86</v>
      </c>
      <c r="D16" s="480">
        <v>28.35</v>
      </c>
      <c r="E16" s="480">
        <v>1.1399999999999999</v>
      </c>
      <c r="F16" s="480">
        <v>1.85</v>
      </c>
      <c r="G16" s="480">
        <v>11.51</v>
      </c>
    </row>
    <row r="17" spans="1:7">
      <c r="A17" s="480" t="s">
        <v>308</v>
      </c>
      <c r="B17" s="503">
        <f t="shared" si="0"/>
        <v>23.45</v>
      </c>
      <c r="C17" s="480">
        <v>3.95</v>
      </c>
      <c r="D17" s="480">
        <v>19.14</v>
      </c>
      <c r="E17" s="480">
        <v>0.11</v>
      </c>
      <c r="F17" s="480">
        <v>0.25</v>
      </c>
      <c r="G17" s="480">
        <v>25.78</v>
      </c>
    </row>
    <row r="18" spans="1:7">
      <c r="A18" s="480" t="s">
        <v>174</v>
      </c>
      <c r="B18" s="503">
        <f t="shared" si="0"/>
        <v>5.72</v>
      </c>
      <c r="C18" s="480">
        <v>3.39</v>
      </c>
      <c r="D18" s="480">
        <v>0.69</v>
      </c>
      <c r="E18" s="480">
        <v>0.84</v>
      </c>
      <c r="F18" s="480">
        <v>0.8</v>
      </c>
      <c r="G18" s="480">
        <v>9.9499999999999993</v>
      </c>
    </row>
    <row r="19" spans="1:7">
      <c r="A19" s="480" t="s">
        <v>409</v>
      </c>
      <c r="B19" s="503">
        <f t="shared" si="0"/>
        <v>37.65</v>
      </c>
      <c r="C19" s="480">
        <v>23.28</v>
      </c>
      <c r="D19" s="480">
        <v>9.61</v>
      </c>
      <c r="E19" s="480">
        <v>2.91</v>
      </c>
      <c r="F19" s="480">
        <v>1.85</v>
      </c>
      <c r="G19" s="480">
        <v>42.59</v>
      </c>
    </row>
    <row r="20" spans="1:7">
      <c r="A20" s="480" t="s">
        <v>244</v>
      </c>
      <c r="B20" s="503">
        <f t="shared" si="0"/>
        <v>23.110000000000003</v>
      </c>
      <c r="C20" s="480">
        <v>12.32</v>
      </c>
      <c r="D20" s="480">
        <v>9.81</v>
      </c>
      <c r="E20" s="480">
        <v>0.47</v>
      </c>
      <c r="F20" s="480">
        <v>0.51</v>
      </c>
      <c r="G20" s="480">
        <v>19.760000000000002</v>
      </c>
    </row>
    <row r="21" spans="1:7">
      <c r="A21" s="480" t="s">
        <v>175</v>
      </c>
      <c r="B21" s="503">
        <f t="shared" si="0"/>
        <v>21.15</v>
      </c>
      <c r="C21" s="480">
        <v>5.47</v>
      </c>
      <c r="D21" s="480">
        <v>0.71</v>
      </c>
      <c r="E21" s="480">
        <v>2.73</v>
      </c>
      <c r="F21" s="480">
        <v>12.24</v>
      </c>
      <c r="G21" s="480">
        <v>3.93</v>
      </c>
    </row>
    <row r="22" spans="1:7">
      <c r="A22" s="480" t="s">
        <v>310</v>
      </c>
      <c r="B22" s="503">
        <f t="shared" si="0"/>
        <v>52.26</v>
      </c>
      <c r="C22" s="480">
        <v>37.47</v>
      </c>
      <c r="D22" s="480">
        <v>13.52</v>
      </c>
      <c r="E22" s="480">
        <v>0.6</v>
      </c>
      <c r="F22" s="480">
        <v>0.67</v>
      </c>
      <c r="G22" s="480">
        <v>47.05</v>
      </c>
    </row>
    <row r="23" spans="1:7">
      <c r="A23" s="480" t="s">
        <v>245</v>
      </c>
      <c r="B23" s="503">
        <f t="shared" si="0"/>
        <v>37.53</v>
      </c>
      <c r="C23" s="480">
        <v>3.49</v>
      </c>
      <c r="D23" s="480">
        <v>31.79</v>
      </c>
      <c r="E23" s="480">
        <v>1.5</v>
      </c>
      <c r="F23" s="480">
        <v>0.75</v>
      </c>
      <c r="G23" s="480">
        <v>22.67</v>
      </c>
    </row>
    <row r="24" spans="1:7">
      <c r="A24" s="480" t="s">
        <v>176</v>
      </c>
      <c r="B24" s="503">
        <f t="shared" si="0"/>
        <v>10.81</v>
      </c>
      <c r="C24" s="480">
        <v>5.58</v>
      </c>
      <c r="D24" s="480">
        <v>2.2400000000000002</v>
      </c>
      <c r="E24" s="480">
        <v>2.37</v>
      </c>
      <c r="F24" s="480">
        <v>0.62</v>
      </c>
      <c r="G24" s="480">
        <v>2.41</v>
      </c>
    </row>
    <row r="25" spans="1:7">
      <c r="A25" s="480" t="s">
        <v>410</v>
      </c>
      <c r="B25" s="503">
        <f t="shared" si="0"/>
        <v>14.63</v>
      </c>
      <c r="C25" s="480">
        <v>2.33</v>
      </c>
      <c r="D25" s="480">
        <v>10.18</v>
      </c>
      <c r="E25" s="480">
        <v>1.89</v>
      </c>
      <c r="F25" s="480">
        <v>0.23</v>
      </c>
      <c r="G25" s="480">
        <v>17.5</v>
      </c>
    </row>
    <row r="26" spans="1:7">
      <c r="A26" s="480" t="s">
        <v>294</v>
      </c>
      <c r="B26" s="503">
        <f t="shared" si="0"/>
        <v>9.6900000000000013</v>
      </c>
      <c r="C26" s="480">
        <v>4.28</v>
      </c>
      <c r="D26" s="480">
        <v>5.41</v>
      </c>
      <c r="E26" s="480">
        <v>0</v>
      </c>
      <c r="F26" s="480">
        <v>0</v>
      </c>
      <c r="G26" s="480">
        <v>2.46</v>
      </c>
    </row>
    <row r="27" spans="1:7">
      <c r="A27" s="480" t="s">
        <v>178</v>
      </c>
      <c r="B27" s="503">
        <f t="shared" si="0"/>
        <v>8.92</v>
      </c>
      <c r="C27" s="480">
        <v>3.35</v>
      </c>
      <c r="D27" s="480">
        <v>1.32</v>
      </c>
      <c r="E27" s="480">
        <v>1.21</v>
      </c>
      <c r="F27" s="480">
        <v>3.04</v>
      </c>
      <c r="G27" s="480">
        <v>3.19</v>
      </c>
    </row>
    <row r="28" spans="1:7">
      <c r="A28" s="480" t="s">
        <v>290</v>
      </c>
      <c r="B28" s="503">
        <f t="shared" si="0"/>
        <v>51.3</v>
      </c>
      <c r="C28" s="480">
        <v>26.78</v>
      </c>
      <c r="D28" s="480">
        <v>23.52</v>
      </c>
      <c r="E28" s="480">
        <v>0.99</v>
      </c>
      <c r="F28" s="480">
        <v>0.01</v>
      </c>
      <c r="G28" s="480">
        <v>40.479999999999997</v>
      </c>
    </row>
    <row r="29" spans="1:7">
      <c r="A29" s="480" t="s">
        <v>180</v>
      </c>
      <c r="B29" s="503">
        <f t="shared" si="0"/>
        <v>33.160000000000004</v>
      </c>
      <c r="C29" s="480">
        <v>21.46</v>
      </c>
      <c r="D29" s="480">
        <v>2.88</v>
      </c>
      <c r="E29" s="480">
        <v>4.9400000000000004</v>
      </c>
      <c r="F29" s="480">
        <v>3.88</v>
      </c>
      <c r="G29" s="480">
        <v>2.02</v>
      </c>
    </row>
    <row r="30" spans="1:7">
      <c r="A30" s="480" t="s">
        <v>181</v>
      </c>
      <c r="B30" s="503">
        <f t="shared" si="0"/>
        <v>10.879999999999999</v>
      </c>
      <c r="C30" s="480">
        <v>7.05</v>
      </c>
      <c r="D30" s="480">
        <v>0.04</v>
      </c>
      <c r="E30" s="480">
        <v>3.04</v>
      </c>
      <c r="F30" s="480">
        <v>0.75</v>
      </c>
      <c r="G30" s="480">
        <v>0.45</v>
      </c>
    </row>
    <row r="31" spans="1:7">
      <c r="A31" s="480" t="s">
        <v>311</v>
      </c>
      <c r="B31" s="503">
        <f t="shared" si="0"/>
        <v>50.67</v>
      </c>
      <c r="C31" s="480">
        <v>22.05</v>
      </c>
      <c r="D31" s="480">
        <v>27.43</v>
      </c>
      <c r="E31" s="480">
        <v>0.53</v>
      </c>
      <c r="F31" s="480">
        <v>0.66</v>
      </c>
      <c r="G31" s="480">
        <v>40.85</v>
      </c>
    </row>
    <row r="32" spans="1:7">
      <c r="A32" s="480" t="s">
        <v>295</v>
      </c>
      <c r="B32" s="503">
        <f t="shared" si="0"/>
        <v>48.06</v>
      </c>
      <c r="C32" s="480">
        <v>5.38</v>
      </c>
      <c r="D32" s="480">
        <v>38.17</v>
      </c>
      <c r="E32" s="480">
        <v>3.55</v>
      </c>
      <c r="F32" s="480">
        <v>0.96</v>
      </c>
      <c r="G32" s="480">
        <v>13.72</v>
      </c>
    </row>
    <row r="33" spans="1:7">
      <c r="A33" s="480" t="s">
        <v>411</v>
      </c>
      <c r="B33" s="503">
        <f t="shared" si="0"/>
        <v>84.62</v>
      </c>
      <c r="C33" s="480">
        <v>23.38</v>
      </c>
      <c r="D33" s="480">
        <v>56.96</v>
      </c>
      <c r="E33" s="480">
        <v>0.95</v>
      </c>
      <c r="F33" s="480">
        <v>3.33</v>
      </c>
      <c r="G33" s="480">
        <v>39.840000000000003</v>
      </c>
    </row>
    <row r="34" spans="1:7">
      <c r="A34" s="480" t="s">
        <v>412</v>
      </c>
      <c r="B34" s="503">
        <f t="shared" si="0"/>
        <v>69.86</v>
      </c>
      <c r="C34" s="480">
        <v>12.65</v>
      </c>
      <c r="D34" s="480">
        <v>55.21</v>
      </c>
      <c r="E34" s="480">
        <v>0.72</v>
      </c>
      <c r="F34" s="480">
        <v>1.28</v>
      </c>
      <c r="G34" s="480">
        <v>34.15</v>
      </c>
    </row>
    <row r="35" spans="1:7">
      <c r="A35" s="480" t="s">
        <v>414</v>
      </c>
      <c r="B35" s="503">
        <f t="shared" si="0"/>
        <v>45.45</v>
      </c>
      <c r="C35" s="480">
        <v>5.45</v>
      </c>
      <c r="D35" s="480">
        <v>39.07</v>
      </c>
      <c r="E35" s="480">
        <v>0.88</v>
      </c>
      <c r="F35" s="480">
        <v>0.05</v>
      </c>
      <c r="G35" s="480">
        <v>35.67</v>
      </c>
    </row>
    <row r="36" spans="1:7">
      <c r="A36" s="480" t="s">
        <v>312</v>
      </c>
      <c r="B36" s="503">
        <f t="shared" si="0"/>
        <v>26.79</v>
      </c>
      <c r="C36" s="480">
        <v>17.07</v>
      </c>
      <c r="D36" s="480">
        <v>9.44</v>
      </c>
      <c r="E36" s="480">
        <v>0.17</v>
      </c>
      <c r="F36" s="480">
        <v>0.11</v>
      </c>
      <c r="G36" s="480">
        <v>34.61</v>
      </c>
    </row>
    <row r="37" spans="1:7">
      <c r="A37" s="480" t="s">
        <v>415</v>
      </c>
      <c r="B37" s="503">
        <f t="shared" si="0"/>
        <v>13.920000000000002</v>
      </c>
      <c r="C37" s="480">
        <v>4.07</v>
      </c>
      <c r="D37" s="480">
        <v>0.63</v>
      </c>
      <c r="E37" s="480">
        <v>0.34</v>
      </c>
      <c r="F37" s="480">
        <v>8.8800000000000008</v>
      </c>
      <c r="G37" s="480">
        <v>24.54</v>
      </c>
    </row>
    <row r="38" spans="1:7">
      <c r="A38" s="480" t="s">
        <v>313</v>
      </c>
      <c r="B38" s="503">
        <f t="shared" si="0"/>
        <v>25.2</v>
      </c>
      <c r="C38" s="480">
        <v>12.76</v>
      </c>
      <c r="D38" s="480">
        <v>12.42</v>
      </c>
      <c r="E38" s="480">
        <v>0.02</v>
      </c>
      <c r="F38" s="480">
        <v>0</v>
      </c>
      <c r="G38" s="480">
        <v>26.97</v>
      </c>
    </row>
    <row r="39" spans="1:7">
      <c r="A39" s="480" t="s">
        <v>183</v>
      </c>
      <c r="B39" s="503">
        <f t="shared" si="0"/>
        <v>8.5</v>
      </c>
      <c r="C39" s="480">
        <v>1.36</v>
      </c>
      <c r="D39" s="480">
        <v>0.52</v>
      </c>
      <c r="E39" s="480">
        <v>0.49</v>
      </c>
      <c r="F39" s="480">
        <v>6.13</v>
      </c>
      <c r="G39" s="480">
        <v>1.8</v>
      </c>
    </row>
    <row r="40" spans="1:7">
      <c r="A40" s="480" t="s">
        <v>246</v>
      </c>
      <c r="B40" s="503">
        <f t="shared" si="0"/>
        <v>67.430000000000007</v>
      </c>
      <c r="C40" s="480">
        <v>12.66</v>
      </c>
      <c r="D40" s="480">
        <v>52.13</v>
      </c>
      <c r="E40" s="480">
        <v>1.48</v>
      </c>
      <c r="F40" s="480">
        <v>1.1599999999999999</v>
      </c>
      <c r="G40" s="480">
        <v>12.36</v>
      </c>
    </row>
    <row r="41" spans="1:7">
      <c r="A41" s="480" t="s">
        <v>416</v>
      </c>
      <c r="B41" s="503">
        <f t="shared" si="0"/>
        <v>32.229999999999997</v>
      </c>
      <c r="C41" s="480">
        <v>6.68</v>
      </c>
      <c r="D41" s="480">
        <v>18.91</v>
      </c>
      <c r="E41" s="480">
        <v>1.17</v>
      </c>
      <c r="F41" s="480">
        <v>5.47</v>
      </c>
      <c r="G41" s="480">
        <v>28.41</v>
      </c>
    </row>
    <row r="42" spans="1:7">
      <c r="A42" s="480" t="s">
        <v>417</v>
      </c>
      <c r="B42" s="503">
        <f t="shared" si="0"/>
        <v>51.570000000000007</v>
      </c>
      <c r="C42" s="480">
        <v>6.81</v>
      </c>
      <c r="D42" s="480">
        <v>38.770000000000003</v>
      </c>
      <c r="E42" s="480">
        <v>4.95</v>
      </c>
      <c r="F42" s="480">
        <v>1.04</v>
      </c>
      <c r="G42" s="480">
        <v>25.17</v>
      </c>
    </row>
    <row r="43" spans="1:7">
      <c r="A43" s="480" t="s">
        <v>247</v>
      </c>
      <c r="B43" s="503">
        <f t="shared" si="0"/>
        <v>61.4</v>
      </c>
      <c r="C43" s="480">
        <v>10.14</v>
      </c>
      <c r="D43" s="480">
        <v>46.55</v>
      </c>
      <c r="E43" s="480">
        <v>0.32</v>
      </c>
      <c r="F43" s="480">
        <v>4.3899999999999997</v>
      </c>
      <c r="G43" s="480">
        <v>22.29</v>
      </c>
    </row>
    <row r="44" spans="1:7">
      <c r="A44" s="480" t="s">
        <v>418</v>
      </c>
      <c r="B44" s="503">
        <f t="shared" si="0"/>
        <v>11.75</v>
      </c>
      <c r="C44" s="480">
        <v>0.87</v>
      </c>
      <c r="D44" s="480">
        <v>4.32</v>
      </c>
      <c r="E44" s="480">
        <v>0.62</v>
      </c>
      <c r="F44" s="480">
        <v>5.94</v>
      </c>
      <c r="G44" s="480">
        <v>1.67</v>
      </c>
    </row>
    <row r="45" spans="1:7">
      <c r="A45" s="480" t="s">
        <v>248</v>
      </c>
      <c r="B45" s="503">
        <f t="shared" si="0"/>
        <v>52.43</v>
      </c>
      <c r="C45" s="480">
        <v>23.52</v>
      </c>
      <c r="D45" s="480">
        <v>26.66</v>
      </c>
      <c r="E45" s="480">
        <v>0.84</v>
      </c>
      <c r="F45" s="480">
        <v>1.41</v>
      </c>
      <c r="G45" s="480">
        <v>26.9</v>
      </c>
    </row>
    <row r="46" spans="1:7">
      <c r="A46" s="480" t="s">
        <v>184</v>
      </c>
      <c r="B46" s="503">
        <f t="shared" si="0"/>
        <v>12.65</v>
      </c>
      <c r="C46" s="480">
        <v>6.75</v>
      </c>
      <c r="D46" s="480">
        <v>7.0000000000000007E-2</v>
      </c>
      <c r="E46" s="480">
        <v>5.0999999999999996</v>
      </c>
      <c r="F46" s="480">
        <v>0.73</v>
      </c>
      <c r="G46" s="480">
        <v>3.24</v>
      </c>
    </row>
    <row r="47" spans="1:7">
      <c r="A47" s="480" t="s">
        <v>419</v>
      </c>
      <c r="B47" s="503">
        <f t="shared" si="0"/>
        <v>19.189999999999998</v>
      </c>
      <c r="C47" s="480">
        <v>8.4700000000000006</v>
      </c>
      <c r="D47" s="480">
        <v>9.44</v>
      </c>
      <c r="E47" s="480">
        <v>1.1499999999999999</v>
      </c>
      <c r="F47" s="480">
        <v>0.13</v>
      </c>
      <c r="G47" s="480">
        <v>42.44</v>
      </c>
    </row>
    <row r="48" spans="1:7">
      <c r="A48" s="480" t="s">
        <v>420</v>
      </c>
      <c r="B48" s="503">
        <f t="shared" si="0"/>
        <v>18.240000000000002</v>
      </c>
      <c r="C48" s="480">
        <v>6.43</v>
      </c>
      <c r="D48" s="480">
        <v>11.59</v>
      </c>
      <c r="E48" s="480">
        <v>0.21</v>
      </c>
      <c r="F48" s="480">
        <v>0.01</v>
      </c>
      <c r="G48" s="480">
        <v>37.229999999999997</v>
      </c>
    </row>
    <row r="49" spans="1:7">
      <c r="A49" s="480" t="s">
        <v>314</v>
      </c>
      <c r="B49" s="503">
        <f t="shared" si="0"/>
        <v>27.52</v>
      </c>
      <c r="C49" s="480">
        <v>12.49</v>
      </c>
      <c r="D49" s="480">
        <v>14.64</v>
      </c>
      <c r="E49" s="480">
        <v>0.33</v>
      </c>
      <c r="F49" s="480">
        <v>0.06</v>
      </c>
      <c r="G49" s="480">
        <v>20.49</v>
      </c>
    </row>
    <row r="50" spans="1:7">
      <c r="A50" s="480" t="s">
        <v>224</v>
      </c>
      <c r="B50" s="503">
        <f t="shared" si="0"/>
        <v>13.379999999999999</v>
      </c>
      <c r="C50" s="480">
        <v>11.42</v>
      </c>
      <c r="D50" s="480">
        <v>0.01</v>
      </c>
      <c r="E50" s="480">
        <v>0.76</v>
      </c>
      <c r="F50" s="480">
        <v>1.19</v>
      </c>
      <c r="G50" s="480">
        <v>17.38</v>
      </c>
    </row>
    <row r="51" spans="1:7">
      <c r="A51" s="480" t="s">
        <v>315</v>
      </c>
      <c r="B51" s="503">
        <f t="shared" si="0"/>
        <v>11.01</v>
      </c>
      <c r="C51" s="480">
        <v>6.65</v>
      </c>
      <c r="D51" s="480">
        <v>4.34</v>
      </c>
      <c r="E51" s="480">
        <v>0.02</v>
      </c>
      <c r="F51" s="480">
        <v>0</v>
      </c>
      <c r="G51" s="480">
        <v>24.05</v>
      </c>
    </row>
    <row r="52" spans="1:7">
      <c r="A52" s="480" t="s">
        <v>249</v>
      </c>
      <c r="B52" s="503">
        <f t="shared" si="0"/>
        <v>47</v>
      </c>
      <c r="C52" s="480">
        <v>8.64</v>
      </c>
      <c r="D52" s="480">
        <v>37.76</v>
      </c>
      <c r="E52" s="480">
        <v>0.47</v>
      </c>
      <c r="F52" s="480">
        <v>0.13</v>
      </c>
      <c r="G52" s="480">
        <v>22.17</v>
      </c>
    </row>
    <row r="53" spans="1:7">
      <c r="A53" s="480" t="s">
        <v>421</v>
      </c>
      <c r="B53" s="503">
        <f t="shared" si="0"/>
        <v>19.720000000000002</v>
      </c>
      <c r="C53" s="480">
        <v>15.42</v>
      </c>
      <c r="D53" s="480">
        <v>2.02</v>
      </c>
      <c r="E53" s="480">
        <v>1.98</v>
      </c>
      <c r="F53" s="480">
        <v>0.3</v>
      </c>
      <c r="G53" s="480">
        <v>6.9</v>
      </c>
    </row>
    <row r="54" spans="1:7">
      <c r="A54" s="480" t="s">
        <v>187</v>
      </c>
      <c r="B54" s="503">
        <f t="shared" si="0"/>
        <v>6.3900000000000006</v>
      </c>
      <c r="C54" s="480">
        <v>3.71</v>
      </c>
      <c r="D54" s="480">
        <v>0.03</v>
      </c>
      <c r="E54" s="480">
        <v>1.59</v>
      </c>
      <c r="F54" s="480">
        <v>1.06</v>
      </c>
      <c r="G54" s="480">
        <v>0.69</v>
      </c>
    </row>
    <row r="55" spans="1:7">
      <c r="A55" s="480" t="s">
        <v>422</v>
      </c>
      <c r="B55" s="503">
        <f t="shared" si="0"/>
        <v>15.67</v>
      </c>
      <c r="C55" s="480">
        <v>4.62</v>
      </c>
      <c r="D55" s="480">
        <v>4.8499999999999996</v>
      </c>
      <c r="E55" s="480">
        <v>6.19</v>
      </c>
      <c r="F55" s="480">
        <v>0.01</v>
      </c>
      <c r="G55" s="480">
        <v>23.76</v>
      </c>
    </row>
    <row r="56" spans="1:7">
      <c r="A56" s="480" t="s">
        <v>250</v>
      </c>
      <c r="B56" s="503">
        <f t="shared" si="0"/>
        <v>58.720000000000006</v>
      </c>
      <c r="C56" s="480">
        <v>19.260000000000002</v>
      </c>
      <c r="D56" s="480">
        <v>37.69</v>
      </c>
      <c r="E56" s="480">
        <v>0.56999999999999995</v>
      </c>
      <c r="F56" s="480">
        <v>1.2</v>
      </c>
      <c r="G56" s="480">
        <v>19.399999999999999</v>
      </c>
    </row>
    <row r="57" spans="1:7">
      <c r="A57" s="480" t="s">
        <v>251</v>
      </c>
      <c r="B57" s="503">
        <f t="shared" si="0"/>
        <v>55.99</v>
      </c>
      <c r="C57" s="480">
        <v>20.69</v>
      </c>
      <c r="D57" s="480">
        <v>31.45</v>
      </c>
      <c r="E57" s="480">
        <v>2.74</v>
      </c>
      <c r="F57" s="480">
        <v>1.1100000000000001</v>
      </c>
      <c r="G57" s="480">
        <v>22.99</v>
      </c>
    </row>
    <row r="58" spans="1:7">
      <c r="A58" s="480" t="s">
        <v>423</v>
      </c>
      <c r="B58" s="503">
        <f t="shared" si="0"/>
        <v>42.57</v>
      </c>
      <c r="C58" s="480">
        <v>22.25</v>
      </c>
      <c r="D58" s="480">
        <v>15.95</v>
      </c>
      <c r="E58" s="480">
        <v>2.97</v>
      </c>
      <c r="F58" s="480">
        <v>1.4</v>
      </c>
      <c r="G58" s="480">
        <v>48.86</v>
      </c>
    </row>
    <row r="59" spans="1:7">
      <c r="A59" s="480" t="s">
        <v>188</v>
      </c>
      <c r="B59" s="503">
        <f t="shared" si="0"/>
        <v>27.41</v>
      </c>
      <c r="C59" s="480">
        <v>6.11</v>
      </c>
      <c r="D59" s="480">
        <v>6.03</v>
      </c>
      <c r="E59" s="480">
        <v>0.69</v>
      </c>
      <c r="F59" s="480">
        <v>14.58</v>
      </c>
      <c r="G59" s="480">
        <v>29.64</v>
      </c>
    </row>
    <row r="60" spans="1:7">
      <c r="A60" s="480" t="s">
        <v>424</v>
      </c>
      <c r="B60" s="503">
        <f t="shared" si="0"/>
        <v>4.6800000000000006</v>
      </c>
      <c r="C60" s="480">
        <v>2.99</v>
      </c>
      <c r="D60" s="480">
        <v>0.24</v>
      </c>
      <c r="E60" s="480">
        <v>0.74</v>
      </c>
      <c r="F60" s="480">
        <v>0.71</v>
      </c>
      <c r="G60" s="480">
        <v>3.79</v>
      </c>
    </row>
    <row r="61" spans="1:7">
      <c r="A61" s="480" t="s">
        <v>282</v>
      </c>
      <c r="B61" s="503">
        <f t="shared" si="0"/>
        <v>17.479999999999997</v>
      </c>
      <c r="C61" s="480">
        <v>6.34</v>
      </c>
      <c r="D61" s="480">
        <v>10.199999999999999</v>
      </c>
      <c r="E61" s="480">
        <v>0.81</v>
      </c>
      <c r="F61" s="480">
        <v>0.13</v>
      </c>
      <c r="G61" s="480">
        <v>16.52</v>
      </c>
    </row>
    <row r="62" spans="1:7">
      <c r="A62" s="480" t="s">
        <v>252</v>
      </c>
      <c r="B62" s="503">
        <f t="shared" si="0"/>
        <v>60.6</v>
      </c>
      <c r="C62" s="480">
        <v>14.79</v>
      </c>
      <c r="D62" s="480">
        <v>43.2</v>
      </c>
      <c r="E62" s="480">
        <v>0.82</v>
      </c>
      <c r="F62" s="480">
        <v>1.79</v>
      </c>
      <c r="G62" s="480">
        <v>18.149999999999999</v>
      </c>
    </row>
    <row r="63" spans="1:7">
      <c r="A63" s="480" t="s">
        <v>190</v>
      </c>
      <c r="B63" s="503">
        <f t="shared" si="0"/>
        <v>6.1999999999999993</v>
      </c>
      <c r="C63" s="480">
        <v>0.94</v>
      </c>
      <c r="D63" s="480">
        <v>0.86</v>
      </c>
      <c r="E63" s="480">
        <v>1.59</v>
      </c>
      <c r="F63" s="480">
        <v>2.81</v>
      </c>
      <c r="G63" s="480">
        <v>9.06</v>
      </c>
    </row>
    <row r="64" spans="1:7">
      <c r="A64" s="480" t="s">
        <v>253</v>
      </c>
      <c r="B64" s="503">
        <f t="shared" si="0"/>
        <v>53.199999999999996</v>
      </c>
      <c r="C64" s="480">
        <v>15.68</v>
      </c>
      <c r="D64" s="480">
        <v>29.09</v>
      </c>
      <c r="E64" s="480">
        <v>6.64</v>
      </c>
      <c r="F64" s="480">
        <v>1.79</v>
      </c>
      <c r="G64" s="480">
        <v>20.010000000000002</v>
      </c>
    </row>
    <row r="65" spans="1:7">
      <c r="A65" s="480" t="s">
        <v>425</v>
      </c>
      <c r="B65" s="503">
        <f t="shared" si="0"/>
        <v>13.68</v>
      </c>
      <c r="C65" s="480">
        <v>3.2</v>
      </c>
      <c r="D65" s="480">
        <v>8.7100000000000009</v>
      </c>
      <c r="E65" s="480">
        <v>1.36</v>
      </c>
      <c r="F65" s="480">
        <v>0.41</v>
      </c>
      <c r="G65" s="480">
        <v>42.76</v>
      </c>
    </row>
    <row r="66" spans="1:7">
      <c r="A66" s="480" t="s">
        <v>316</v>
      </c>
      <c r="B66" s="503">
        <f t="shared" si="0"/>
        <v>16.419999999999998</v>
      </c>
      <c r="C66" s="480">
        <v>11.27</v>
      </c>
      <c r="D66" s="480">
        <v>4.87</v>
      </c>
      <c r="E66" s="480">
        <v>0.13</v>
      </c>
      <c r="F66" s="480">
        <v>0.15</v>
      </c>
      <c r="G66" s="480">
        <v>18.45</v>
      </c>
    </row>
    <row r="67" spans="1:7">
      <c r="A67" s="480" t="s">
        <v>191</v>
      </c>
      <c r="B67" s="503">
        <f t="shared" si="0"/>
        <v>10.39</v>
      </c>
      <c r="C67" s="480">
        <v>7.76</v>
      </c>
      <c r="D67" s="480">
        <v>0.16</v>
      </c>
      <c r="E67" s="480">
        <v>1.97</v>
      </c>
      <c r="F67" s="480">
        <v>0.5</v>
      </c>
      <c r="G67" s="480">
        <v>2.2000000000000002</v>
      </c>
    </row>
    <row r="68" spans="1:7">
      <c r="A68" s="480" t="s">
        <v>192</v>
      </c>
      <c r="B68" s="503">
        <f t="shared" si="0"/>
        <v>13.84</v>
      </c>
      <c r="C68" s="480">
        <v>4.0999999999999996</v>
      </c>
      <c r="D68" s="480">
        <v>8.25</v>
      </c>
      <c r="E68" s="480">
        <v>1.49</v>
      </c>
      <c r="F68" s="480">
        <v>0</v>
      </c>
      <c r="G68" s="480">
        <v>2.2000000000000002</v>
      </c>
    </row>
    <row r="69" spans="1:7">
      <c r="A69" s="480" t="s">
        <v>317</v>
      </c>
      <c r="B69" s="503">
        <f t="shared" si="0"/>
        <v>6.9099999999999993</v>
      </c>
      <c r="C69" s="480">
        <v>3.32</v>
      </c>
      <c r="D69" s="480">
        <v>2.36</v>
      </c>
      <c r="E69" s="480">
        <v>1.1000000000000001</v>
      </c>
      <c r="F69" s="480">
        <v>0.13</v>
      </c>
      <c r="G69" s="480">
        <v>38.68</v>
      </c>
    </row>
    <row r="70" spans="1:7">
      <c r="A70" s="480" t="s">
        <v>426</v>
      </c>
      <c r="B70" s="503">
        <f t="shared" si="0"/>
        <v>9.0899999999999981</v>
      </c>
      <c r="C70" s="480">
        <v>4.3499999999999996</v>
      </c>
      <c r="D70" s="480">
        <v>3.71</v>
      </c>
      <c r="E70" s="480">
        <v>0.62</v>
      </c>
      <c r="F70" s="480">
        <v>0.41</v>
      </c>
      <c r="G70" s="480">
        <v>8.65</v>
      </c>
    </row>
    <row r="71" spans="1:7">
      <c r="A71" s="480" t="s">
        <v>318</v>
      </c>
      <c r="B71" s="503">
        <f t="shared" si="0"/>
        <v>11.57</v>
      </c>
      <c r="C71" s="480">
        <v>6.75</v>
      </c>
      <c r="D71" s="480">
        <v>4.78</v>
      </c>
      <c r="E71" s="480">
        <v>0.03</v>
      </c>
      <c r="F71" s="480">
        <v>0.01</v>
      </c>
      <c r="G71" s="480">
        <v>23.2</v>
      </c>
    </row>
    <row r="72" spans="1:7">
      <c r="A72" s="480" t="s">
        <v>254</v>
      </c>
      <c r="B72" s="503">
        <f t="shared" si="0"/>
        <v>58.480000000000004</v>
      </c>
      <c r="C72" s="480">
        <v>4.4800000000000004</v>
      </c>
      <c r="D72" s="480">
        <v>53.53</v>
      </c>
      <c r="E72" s="480">
        <v>0.15</v>
      </c>
      <c r="F72" s="480">
        <v>0.32</v>
      </c>
      <c r="G72" s="480">
        <v>25.46</v>
      </c>
    </row>
    <row r="73" spans="1:7">
      <c r="A73" s="480" t="s">
        <v>255</v>
      </c>
      <c r="B73" s="503">
        <f t="shared" si="0"/>
        <v>60.529999999999994</v>
      </c>
      <c r="C73" s="480">
        <v>14.89</v>
      </c>
      <c r="D73" s="480">
        <v>20.91</v>
      </c>
      <c r="E73" s="480">
        <v>22</v>
      </c>
      <c r="F73" s="480">
        <v>2.73</v>
      </c>
      <c r="G73" s="480">
        <v>30.86</v>
      </c>
    </row>
    <row r="74" spans="1:7">
      <c r="A74" s="480" t="s">
        <v>237</v>
      </c>
      <c r="B74" s="503">
        <f t="shared" si="0"/>
        <v>1.79</v>
      </c>
      <c r="C74" s="480">
        <v>1.04</v>
      </c>
      <c r="D74" s="480">
        <v>0.22</v>
      </c>
      <c r="E74" s="480">
        <v>0.53</v>
      </c>
      <c r="F74" s="480">
        <v>0</v>
      </c>
      <c r="G74" s="480">
        <v>2.3199999999999998</v>
      </c>
    </row>
    <row r="75" spans="1:7">
      <c r="A75" s="480" t="s">
        <v>296</v>
      </c>
      <c r="B75" s="503">
        <f t="shared" si="0"/>
        <v>4.51</v>
      </c>
      <c r="C75" s="480">
        <v>2.83</v>
      </c>
      <c r="D75" s="480">
        <v>1.22</v>
      </c>
      <c r="E75" s="480">
        <v>0.45</v>
      </c>
      <c r="F75" s="480">
        <v>0.01</v>
      </c>
      <c r="G75" s="480">
        <v>7.92</v>
      </c>
    </row>
    <row r="76" spans="1:7">
      <c r="A76" s="480" t="s">
        <v>427</v>
      </c>
      <c r="B76" s="503">
        <f t="shared" si="0"/>
        <v>9.8999999999999986</v>
      </c>
      <c r="C76" s="480">
        <v>4.72</v>
      </c>
      <c r="D76" s="480">
        <v>0</v>
      </c>
      <c r="E76" s="480">
        <v>5.0199999999999996</v>
      </c>
      <c r="F76" s="480">
        <v>0.16</v>
      </c>
      <c r="G76" s="480">
        <v>27.24</v>
      </c>
    </row>
    <row r="77" spans="1:7">
      <c r="A77" s="480" t="s">
        <v>226</v>
      </c>
      <c r="B77" s="503">
        <f t="shared" si="0"/>
        <v>4.7299999999999995</v>
      </c>
      <c r="C77" s="480">
        <v>2.97</v>
      </c>
      <c r="D77" s="480">
        <v>0</v>
      </c>
      <c r="E77" s="480">
        <v>1.7</v>
      </c>
      <c r="F77" s="480">
        <v>0.06</v>
      </c>
      <c r="G77" s="480">
        <v>9.44</v>
      </c>
    </row>
    <row r="78" spans="1:7">
      <c r="A78" s="480" t="s">
        <v>256</v>
      </c>
      <c r="B78" s="503">
        <f t="shared" si="0"/>
        <v>53.480000000000004</v>
      </c>
      <c r="C78" s="480">
        <v>20.39</v>
      </c>
      <c r="D78" s="480">
        <v>29.42</v>
      </c>
      <c r="E78" s="480">
        <v>3.42</v>
      </c>
      <c r="F78" s="480">
        <v>0.25</v>
      </c>
      <c r="G78" s="480">
        <v>24.48</v>
      </c>
    </row>
    <row r="79" spans="1:7">
      <c r="A79" s="480" t="s">
        <v>227</v>
      </c>
      <c r="B79" s="503">
        <f t="shared" si="0"/>
        <v>30.550000000000004</v>
      </c>
      <c r="C79" s="480">
        <v>27.44</v>
      </c>
      <c r="D79" s="480">
        <v>1.34</v>
      </c>
      <c r="E79" s="480">
        <v>1.76</v>
      </c>
      <c r="F79" s="480">
        <v>0.01</v>
      </c>
      <c r="G79" s="480">
        <v>67.540000000000006</v>
      </c>
    </row>
    <row r="80" spans="1:7">
      <c r="A80" s="480" t="s">
        <v>257</v>
      </c>
      <c r="B80" s="503">
        <f t="shared" si="0"/>
        <v>62.800000000000004</v>
      </c>
      <c r="C80" s="480">
        <v>16.600000000000001</v>
      </c>
      <c r="D80" s="480">
        <v>43.63</v>
      </c>
      <c r="E80" s="480">
        <v>0.87</v>
      </c>
      <c r="F80" s="480">
        <v>1.7</v>
      </c>
      <c r="G80" s="480">
        <v>18.89</v>
      </c>
    </row>
    <row r="81" spans="1:7">
      <c r="A81" s="480" t="s">
        <v>428</v>
      </c>
      <c r="B81" s="503">
        <f t="shared" si="0"/>
        <v>8.4600000000000009</v>
      </c>
      <c r="C81" s="480">
        <v>4</v>
      </c>
      <c r="D81" s="480">
        <v>3.48</v>
      </c>
      <c r="E81" s="480">
        <v>0.9</v>
      </c>
      <c r="F81" s="480">
        <v>0.08</v>
      </c>
      <c r="G81" s="480">
        <v>51.57</v>
      </c>
    </row>
    <row r="82" spans="1:7">
      <c r="A82" s="480" t="s">
        <v>297</v>
      </c>
      <c r="B82" s="503">
        <f t="shared" si="0"/>
        <v>31.29</v>
      </c>
      <c r="C82" s="480">
        <v>9.59</v>
      </c>
      <c r="D82" s="480">
        <v>21.45</v>
      </c>
      <c r="E82" s="480">
        <v>0.15</v>
      </c>
      <c r="F82" s="480">
        <v>0.1</v>
      </c>
      <c r="G82" s="480">
        <v>18.78</v>
      </c>
    </row>
    <row r="83" spans="1:7">
      <c r="A83" s="480" t="s">
        <v>228</v>
      </c>
      <c r="B83" s="503">
        <f t="shared" si="0"/>
        <v>9.58</v>
      </c>
      <c r="C83" s="480">
        <v>4.88</v>
      </c>
      <c r="D83" s="480">
        <v>0.01</v>
      </c>
      <c r="E83" s="480">
        <v>4.63</v>
      </c>
      <c r="F83" s="480">
        <v>0.06</v>
      </c>
      <c r="G83" s="480">
        <v>24.75</v>
      </c>
    </row>
    <row r="84" spans="1:7">
      <c r="A84" s="480" t="s">
        <v>283</v>
      </c>
      <c r="B84" s="503">
        <f t="shared" si="0"/>
        <v>46.59</v>
      </c>
      <c r="C84" s="480">
        <v>24.43</v>
      </c>
      <c r="D84" s="480">
        <v>7.1</v>
      </c>
      <c r="E84" s="480">
        <v>9.25</v>
      </c>
      <c r="F84" s="480">
        <v>5.81</v>
      </c>
      <c r="G84" s="480">
        <v>18.62</v>
      </c>
    </row>
    <row r="85" spans="1:7">
      <c r="A85" s="480" t="s">
        <v>193</v>
      </c>
      <c r="B85" s="503">
        <f t="shared" si="0"/>
        <v>14.96</v>
      </c>
      <c r="C85" s="480">
        <v>11.14</v>
      </c>
      <c r="D85" s="480">
        <v>0.31</v>
      </c>
      <c r="E85" s="480">
        <v>1.38</v>
      </c>
      <c r="F85" s="480">
        <v>2.13</v>
      </c>
      <c r="G85" s="480">
        <v>0.61</v>
      </c>
    </row>
    <row r="86" spans="1:7">
      <c r="A86" s="480" t="s">
        <v>429</v>
      </c>
      <c r="B86" s="503">
        <f t="shared" si="0"/>
        <v>13.399999999999999</v>
      </c>
      <c r="C86" s="480">
        <v>2.5299999999999998</v>
      </c>
      <c r="D86" s="480">
        <v>10.66</v>
      </c>
      <c r="E86" s="480">
        <v>0.1</v>
      </c>
      <c r="F86" s="480">
        <v>0.11</v>
      </c>
      <c r="G86" s="480">
        <v>16.05</v>
      </c>
    </row>
    <row r="87" spans="1:7">
      <c r="A87" s="480" t="s">
        <v>229</v>
      </c>
      <c r="B87" s="503">
        <f t="shared" si="0"/>
        <v>22.1</v>
      </c>
      <c r="C87" s="480">
        <v>7.89</v>
      </c>
      <c r="E87" s="480">
        <v>12.77</v>
      </c>
      <c r="F87" s="480">
        <v>1.44</v>
      </c>
      <c r="G87" s="480">
        <v>47.97</v>
      </c>
    </row>
    <row r="88" spans="1:7">
      <c r="A88" s="480" t="s">
        <v>430</v>
      </c>
      <c r="B88" s="503">
        <f t="shared" si="0"/>
        <v>26.930000000000003</v>
      </c>
      <c r="C88" s="480">
        <v>13.98</v>
      </c>
      <c r="D88" s="480">
        <v>2.68</v>
      </c>
      <c r="E88" s="480">
        <v>8.76</v>
      </c>
      <c r="F88" s="480">
        <v>1.51</v>
      </c>
      <c r="G88" s="480">
        <v>3.39</v>
      </c>
    </row>
    <row r="89" spans="1:7">
      <c r="A89" s="480" t="s">
        <v>431</v>
      </c>
      <c r="B89" s="503">
        <f t="shared" si="0"/>
        <v>18.310000000000002</v>
      </c>
      <c r="C89" s="480">
        <v>7.59</v>
      </c>
      <c r="D89" s="480">
        <v>10.44</v>
      </c>
      <c r="E89" s="480">
        <v>0.28000000000000003</v>
      </c>
      <c r="F89" s="480">
        <v>0</v>
      </c>
      <c r="G89" s="480">
        <v>5.8</v>
      </c>
    </row>
    <row r="90" spans="1:7">
      <c r="A90" s="480" t="s">
        <v>258</v>
      </c>
      <c r="B90" s="503">
        <f t="shared" si="0"/>
        <v>50.24</v>
      </c>
      <c r="C90" s="480">
        <v>5.73</v>
      </c>
      <c r="D90" s="480">
        <v>43.63</v>
      </c>
      <c r="E90" s="480">
        <v>0.38</v>
      </c>
      <c r="F90" s="480">
        <v>0.5</v>
      </c>
      <c r="G90" s="480">
        <v>21.03</v>
      </c>
    </row>
    <row r="91" spans="1:7">
      <c r="A91" s="480" t="s">
        <v>230</v>
      </c>
      <c r="B91" s="503">
        <f t="shared" si="0"/>
        <v>12.16</v>
      </c>
      <c r="C91" s="480">
        <v>9.6999999999999993</v>
      </c>
      <c r="D91" s="480">
        <v>0.9</v>
      </c>
      <c r="E91" s="480">
        <v>1.55</v>
      </c>
      <c r="F91" s="480">
        <v>0.01</v>
      </c>
      <c r="G91" s="480">
        <v>17.829999999999998</v>
      </c>
    </row>
    <row r="92" spans="1:7">
      <c r="A92" s="480" t="s">
        <v>194</v>
      </c>
      <c r="B92" s="503">
        <f t="shared" si="0"/>
        <v>20.77</v>
      </c>
      <c r="C92" s="480">
        <v>7.5</v>
      </c>
      <c r="D92" s="480">
        <v>5.66</v>
      </c>
      <c r="E92" s="480">
        <v>3.64</v>
      </c>
      <c r="F92" s="480">
        <v>3.97</v>
      </c>
      <c r="G92" s="480">
        <v>7.84</v>
      </c>
    </row>
    <row r="93" spans="1:7">
      <c r="A93" s="480" t="s">
        <v>195</v>
      </c>
      <c r="B93" s="503">
        <f t="shared" si="0"/>
        <v>7.3599999999999994</v>
      </c>
      <c r="C93" s="480">
        <v>0.52</v>
      </c>
      <c r="D93" s="480">
        <v>4.41</v>
      </c>
      <c r="E93" s="480">
        <v>0.47</v>
      </c>
      <c r="F93" s="480">
        <v>1.96</v>
      </c>
      <c r="G93" s="480">
        <v>14.69</v>
      </c>
    </row>
    <row r="94" spans="1:7">
      <c r="A94" s="480" t="s">
        <v>259</v>
      </c>
      <c r="B94" s="503">
        <f t="shared" si="0"/>
        <v>54.660000000000004</v>
      </c>
      <c r="C94" s="480">
        <v>5.36</v>
      </c>
      <c r="D94" s="480">
        <v>48.39</v>
      </c>
      <c r="E94" s="480">
        <v>0.38</v>
      </c>
      <c r="F94" s="480">
        <v>0.53</v>
      </c>
      <c r="G94" s="480">
        <v>29.04</v>
      </c>
    </row>
    <row r="95" spans="1:7">
      <c r="A95" s="480" t="s">
        <v>260</v>
      </c>
      <c r="B95" s="503">
        <f t="shared" si="0"/>
        <v>62.699999999999996</v>
      </c>
      <c r="C95" s="480">
        <v>25.16</v>
      </c>
      <c r="D95" s="480">
        <v>34.409999999999997</v>
      </c>
      <c r="E95" s="480">
        <v>1.31</v>
      </c>
      <c r="F95" s="480">
        <v>1.82</v>
      </c>
      <c r="G95" s="480">
        <v>18.96</v>
      </c>
    </row>
    <row r="96" spans="1:7">
      <c r="A96" s="480" t="s">
        <v>196</v>
      </c>
      <c r="B96" s="503">
        <f t="shared" si="0"/>
        <v>10.24</v>
      </c>
      <c r="C96" s="480">
        <v>6.87</v>
      </c>
      <c r="D96" s="480">
        <v>2.5299999999999998</v>
      </c>
      <c r="E96" s="480">
        <v>0.52</v>
      </c>
      <c r="F96" s="480">
        <v>0.32</v>
      </c>
      <c r="G96" s="480">
        <v>3.05</v>
      </c>
    </row>
    <row r="97" spans="1:7">
      <c r="A97" s="480" t="s">
        <v>197</v>
      </c>
      <c r="B97" s="503">
        <f t="shared" si="0"/>
        <v>9.34</v>
      </c>
      <c r="C97" s="480">
        <v>2.6</v>
      </c>
      <c r="D97" s="480">
        <v>4.5599999999999996</v>
      </c>
      <c r="E97" s="480">
        <v>2.1800000000000002</v>
      </c>
      <c r="F97" s="480">
        <v>0</v>
      </c>
      <c r="G97" s="480">
        <v>3.35</v>
      </c>
    </row>
    <row r="98" spans="1:7">
      <c r="A98" s="480" t="s">
        <v>298</v>
      </c>
      <c r="B98" s="503">
        <f t="shared" si="0"/>
        <v>14.75</v>
      </c>
      <c r="C98" s="480">
        <v>5.75</v>
      </c>
      <c r="D98" s="480">
        <v>8.15</v>
      </c>
      <c r="E98" s="480">
        <v>0.84</v>
      </c>
      <c r="F98" s="480">
        <v>0.01</v>
      </c>
      <c r="G98" s="480">
        <v>39.04</v>
      </c>
    </row>
    <row r="99" spans="1:7">
      <c r="A99" s="480" t="s">
        <v>432</v>
      </c>
      <c r="B99" s="503">
        <f t="shared" si="0"/>
        <v>8.4100000000000019</v>
      </c>
      <c r="C99" s="480">
        <v>6.3</v>
      </c>
      <c r="D99" s="480">
        <v>0.86</v>
      </c>
      <c r="E99" s="480">
        <v>1.1200000000000001</v>
      </c>
      <c r="F99" s="480">
        <v>0.13</v>
      </c>
      <c r="G99" s="480">
        <v>13.16</v>
      </c>
    </row>
    <row r="100" spans="1:7">
      <c r="A100" s="480" t="s">
        <v>198</v>
      </c>
      <c r="B100" s="503">
        <f t="shared" si="0"/>
        <v>18.34</v>
      </c>
      <c r="C100" s="480">
        <v>7.98</v>
      </c>
      <c r="D100" s="480">
        <v>0.14000000000000001</v>
      </c>
      <c r="E100" s="480">
        <v>7.54</v>
      </c>
      <c r="F100" s="480">
        <v>2.68</v>
      </c>
      <c r="G100" s="480">
        <v>2.4700000000000002</v>
      </c>
    </row>
    <row r="101" spans="1:7">
      <c r="A101" s="480" t="s">
        <v>261</v>
      </c>
      <c r="B101" s="503">
        <f t="shared" si="0"/>
        <v>51.3</v>
      </c>
      <c r="C101" s="480">
        <v>18.46</v>
      </c>
      <c r="D101" s="480">
        <v>25.79</v>
      </c>
      <c r="E101" s="480">
        <v>1.4</v>
      </c>
      <c r="F101" s="480">
        <v>5.65</v>
      </c>
      <c r="G101" s="480">
        <v>26.57</v>
      </c>
    </row>
    <row r="102" spans="1:7">
      <c r="A102" s="480" t="s">
        <v>199</v>
      </c>
      <c r="B102" s="503">
        <f t="shared" si="0"/>
        <v>25.92</v>
      </c>
      <c r="C102" s="480">
        <v>7</v>
      </c>
      <c r="D102" s="480">
        <v>0.01</v>
      </c>
      <c r="E102" s="480">
        <v>12.63</v>
      </c>
      <c r="F102" s="480">
        <v>6.28</v>
      </c>
      <c r="G102" s="480">
        <v>5.14</v>
      </c>
    </row>
    <row r="103" spans="1:7">
      <c r="A103" s="480" t="s">
        <v>200</v>
      </c>
      <c r="B103" s="503">
        <f t="shared" si="0"/>
        <v>13.18</v>
      </c>
      <c r="C103" s="480">
        <v>4.1900000000000004</v>
      </c>
      <c r="D103" s="480">
        <v>4.04</v>
      </c>
      <c r="E103" s="480">
        <v>4.18</v>
      </c>
      <c r="F103" s="480">
        <v>0.77</v>
      </c>
      <c r="G103" s="480">
        <v>39.590000000000003</v>
      </c>
    </row>
    <row r="104" spans="1:7">
      <c r="A104" s="480" t="s">
        <v>319</v>
      </c>
      <c r="B104" s="503">
        <f t="shared" si="0"/>
        <v>34.800000000000004</v>
      </c>
      <c r="C104" s="480">
        <v>15.06</v>
      </c>
      <c r="D104" s="480">
        <v>18.18</v>
      </c>
      <c r="E104" s="480">
        <v>0.92</v>
      </c>
      <c r="F104" s="480">
        <v>0.64</v>
      </c>
      <c r="G104" s="480">
        <v>34.46</v>
      </c>
    </row>
    <row r="105" spans="1:7">
      <c r="A105" s="480" t="s">
        <v>285</v>
      </c>
      <c r="B105" s="503">
        <f t="shared" si="0"/>
        <v>82.039999999999992</v>
      </c>
      <c r="C105" s="480">
        <v>21.09</v>
      </c>
      <c r="D105" s="480">
        <v>1.1299999999999999</v>
      </c>
      <c r="E105" s="480">
        <v>49.53</v>
      </c>
      <c r="F105" s="480">
        <v>10.29</v>
      </c>
      <c r="G105" s="480">
        <v>2.95</v>
      </c>
    </row>
    <row r="106" spans="1:7">
      <c r="A106" s="480" t="s">
        <v>262</v>
      </c>
      <c r="B106" s="503">
        <f t="shared" si="0"/>
        <v>61.44</v>
      </c>
      <c r="C106" s="480">
        <v>13.78</v>
      </c>
      <c r="D106" s="480">
        <v>45.25</v>
      </c>
      <c r="E106" s="480">
        <v>2.37</v>
      </c>
      <c r="F106" s="480">
        <v>0.04</v>
      </c>
      <c r="G106" s="480">
        <v>16.64</v>
      </c>
    </row>
    <row r="107" spans="1:7">
      <c r="A107" s="480" t="s">
        <v>220</v>
      </c>
      <c r="B107" s="503">
        <f t="shared" si="0"/>
        <v>13.92</v>
      </c>
      <c r="C107" s="480">
        <v>7.07</v>
      </c>
      <c r="D107" s="480">
        <v>0.02</v>
      </c>
      <c r="E107" s="480">
        <v>5</v>
      </c>
      <c r="F107" s="480">
        <v>1.83</v>
      </c>
      <c r="G107" s="480">
        <v>20.260000000000002</v>
      </c>
    </row>
    <row r="108" spans="1:7">
      <c r="A108" s="480" t="s">
        <v>201</v>
      </c>
      <c r="B108" s="503">
        <f t="shared" si="0"/>
        <v>5.839999999999999</v>
      </c>
      <c r="C108" s="480">
        <v>0.6</v>
      </c>
      <c r="D108" s="480">
        <v>4.38</v>
      </c>
      <c r="E108" s="480">
        <v>0.85</v>
      </c>
      <c r="F108" s="480">
        <v>0.01</v>
      </c>
      <c r="G108" s="480">
        <v>3.8</v>
      </c>
    </row>
    <row r="109" spans="1:7">
      <c r="A109" s="480" t="s">
        <v>299</v>
      </c>
      <c r="B109" s="503">
        <f t="shared" si="0"/>
        <v>18.88</v>
      </c>
      <c r="C109" s="480">
        <v>5.56</v>
      </c>
      <c r="D109" s="480">
        <v>12.3</v>
      </c>
      <c r="E109" s="480">
        <v>1.02</v>
      </c>
      <c r="F109" s="480">
        <v>0</v>
      </c>
      <c r="G109" s="480">
        <v>29.1</v>
      </c>
    </row>
    <row r="110" spans="1:7">
      <c r="A110" s="480" t="s">
        <v>202</v>
      </c>
      <c r="B110" s="503">
        <f t="shared" si="0"/>
        <v>21.2</v>
      </c>
      <c r="C110" s="480">
        <v>8.89</v>
      </c>
      <c r="D110" s="480">
        <v>3.83</v>
      </c>
      <c r="E110" s="480">
        <v>3.5</v>
      </c>
      <c r="F110" s="480">
        <v>4.9800000000000004</v>
      </c>
      <c r="G110" s="480">
        <v>9.91</v>
      </c>
    </row>
    <row r="111" spans="1:7">
      <c r="A111" s="480" t="s">
        <v>238</v>
      </c>
      <c r="B111" s="503">
        <f t="shared" si="0"/>
        <v>11.920000000000002</v>
      </c>
      <c r="C111" s="480">
        <v>8.3800000000000008</v>
      </c>
      <c r="D111" s="480">
        <v>0.84</v>
      </c>
      <c r="E111" s="480">
        <v>2.7</v>
      </c>
      <c r="F111" s="480">
        <v>0</v>
      </c>
      <c r="G111" s="480">
        <v>2.06</v>
      </c>
    </row>
    <row r="112" spans="1:7">
      <c r="A112" s="480" t="s">
        <v>263</v>
      </c>
      <c r="B112" s="503">
        <f t="shared" si="0"/>
        <v>56.070000000000007</v>
      </c>
      <c r="C112" s="480">
        <v>16.8</v>
      </c>
      <c r="D112" s="480">
        <v>35.96</v>
      </c>
      <c r="E112" s="480">
        <v>1.02</v>
      </c>
      <c r="F112" s="480">
        <v>2.29</v>
      </c>
      <c r="G112" s="480">
        <v>13.11</v>
      </c>
    </row>
    <row r="113" spans="1:7">
      <c r="A113" s="480" t="s">
        <v>433</v>
      </c>
      <c r="B113" s="503">
        <f t="shared" si="0"/>
        <v>36.620000000000005</v>
      </c>
      <c r="C113" s="480">
        <v>19.440000000000001</v>
      </c>
      <c r="D113" s="480">
        <v>15.46</v>
      </c>
      <c r="E113" s="480">
        <v>1.71</v>
      </c>
      <c r="F113" s="480">
        <v>0.01</v>
      </c>
      <c r="G113" s="480">
        <v>34.76</v>
      </c>
    </row>
    <row r="114" spans="1:7">
      <c r="A114" s="480" t="s">
        <v>300</v>
      </c>
      <c r="B114" s="503">
        <f t="shared" si="0"/>
        <v>64.27</v>
      </c>
      <c r="C114" s="480">
        <v>21.15</v>
      </c>
      <c r="D114" s="480">
        <v>27.12</v>
      </c>
      <c r="E114" s="480">
        <v>14.05</v>
      </c>
      <c r="F114" s="480">
        <v>1.95</v>
      </c>
      <c r="G114" s="480">
        <v>25.51</v>
      </c>
    </row>
    <row r="115" spans="1:7">
      <c r="A115" s="480" t="s">
        <v>320</v>
      </c>
      <c r="B115" s="503">
        <f t="shared" si="0"/>
        <v>7.2399999999999993</v>
      </c>
      <c r="C115" s="480">
        <v>1.67</v>
      </c>
      <c r="D115" s="480">
        <v>5.13</v>
      </c>
      <c r="E115" s="480">
        <v>0.01</v>
      </c>
      <c r="F115" s="480">
        <v>0.43</v>
      </c>
      <c r="G115" s="480">
        <v>20.47</v>
      </c>
    </row>
    <row r="116" spans="1:7">
      <c r="A116" s="480" t="s">
        <v>203</v>
      </c>
      <c r="B116" s="503">
        <f t="shared" si="0"/>
        <v>7.56</v>
      </c>
      <c r="C116" s="480">
        <v>2.9</v>
      </c>
      <c r="D116" s="480">
        <v>7.0000000000000007E-2</v>
      </c>
      <c r="E116" s="480">
        <v>2.14</v>
      </c>
      <c r="F116" s="480">
        <v>2.4500000000000002</v>
      </c>
      <c r="G116" s="480">
        <v>1.1100000000000001</v>
      </c>
    </row>
    <row r="117" spans="1:7">
      <c r="A117" s="480" t="s">
        <v>204</v>
      </c>
      <c r="B117" s="503">
        <f t="shared" si="0"/>
        <v>6.43</v>
      </c>
      <c r="C117" s="480">
        <v>1.99</v>
      </c>
      <c r="D117" s="480">
        <v>1.47</v>
      </c>
      <c r="E117" s="480">
        <v>1.99</v>
      </c>
      <c r="F117" s="480">
        <v>0.98</v>
      </c>
      <c r="G117" s="480">
        <v>1.08</v>
      </c>
    </row>
    <row r="118" spans="1:7">
      <c r="A118" s="480" t="s">
        <v>264</v>
      </c>
      <c r="B118" s="503">
        <f t="shared" si="0"/>
        <v>18.899999999999999</v>
      </c>
      <c r="C118" s="480">
        <v>7.38</v>
      </c>
      <c r="D118" s="480">
        <v>10.54</v>
      </c>
      <c r="E118" s="480">
        <v>0.67</v>
      </c>
      <c r="F118" s="480">
        <v>0.31</v>
      </c>
      <c r="G118" s="480">
        <v>19.73</v>
      </c>
    </row>
    <row r="119" spans="1:7">
      <c r="A119" s="480" t="s">
        <v>265</v>
      </c>
      <c r="B119" s="503">
        <f t="shared" si="0"/>
        <v>47.1</v>
      </c>
      <c r="C119" s="480">
        <v>17.66</v>
      </c>
      <c r="D119" s="480">
        <v>22.88</v>
      </c>
      <c r="E119" s="480">
        <v>5.24</v>
      </c>
      <c r="F119" s="480">
        <v>1.32</v>
      </c>
      <c r="G119" s="480">
        <v>20.57</v>
      </c>
    </row>
    <row r="120" spans="1:7">
      <c r="A120" s="480" t="s">
        <v>231</v>
      </c>
      <c r="B120" s="503">
        <f t="shared" si="0"/>
        <v>21.549999999999997</v>
      </c>
      <c r="C120" s="480">
        <v>7.58</v>
      </c>
      <c r="D120" s="480">
        <v>0.02</v>
      </c>
      <c r="E120" s="480">
        <v>11.52</v>
      </c>
      <c r="F120" s="480">
        <v>2.4300000000000002</v>
      </c>
      <c r="G120" s="480">
        <v>20.63</v>
      </c>
    </row>
    <row r="121" spans="1:7">
      <c r="A121" s="480" t="s">
        <v>239</v>
      </c>
      <c r="B121" s="503">
        <f t="shared" si="0"/>
        <v>11.290000000000001</v>
      </c>
      <c r="C121" s="480">
        <v>8.82</v>
      </c>
      <c r="D121" s="480">
        <v>0</v>
      </c>
      <c r="E121" s="480">
        <v>2.4700000000000002</v>
      </c>
      <c r="F121" s="480">
        <v>0</v>
      </c>
      <c r="G121" s="480">
        <v>4.92</v>
      </c>
    </row>
    <row r="122" spans="1:7">
      <c r="A122" s="480" t="s">
        <v>321</v>
      </c>
      <c r="B122" s="503">
        <f t="shared" si="0"/>
        <v>31.18</v>
      </c>
      <c r="C122" s="480">
        <v>16.190000000000001</v>
      </c>
      <c r="D122" s="480">
        <v>13.92</v>
      </c>
      <c r="E122" s="480">
        <v>0.01</v>
      </c>
      <c r="F122" s="480">
        <v>1.06</v>
      </c>
      <c r="G122" s="480">
        <v>33.92</v>
      </c>
    </row>
    <row r="123" spans="1:7">
      <c r="A123" s="480" t="s">
        <v>302</v>
      </c>
      <c r="B123" s="503">
        <f t="shared" si="0"/>
        <v>60.300000000000004</v>
      </c>
      <c r="C123" s="480">
        <v>0.79</v>
      </c>
      <c r="D123" s="480">
        <v>10.119999999999999</v>
      </c>
      <c r="E123" s="480">
        <v>1.58</v>
      </c>
      <c r="F123" s="480">
        <v>47.81</v>
      </c>
      <c r="G123" s="480">
        <v>3.36</v>
      </c>
    </row>
    <row r="124" spans="1:7">
      <c r="A124" s="480" t="s">
        <v>322</v>
      </c>
      <c r="B124" s="503">
        <f t="shared" si="0"/>
        <v>30.92</v>
      </c>
      <c r="C124" s="480">
        <v>22.48</v>
      </c>
      <c r="D124" s="480">
        <v>7.95</v>
      </c>
      <c r="E124" s="480">
        <v>0.37</v>
      </c>
      <c r="F124" s="480">
        <v>0.12</v>
      </c>
      <c r="G124" s="480">
        <v>9.9700000000000006</v>
      </c>
    </row>
    <row r="125" spans="1:7">
      <c r="A125" s="480" t="s">
        <v>323</v>
      </c>
      <c r="B125" s="503">
        <f t="shared" si="0"/>
        <v>11.000000000000002</v>
      </c>
      <c r="C125" s="480">
        <v>4.34</v>
      </c>
      <c r="D125" s="480">
        <v>4.62</v>
      </c>
      <c r="E125" s="480">
        <v>0.82</v>
      </c>
      <c r="F125" s="480">
        <v>1.22</v>
      </c>
      <c r="G125" s="480">
        <v>13.59</v>
      </c>
    </row>
    <row r="126" spans="1:7">
      <c r="A126" s="480" t="s">
        <v>434</v>
      </c>
      <c r="B126" s="503">
        <f t="shared" si="0"/>
        <v>24.21</v>
      </c>
      <c r="C126" s="480">
        <v>4.71</v>
      </c>
      <c r="D126" s="480">
        <v>18.91</v>
      </c>
      <c r="E126" s="480">
        <v>0.57999999999999996</v>
      </c>
      <c r="F126" s="480">
        <v>0.01</v>
      </c>
      <c r="G126" s="480">
        <v>12.83</v>
      </c>
    </row>
    <row r="127" spans="1:7">
      <c r="A127" s="480" t="s">
        <v>266</v>
      </c>
      <c r="B127" s="503">
        <f t="shared" si="0"/>
        <v>58.02</v>
      </c>
      <c r="C127" s="480">
        <v>0.27</v>
      </c>
      <c r="D127" s="480">
        <v>57.61</v>
      </c>
      <c r="E127" s="480">
        <v>0.03</v>
      </c>
      <c r="F127" s="480">
        <v>0.11</v>
      </c>
      <c r="G127" s="480">
        <v>30.46</v>
      </c>
    </row>
    <row r="128" spans="1:7">
      <c r="A128" s="480" t="s">
        <v>267</v>
      </c>
      <c r="B128" s="503">
        <f t="shared" si="0"/>
        <v>63.04</v>
      </c>
      <c r="C128" s="480">
        <v>18.600000000000001</v>
      </c>
      <c r="D128" s="480">
        <v>40.76</v>
      </c>
      <c r="E128" s="480">
        <v>2.42</v>
      </c>
      <c r="F128" s="480">
        <v>1.26</v>
      </c>
      <c r="G128" s="480">
        <v>31.64</v>
      </c>
    </row>
    <row r="129" spans="1:7">
      <c r="A129" s="480" t="s">
        <v>435</v>
      </c>
      <c r="B129" s="503">
        <f t="shared" si="0"/>
        <v>54.160000000000004</v>
      </c>
      <c r="C129" s="480">
        <v>16.53</v>
      </c>
      <c r="D129" s="480">
        <v>37.33</v>
      </c>
      <c r="E129" s="480">
        <v>0.17</v>
      </c>
      <c r="F129" s="480">
        <v>0.13</v>
      </c>
      <c r="G129" s="480">
        <v>16.91</v>
      </c>
    </row>
    <row r="130" spans="1:7">
      <c r="A130" s="480" t="s">
        <v>268</v>
      </c>
      <c r="B130" s="503">
        <f t="shared" si="0"/>
        <v>20.54</v>
      </c>
      <c r="C130" s="480">
        <v>1.72</v>
      </c>
      <c r="D130" s="480">
        <v>18.420000000000002</v>
      </c>
      <c r="E130" s="480">
        <v>0.22</v>
      </c>
      <c r="F130" s="480">
        <v>0.18</v>
      </c>
      <c r="G130" s="480">
        <v>18.850000000000001</v>
      </c>
    </row>
    <row r="131" spans="1:7">
      <c r="A131" s="480" t="s">
        <v>269</v>
      </c>
      <c r="B131" s="503">
        <f t="shared" si="0"/>
        <v>45.52</v>
      </c>
      <c r="C131" s="480">
        <v>5.19</v>
      </c>
      <c r="D131" s="480">
        <v>35.99</v>
      </c>
      <c r="E131" s="480">
        <v>3.95</v>
      </c>
      <c r="F131" s="480">
        <v>0.39</v>
      </c>
      <c r="G131" s="480">
        <v>19.309999999999999</v>
      </c>
    </row>
    <row r="132" spans="1:7">
      <c r="A132" s="480" t="s">
        <v>270</v>
      </c>
      <c r="B132" s="503">
        <f t="shared" si="0"/>
        <v>44.37</v>
      </c>
      <c r="C132" s="480">
        <v>13.35</v>
      </c>
      <c r="D132" s="480">
        <v>26.02</v>
      </c>
      <c r="E132" s="480">
        <v>1.39</v>
      </c>
      <c r="F132" s="480">
        <v>3.61</v>
      </c>
      <c r="G132" s="480">
        <v>31.31</v>
      </c>
    </row>
    <row r="133" spans="1:7">
      <c r="A133" s="480" t="s">
        <v>205</v>
      </c>
      <c r="B133" s="503">
        <f t="shared" si="0"/>
        <v>6.47</v>
      </c>
      <c r="C133" s="480">
        <v>2.66</v>
      </c>
      <c r="D133" s="480">
        <v>0.76</v>
      </c>
      <c r="E133" s="480">
        <v>1.42</v>
      </c>
      <c r="F133" s="480">
        <v>1.63</v>
      </c>
      <c r="G133" s="480">
        <v>1.28</v>
      </c>
    </row>
    <row r="134" spans="1:7">
      <c r="A134" s="480" t="s">
        <v>436</v>
      </c>
      <c r="B134" s="503">
        <f t="shared" si="0"/>
        <v>25.650000000000002</v>
      </c>
      <c r="C134" s="480">
        <v>5.94</v>
      </c>
      <c r="D134" s="480">
        <v>15.04</v>
      </c>
      <c r="E134" s="480">
        <v>1.96</v>
      </c>
      <c r="F134" s="480">
        <v>2.71</v>
      </c>
      <c r="G134" s="480">
        <v>50.56</v>
      </c>
    </row>
    <row r="135" spans="1:7">
      <c r="A135" s="480" t="s">
        <v>437</v>
      </c>
      <c r="B135" s="503">
        <f t="shared" si="0"/>
        <v>31.580000000000002</v>
      </c>
      <c r="C135" s="480">
        <v>6.38</v>
      </c>
      <c r="D135" s="480">
        <v>22.35</v>
      </c>
      <c r="E135" s="480">
        <v>2.6</v>
      </c>
      <c r="F135" s="480">
        <v>0.25</v>
      </c>
      <c r="G135" s="480">
        <v>61.22</v>
      </c>
    </row>
    <row r="136" spans="1:7">
      <c r="A136" s="480" t="s">
        <v>438</v>
      </c>
      <c r="B136" s="503">
        <f t="shared" si="0"/>
        <v>22.44</v>
      </c>
      <c r="C136" s="480">
        <v>10.42</v>
      </c>
      <c r="D136" s="480">
        <v>10.93</v>
      </c>
      <c r="E136" s="480">
        <v>1</v>
      </c>
      <c r="F136" s="480">
        <v>0.09</v>
      </c>
      <c r="G136" s="480">
        <v>73.41</v>
      </c>
    </row>
    <row r="137" spans="1:7">
      <c r="A137" s="480" t="s">
        <v>439</v>
      </c>
      <c r="B137" s="503">
        <f t="shared" si="0"/>
        <v>31.46</v>
      </c>
      <c r="C137" s="480">
        <v>9.14</v>
      </c>
      <c r="D137" s="480">
        <v>18.559999999999999</v>
      </c>
      <c r="E137" s="480">
        <v>3.59</v>
      </c>
      <c r="F137" s="480">
        <v>0.17</v>
      </c>
      <c r="G137" s="480">
        <v>63.49</v>
      </c>
    </row>
    <row r="138" spans="1:7">
      <c r="A138" s="480" t="s">
        <v>206</v>
      </c>
      <c r="B138" s="503">
        <f t="shared" si="0"/>
        <v>5.6599999999999993</v>
      </c>
      <c r="C138" s="480">
        <v>1.23</v>
      </c>
      <c r="D138" s="480">
        <v>4.38</v>
      </c>
      <c r="E138" s="480">
        <v>0.05</v>
      </c>
      <c r="F138" s="480">
        <v>0</v>
      </c>
      <c r="G138" s="480">
        <v>9.66</v>
      </c>
    </row>
    <row r="139" spans="1:7">
      <c r="A139" s="480" t="s">
        <v>232</v>
      </c>
      <c r="B139" s="503">
        <f t="shared" si="0"/>
        <v>10.45</v>
      </c>
      <c r="C139" s="480">
        <v>4.55</v>
      </c>
      <c r="E139" s="480">
        <v>4.55</v>
      </c>
      <c r="F139" s="480">
        <v>1.35</v>
      </c>
      <c r="G139" s="480">
        <v>35</v>
      </c>
    </row>
    <row r="140" spans="1:7">
      <c r="A140" s="480" t="s">
        <v>207</v>
      </c>
      <c r="B140" s="503">
        <f t="shared" si="0"/>
        <v>10.53</v>
      </c>
      <c r="C140" s="480">
        <v>5.85</v>
      </c>
      <c r="D140" s="480">
        <v>0.98</v>
      </c>
      <c r="E140" s="480">
        <v>3.02</v>
      </c>
      <c r="F140" s="480">
        <v>0.68</v>
      </c>
      <c r="G140" s="480">
        <v>4.46</v>
      </c>
    </row>
    <row r="141" spans="1:7">
      <c r="A141" s="480" t="s">
        <v>271</v>
      </c>
      <c r="B141" s="503">
        <f t="shared" si="0"/>
        <v>44.5</v>
      </c>
      <c r="C141" s="480">
        <v>2.99</v>
      </c>
      <c r="D141" s="480">
        <v>37.89</v>
      </c>
      <c r="E141" s="480">
        <v>3.4</v>
      </c>
      <c r="F141" s="480">
        <v>0.22</v>
      </c>
      <c r="G141" s="480">
        <v>11.68</v>
      </c>
    </row>
    <row r="142" spans="1:7">
      <c r="A142" s="480" t="s">
        <v>208</v>
      </c>
      <c r="B142" s="503">
        <f t="shared" si="0"/>
        <v>4.6000000000000005</v>
      </c>
      <c r="C142" s="480">
        <v>1.46</v>
      </c>
      <c r="D142" s="480">
        <v>1.03</v>
      </c>
      <c r="E142" s="480">
        <v>0.52</v>
      </c>
      <c r="F142" s="480">
        <v>1.59</v>
      </c>
      <c r="G142" s="480">
        <v>4.1399999999999997</v>
      </c>
    </row>
    <row r="143" spans="1:7">
      <c r="A143" s="480" t="s">
        <v>272</v>
      </c>
      <c r="B143" s="503">
        <f t="shared" si="0"/>
        <v>43.21</v>
      </c>
      <c r="C143" s="480">
        <v>5.82</v>
      </c>
      <c r="D143" s="480">
        <v>35.67</v>
      </c>
      <c r="E143" s="480">
        <v>0.11</v>
      </c>
      <c r="F143" s="480">
        <v>1.61</v>
      </c>
      <c r="G143" s="480">
        <v>14.15</v>
      </c>
    </row>
    <row r="144" spans="1:7">
      <c r="A144" s="480" t="s">
        <v>273</v>
      </c>
      <c r="B144" s="503">
        <f t="shared" si="0"/>
        <v>45.5</v>
      </c>
      <c r="C144" s="480">
        <v>14.41</v>
      </c>
      <c r="D144" s="480">
        <v>29.78</v>
      </c>
      <c r="E144" s="480">
        <v>0.89</v>
      </c>
      <c r="F144" s="480">
        <v>0.42</v>
      </c>
      <c r="G144" s="480">
        <v>24.06</v>
      </c>
    </row>
    <row r="145" spans="1:7">
      <c r="A145" s="480" t="s">
        <v>440</v>
      </c>
      <c r="B145" s="503">
        <f t="shared" si="0"/>
        <v>7.15</v>
      </c>
      <c r="C145" s="480">
        <v>2.69</v>
      </c>
      <c r="D145" s="480">
        <v>4.38</v>
      </c>
      <c r="E145" s="480">
        <v>7.0000000000000007E-2</v>
      </c>
      <c r="F145" s="480">
        <v>0.01</v>
      </c>
      <c r="G145" s="480">
        <v>4.6500000000000004</v>
      </c>
    </row>
    <row r="146" spans="1:7">
      <c r="A146" s="480" t="s">
        <v>210</v>
      </c>
      <c r="B146" s="503">
        <f t="shared" si="0"/>
        <v>25.520000000000003</v>
      </c>
      <c r="C146" s="480">
        <v>16.73</v>
      </c>
      <c r="D146" s="480">
        <v>4.84</v>
      </c>
      <c r="E146" s="480">
        <v>3.19</v>
      </c>
      <c r="F146" s="480">
        <v>0.76</v>
      </c>
      <c r="G146" s="480">
        <v>38.57</v>
      </c>
    </row>
    <row r="147" spans="1:7">
      <c r="A147" s="480" t="s">
        <v>274</v>
      </c>
      <c r="B147" s="503">
        <f t="shared" si="0"/>
        <v>68.319999999999993</v>
      </c>
      <c r="C147" s="480">
        <v>12.27</v>
      </c>
      <c r="D147" s="480">
        <v>52.34</v>
      </c>
      <c r="E147" s="480">
        <v>2.08</v>
      </c>
      <c r="F147" s="480">
        <v>1.63</v>
      </c>
      <c r="G147" s="480">
        <v>30.48</v>
      </c>
    </row>
    <row r="148" spans="1:7">
      <c r="A148" s="480" t="s">
        <v>441</v>
      </c>
      <c r="B148" s="503">
        <f t="shared" si="0"/>
        <v>1.36</v>
      </c>
      <c r="C148" s="480">
        <v>1.23</v>
      </c>
      <c r="D148" s="480">
        <v>0.06</v>
      </c>
      <c r="E148" s="480">
        <v>7.0000000000000007E-2</v>
      </c>
      <c r="F148" s="480">
        <v>0</v>
      </c>
      <c r="G148" s="480">
        <v>5.25</v>
      </c>
    </row>
    <row r="149" spans="1:7">
      <c r="A149" s="480" t="s">
        <v>221</v>
      </c>
      <c r="B149" s="503">
        <f t="shared" si="0"/>
        <v>19.549999999999997</v>
      </c>
      <c r="C149" s="480">
        <v>8.1999999999999993</v>
      </c>
      <c r="D149" s="480">
        <v>0</v>
      </c>
      <c r="E149" s="480">
        <v>7.88</v>
      </c>
      <c r="F149" s="480">
        <v>3.47</v>
      </c>
      <c r="G149" s="480">
        <v>1.6</v>
      </c>
    </row>
    <row r="150" spans="1:7">
      <c r="A150" s="480" t="s">
        <v>324</v>
      </c>
      <c r="B150" s="503">
        <f t="shared" si="0"/>
        <v>10.71</v>
      </c>
      <c r="C150" s="480">
        <v>4.3600000000000003</v>
      </c>
      <c r="D150" s="480">
        <v>6.01</v>
      </c>
      <c r="E150" s="480">
        <v>0.04</v>
      </c>
      <c r="F150" s="480">
        <v>0.3</v>
      </c>
      <c r="G150" s="480">
        <v>33.46</v>
      </c>
    </row>
    <row r="151" spans="1:7">
      <c r="A151" s="480" t="s">
        <v>275</v>
      </c>
      <c r="B151" s="503">
        <f t="shared" si="0"/>
        <v>56.279999999999994</v>
      </c>
      <c r="C151" s="480">
        <v>22.58</v>
      </c>
      <c r="D151" s="480">
        <v>30.86</v>
      </c>
      <c r="E151" s="480">
        <v>1.4</v>
      </c>
      <c r="F151" s="480">
        <v>1.44</v>
      </c>
      <c r="G151" s="480">
        <v>16.88</v>
      </c>
    </row>
    <row r="152" spans="1:7">
      <c r="A152" s="480" t="s">
        <v>276</v>
      </c>
      <c r="B152" s="503">
        <f t="shared" si="0"/>
        <v>49.58</v>
      </c>
      <c r="C152" s="480">
        <v>18.62</v>
      </c>
      <c r="D152" s="480">
        <v>28.22</v>
      </c>
      <c r="E152" s="480">
        <v>1.48</v>
      </c>
      <c r="F152" s="480">
        <v>1.26</v>
      </c>
      <c r="G152" s="480">
        <v>15.47</v>
      </c>
    </row>
    <row r="153" spans="1:7">
      <c r="A153" s="480" t="s">
        <v>286</v>
      </c>
      <c r="B153" s="503">
        <f t="shared" si="0"/>
        <v>10.600000000000001</v>
      </c>
      <c r="C153" s="480">
        <v>4.4000000000000004</v>
      </c>
      <c r="D153" s="480">
        <v>0.22</v>
      </c>
      <c r="E153" s="480">
        <v>5.98</v>
      </c>
      <c r="F153" s="480">
        <v>0</v>
      </c>
      <c r="G153" s="480">
        <v>3.25</v>
      </c>
    </row>
    <row r="154" spans="1:7">
      <c r="A154" s="480" t="s">
        <v>305</v>
      </c>
      <c r="B154" s="503">
        <f t="shared" si="0"/>
        <v>15.62</v>
      </c>
      <c r="C154" s="480">
        <v>1.53</v>
      </c>
      <c r="D154" s="480">
        <v>14.04</v>
      </c>
      <c r="E154" s="480">
        <v>0.05</v>
      </c>
      <c r="F154" s="480">
        <v>0</v>
      </c>
      <c r="G154" s="480">
        <v>13.26</v>
      </c>
    </row>
    <row r="155" spans="1:7">
      <c r="A155" s="480" t="s">
        <v>442</v>
      </c>
      <c r="B155" s="503">
        <f t="shared" si="0"/>
        <v>28.560000000000002</v>
      </c>
      <c r="C155" s="480">
        <v>1.41</v>
      </c>
      <c r="D155" s="480">
        <v>11.75</v>
      </c>
      <c r="E155" s="480">
        <v>0.42</v>
      </c>
      <c r="F155" s="480">
        <v>14.98</v>
      </c>
      <c r="G155" s="480">
        <v>4.18</v>
      </c>
    </row>
    <row r="156" spans="1:7">
      <c r="A156" s="480" t="s">
        <v>213</v>
      </c>
      <c r="B156" s="503">
        <f t="shared" si="0"/>
        <v>4.8800000000000008</v>
      </c>
      <c r="C156" s="480">
        <v>1.42</v>
      </c>
      <c r="D156" s="480">
        <v>1.34</v>
      </c>
      <c r="E156" s="480">
        <v>1.31</v>
      </c>
      <c r="F156" s="480">
        <v>0.81</v>
      </c>
      <c r="G156" s="480">
        <v>7.25</v>
      </c>
    </row>
    <row r="157" spans="1:7">
      <c r="A157" s="480" t="s">
        <v>443</v>
      </c>
      <c r="B157" s="503">
        <f t="shared" si="0"/>
        <v>13.61</v>
      </c>
      <c r="C157" s="480">
        <v>4.8600000000000003</v>
      </c>
      <c r="D157" s="480">
        <v>6.31</v>
      </c>
      <c r="E157" s="480">
        <v>1.86</v>
      </c>
      <c r="F157" s="480">
        <v>0.57999999999999996</v>
      </c>
      <c r="G157" s="480">
        <v>63.49</v>
      </c>
    </row>
    <row r="158" spans="1:7">
      <c r="A158" s="480" t="s">
        <v>222</v>
      </c>
      <c r="B158" s="503">
        <f t="shared" si="0"/>
        <v>11.049999999999999</v>
      </c>
      <c r="C158" s="480">
        <v>5.28</v>
      </c>
      <c r="D158" s="480">
        <v>0</v>
      </c>
      <c r="E158" s="480">
        <v>5.49</v>
      </c>
      <c r="F158" s="480">
        <v>0.28000000000000003</v>
      </c>
      <c r="G158" s="480">
        <v>17.34</v>
      </c>
    </row>
    <row r="159" spans="1:7">
      <c r="A159" s="480" t="s">
        <v>288</v>
      </c>
      <c r="B159" s="503">
        <f t="shared" si="0"/>
        <v>18.62</v>
      </c>
      <c r="C159" s="480">
        <v>13.23</v>
      </c>
      <c r="D159" s="480">
        <v>0</v>
      </c>
      <c r="E159" s="480">
        <v>5.38</v>
      </c>
      <c r="F159" s="480">
        <v>0.01</v>
      </c>
      <c r="G159" s="480">
        <v>20.84</v>
      </c>
    </row>
    <row r="160" spans="1:7">
      <c r="A160" s="480" t="s">
        <v>289</v>
      </c>
      <c r="B160" s="503">
        <f t="shared" si="0"/>
        <v>49.51</v>
      </c>
      <c r="C160" s="480">
        <v>25.4</v>
      </c>
      <c r="D160" s="480">
        <v>0.33</v>
      </c>
      <c r="E160" s="480">
        <v>23.76</v>
      </c>
      <c r="F160" s="480">
        <v>0.02</v>
      </c>
      <c r="G160" s="480">
        <v>4.66</v>
      </c>
    </row>
    <row r="161" spans="1:7">
      <c r="A161" s="480" t="s">
        <v>214</v>
      </c>
      <c r="B161" s="503">
        <f t="shared" si="0"/>
        <v>10.309999999999999</v>
      </c>
      <c r="C161" s="480">
        <v>6.08</v>
      </c>
      <c r="D161" s="480">
        <v>3.03</v>
      </c>
      <c r="E161" s="480">
        <v>1.2</v>
      </c>
      <c r="F161" s="480">
        <v>0</v>
      </c>
      <c r="G161" s="480">
        <v>1.61</v>
      </c>
    </row>
    <row r="162" spans="1:7">
      <c r="A162" s="480" t="s">
        <v>277</v>
      </c>
      <c r="B162" s="503">
        <f t="shared" si="0"/>
        <v>24.759999999999998</v>
      </c>
      <c r="C162" s="480">
        <v>7.36</v>
      </c>
      <c r="D162" s="480">
        <v>16.61</v>
      </c>
      <c r="E162" s="480">
        <v>0.32</v>
      </c>
      <c r="F162" s="480">
        <v>0.47</v>
      </c>
      <c r="G162" s="480">
        <v>24.56</v>
      </c>
    </row>
    <row r="163" spans="1:7">
      <c r="A163" s="480" t="s">
        <v>444</v>
      </c>
      <c r="B163" s="503">
        <f t="shared" si="0"/>
        <v>25.119999999999997</v>
      </c>
      <c r="C163" s="480">
        <v>13.77</v>
      </c>
      <c r="D163" s="480">
        <v>0.17</v>
      </c>
      <c r="E163" s="480">
        <v>8.43</v>
      </c>
      <c r="F163" s="480">
        <v>2.75</v>
      </c>
      <c r="G163" s="480">
        <v>43.04</v>
      </c>
    </row>
    <row r="164" spans="1:7">
      <c r="A164" s="480" t="s">
        <v>445</v>
      </c>
      <c r="B164" s="503">
        <f t="shared" si="0"/>
        <v>47.04</v>
      </c>
      <c r="C164" s="480">
        <v>17.8</v>
      </c>
      <c r="D164" s="480">
        <v>24.2</v>
      </c>
      <c r="E164" s="480">
        <v>4.17</v>
      </c>
      <c r="F164" s="480">
        <v>0.87</v>
      </c>
      <c r="G164" s="480">
        <v>30.21</v>
      </c>
    </row>
    <row r="165" spans="1:7">
      <c r="A165" s="480" t="s">
        <v>446</v>
      </c>
      <c r="B165" s="503">
        <f t="shared" si="0"/>
        <v>9.2800000000000011</v>
      </c>
      <c r="C165" s="480">
        <v>7.43</v>
      </c>
      <c r="D165" s="480">
        <v>0.27</v>
      </c>
      <c r="E165" s="480">
        <v>1.1200000000000001</v>
      </c>
      <c r="F165" s="480">
        <v>0.46</v>
      </c>
      <c r="G165" s="480">
        <v>1.44</v>
      </c>
    </row>
    <row r="166" spans="1:7">
      <c r="A166" s="480" t="s">
        <v>447</v>
      </c>
      <c r="B166" s="503">
        <f t="shared" si="0"/>
        <v>66.5</v>
      </c>
      <c r="C166" s="480">
        <v>37.159999999999997</v>
      </c>
      <c r="D166" s="480">
        <v>27.99</v>
      </c>
      <c r="E166" s="480">
        <v>0.54</v>
      </c>
      <c r="F166" s="480">
        <v>0.81</v>
      </c>
      <c r="G166" s="480">
        <v>56.64</v>
      </c>
    </row>
    <row r="167" spans="1:7">
      <c r="A167" s="480" t="s">
        <v>325</v>
      </c>
      <c r="B167" s="503">
        <f t="shared" si="0"/>
        <v>43.929999999999993</v>
      </c>
      <c r="C167" s="480">
        <v>26.4</v>
      </c>
      <c r="D167" s="480">
        <v>14.95</v>
      </c>
      <c r="E167" s="480">
        <v>1.53</v>
      </c>
      <c r="F167" s="480">
        <v>1.05</v>
      </c>
      <c r="G167" s="480">
        <v>9.39</v>
      </c>
    </row>
    <row r="168" spans="1:7">
      <c r="A168" s="480" t="s">
        <v>287</v>
      </c>
      <c r="B168" s="503">
        <f t="shared" si="0"/>
        <v>34.1</v>
      </c>
      <c r="C168" s="480">
        <v>28.47</v>
      </c>
      <c r="D168" s="480">
        <v>0.99</v>
      </c>
      <c r="E168" s="480">
        <v>4.51</v>
      </c>
      <c r="F168" s="480">
        <v>0.13</v>
      </c>
      <c r="G168" s="480">
        <v>2.06</v>
      </c>
    </row>
    <row r="169" spans="1:7">
      <c r="A169" s="480" t="s">
        <v>448</v>
      </c>
      <c r="B169" s="503">
        <f t="shared" si="0"/>
        <v>27.19</v>
      </c>
      <c r="C169" s="480">
        <v>12.32</v>
      </c>
      <c r="D169" s="480">
        <v>14.46</v>
      </c>
      <c r="E169" s="480">
        <v>0.28999999999999998</v>
      </c>
      <c r="F169" s="480">
        <v>0.12</v>
      </c>
      <c r="G169" s="480">
        <v>12.12</v>
      </c>
    </row>
    <row r="170" spans="1:7">
      <c r="A170" s="480" t="s">
        <v>449</v>
      </c>
      <c r="B170" s="503">
        <f t="shared" si="0"/>
        <v>20.610000000000003</v>
      </c>
      <c r="C170" s="480">
        <v>15.81</v>
      </c>
      <c r="D170" s="480">
        <v>4.53</v>
      </c>
      <c r="E170" s="480">
        <v>0.26</v>
      </c>
      <c r="F170" s="480">
        <v>0.01</v>
      </c>
      <c r="G170" s="480">
        <v>15.61</v>
      </c>
    </row>
    <row r="171" spans="1:7">
      <c r="A171" s="480" t="s">
        <v>450</v>
      </c>
      <c r="B171" s="503">
        <f t="shared" si="0"/>
        <v>49.27</v>
      </c>
      <c r="C171" s="480">
        <v>11.3</v>
      </c>
      <c r="D171" s="480">
        <v>37.67</v>
      </c>
      <c r="E171" s="480">
        <v>0.17</v>
      </c>
      <c r="F171" s="480">
        <v>0.13</v>
      </c>
      <c r="G171" s="480">
        <v>15.89</v>
      </c>
    </row>
    <row r="172" spans="1:7">
      <c r="A172" s="480" t="s">
        <v>235</v>
      </c>
      <c r="B172" s="503">
        <f t="shared" si="0"/>
        <v>8.620000000000001</v>
      </c>
      <c r="C172" s="480">
        <v>4.13</v>
      </c>
      <c r="D172" s="480">
        <v>0</v>
      </c>
      <c r="E172" s="480">
        <v>4.4000000000000004</v>
      </c>
      <c r="F172" s="480">
        <v>0.09</v>
      </c>
      <c r="G172" s="480">
        <v>6.47</v>
      </c>
    </row>
    <row r="173" spans="1:7">
      <c r="A173" s="480" t="s">
        <v>215</v>
      </c>
      <c r="B173" s="503">
        <f t="shared" si="0"/>
        <v>15.509999999999998</v>
      </c>
      <c r="C173" s="480">
        <v>10.78</v>
      </c>
      <c r="D173" s="480">
        <v>1.7</v>
      </c>
      <c r="E173" s="480">
        <v>0.69</v>
      </c>
      <c r="F173" s="480">
        <v>2.34</v>
      </c>
      <c r="G173" s="480">
        <v>3.32</v>
      </c>
    </row>
    <row r="174" spans="1:7">
      <c r="A174" s="480" t="s">
        <v>216</v>
      </c>
      <c r="B174" s="503">
        <f t="shared" si="0"/>
        <v>13.59</v>
      </c>
      <c r="C174" s="480">
        <v>8.5</v>
      </c>
      <c r="D174" s="480">
        <v>1.25</v>
      </c>
      <c r="E174" s="480">
        <v>1.27</v>
      </c>
      <c r="F174" s="480">
        <v>2.57</v>
      </c>
      <c r="G174" s="480">
        <v>4.83</v>
      </c>
    </row>
    <row r="175" spans="1:7">
      <c r="B175" s="185"/>
    </row>
    <row r="176" spans="1:7">
      <c r="A176" s="287"/>
      <c r="B176" s="287">
        <v>5.43</v>
      </c>
    </row>
    <row r="177" spans="1:2">
      <c r="A177" s="287"/>
      <c r="B177" s="287">
        <v>8.6</v>
      </c>
    </row>
    <row r="178" spans="1:2">
      <c r="A178" s="287"/>
      <c r="B178" s="287">
        <v>15.73</v>
      </c>
    </row>
    <row r="179" spans="1:2">
      <c r="A179" s="287"/>
      <c r="B179" s="287">
        <v>2.83</v>
      </c>
    </row>
    <row r="180" spans="1:2">
      <c r="B180" s="185"/>
    </row>
    <row r="181" spans="1:2">
      <c r="B181" s="185"/>
    </row>
    <row r="182" spans="1:2">
      <c r="B182" s="185"/>
    </row>
    <row r="183" spans="1:2">
      <c r="B183" s="185"/>
    </row>
    <row r="184" spans="1:2">
      <c r="B184" s="185"/>
    </row>
    <row r="185" spans="1:2">
      <c r="B185" s="185"/>
    </row>
    <row r="186" spans="1:2">
      <c r="B186" s="185"/>
    </row>
    <row r="187" spans="1:2">
      <c r="B187" s="185"/>
    </row>
    <row r="188" spans="1:2">
      <c r="B188" s="185"/>
    </row>
    <row r="189" spans="1:2">
      <c r="B189" s="185"/>
    </row>
    <row r="190" spans="1:2">
      <c r="B190" s="185"/>
    </row>
    <row r="191" spans="1:2">
      <c r="B191" s="185"/>
    </row>
    <row r="192" spans="1:2">
      <c r="B192" s="185"/>
    </row>
    <row r="193" spans="2:2">
      <c r="B193" s="185"/>
    </row>
    <row r="194" spans="2:2">
      <c r="B194" s="185"/>
    </row>
    <row r="195" spans="2:2">
      <c r="B195" s="185"/>
    </row>
    <row r="196" spans="2:2">
      <c r="B196" s="185"/>
    </row>
    <row r="197" spans="2:2">
      <c r="B197" s="185"/>
    </row>
    <row r="198" spans="2:2">
      <c r="B198" s="185"/>
    </row>
    <row r="199" spans="2:2">
      <c r="B199" s="185"/>
    </row>
    <row r="200" spans="2:2">
      <c r="B200" s="185"/>
    </row>
    <row r="201" spans="2:2">
      <c r="B201" s="185"/>
    </row>
    <row r="202" spans="2:2">
      <c r="B202" s="185"/>
    </row>
    <row r="203" spans="2:2">
      <c r="B203" s="185"/>
    </row>
    <row r="204" spans="2:2">
      <c r="B204" s="185"/>
    </row>
    <row r="205" spans="2:2">
      <c r="B205" s="185"/>
    </row>
    <row r="206" spans="2:2">
      <c r="B206" s="185"/>
    </row>
    <row r="207" spans="2:2">
      <c r="B207" s="185"/>
    </row>
    <row r="208" spans="2:2">
      <c r="B208" s="185"/>
    </row>
    <row r="209" spans="2:2">
      <c r="B209" s="185"/>
    </row>
    <row r="210" spans="2:2">
      <c r="B210" s="185"/>
    </row>
    <row r="211" spans="2:2">
      <c r="B211" s="185"/>
    </row>
    <row r="212" spans="2:2">
      <c r="B212" s="185"/>
    </row>
    <row r="213" spans="2:2">
      <c r="B213" s="185"/>
    </row>
    <row r="214" spans="2:2">
      <c r="B214" s="185"/>
    </row>
    <row r="215" spans="2:2">
      <c r="B215" s="185"/>
    </row>
    <row r="216" spans="2:2">
      <c r="B216" s="185"/>
    </row>
    <row r="217" spans="2:2">
      <c r="B217" s="185"/>
    </row>
    <row r="218" spans="2:2">
      <c r="B218" s="185"/>
    </row>
    <row r="219" spans="2:2">
      <c r="B219" s="185"/>
    </row>
    <row r="220" spans="2:2">
      <c r="B220" s="185"/>
    </row>
    <row r="221" spans="2:2">
      <c r="B221" s="185"/>
    </row>
    <row r="222" spans="2:2">
      <c r="B222" s="185"/>
    </row>
    <row r="223" spans="2:2">
      <c r="B223" s="185"/>
    </row>
    <row r="224" spans="2:2">
      <c r="B224" s="185"/>
    </row>
    <row r="225" spans="2:2">
      <c r="B225" s="185"/>
    </row>
    <row r="226" spans="2:2">
      <c r="B226" s="185"/>
    </row>
    <row r="227" spans="2:2">
      <c r="B227" s="185"/>
    </row>
    <row r="228" spans="2:2">
      <c r="B228" s="185"/>
    </row>
    <row r="229" spans="2:2">
      <c r="B229" s="185"/>
    </row>
    <row r="230" spans="2:2">
      <c r="B230" s="185"/>
    </row>
    <row r="231" spans="2:2">
      <c r="B231" s="185"/>
    </row>
    <row r="232" spans="2:2">
      <c r="B232" s="185"/>
    </row>
    <row r="233" spans="2:2">
      <c r="B233" s="185"/>
    </row>
    <row r="234" spans="2:2">
      <c r="B234" s="185"/>
    </row>
    <row r="235" spans="2:2">
      <c r="B235" s="185"/>
    </row>
    <row r="236" spans="2:2">
      <c r="B236" s="185"/>
    </row>
    <row r="237" spans="2:2">
      <c r="B237" s="185"/>
    </row>
    <row r="238" spans="2:2">
      <c r="B238" s="185"/>
    </row>
    <row r="239" spans="2:2">
      <c r="B239" s="185"/>
    </row>
    <row r="240" spans="2:2">
      <c r="B240" s="185"/>
    </row>
    <row r="241" spans="2:2">
      <c r="B241" s="185"/>
    </row>
    <row r="242" spans="2:2">
      <c r="B242" s="185"/>
    </row>
    <row r="243" spans="2:2">
      <c r="B243" s="185"/>
    </row>
    <row r="244" spans="2:2">
      <c r="B244" s="185"/>
    </row>
    <row r="245" spans="2:2">
      <c r="B245" s="185"/>
    </row>
    <row r="246" spans="2:2">
      <c r="B246" s="185"/>
    </row>
    <row r="247" spans="2:2">
      <c r="B247" s="185"/>
    </row>
    <row r="248" spans="2:2">
      <c r="B248" s="185"/>
    </row>
    <row r="249" spans="2:2">
      <c r="B249" s="185"/>
    </row>
    <row r="250" spans="2:2">
      <c r="B250" s="185"/>
    </row>
    <row r="251" spans="2:2">
      <c r="B251" s="185"/>
    </row>
    <row r="252" spans="2:2">
      <c r="B252" s="185"/>
    </row>
    <row r="253" spans="2:2">
      <c r="B253" s="185"/>
    </row>
    <row r="254" spans="2:2">
      <c r="B254" s="185"/>
    </row>
    <row r="255" spans="2:2">
      <c r="B255" s="185"/>
    </row>
    <row r="256" spans="2:2">
      <c r="B256" s="185"/>
    </row>
    <row r="257" spans="2:2">
      <c r="B257" s="185"/>
    </row>
    <row r="258" spans="2:2">
      <c r="B258" s="185"/>
    </row>
    <row r="259" spans="2:2">
      <c r="B259" s="185"/>
    </row>
    <row r="260" spans="2:2">
      <c r="B260" s="185"/>
    </row>
    <row r="261" spans="2:2">
      <c r="B261" s="185"/>
    </row>
    <row r="262" spans="2:2">
      <c r="B262" s="185"/>
    </row>
    <row r="263" spans="2:2">
      <c r="B263" s="185"/>
    </row>
    <row r="264" spans="2:2">
      <c r="B264" s="185"/>
    </row>
    <row r="265" spans="2:2">
      <c r="B265" s="185"/>
    </row>
    <row r="266" spans="2:2">
      <c r="B266" s="185"/>
    </row>
    <row r="267" spans="2:2">
      <c r="B267" s="185"/>
    </row>
    <row r="268" spans="2:2">
      <c r="B268" s="185"/>
    </row>
    <row r="269" spans="2:2">
      <c r="B269" s="185"/>
    </row>
    <row r="270" spans="2:2">
      <c r="B270" s="185"/>
    </row>
    <row r="271" spans="2:2">
      <c r="B271" s="185"/>
    </row>
    <row r="272" spans="2:2">
      <c r="B272" s="185"/>
    </row>
    <row r="273" spans="2:2">
      <c r="B273" s="185"/>
    </row>
    <row r="274" spans="2:2">
      <c r="B274" s="185"/>
    </row>
    <row r="275" spans="2:2">
      <c r="B275" s="185"/>
    </row>
    <row r="276" spans="2:2">
      <c r="B276" s="185"/>
    </row>
    <row r="277" spans="2:2">
      <c r="B277" s="185"/>
    </row>
    <row r="278" spans="2:2">
      <c r="B278" s="185"/>
    </row>
    <row r="279" spans="2:2">
      <c r="B279" s="185"/>
    </row>
    <row r="280" spans="2:2">
      <c r="B280" s="185"/>
    </row>
    <row r="281" spans="2:2">
      <c r="B281" s="185"/>
    </row>
    <row r="282" spans="2:2">
      <c r="B282" s="185"/>
    </row>
    <row r="283" spans="2:2">
      <c r="B283" s="185"/>
    </row>
    <row r="284" spans="2:2">
      <c r="B284" s="185"/>
    </row>
    <row r="285" spans="2:2">
      <c r="B285" s="185"/>
    </row>
    <row r="286" spans="2:2">
      <c r="B286" s="185"/>
    </row>
    <row r="287" spans="2:2">
      <c r="B287" s="185"/>
    </row>
    <row r="288" spans="2:2">
      <c r="B288" s="185"/>
    </row>
    <row r="289" spans="2:2">
      <c r="B289" s="185"/>
    </row>
    <row r="290" spans="2:2">
      <c r="B290" s="185"/>
    </row>
    <row r="291" spans="2:2">
      <c r="B291" s="185"/>
    </row>
    <row r="292" spans="2:2">
      <c r="B292" s="185"/>
    </row>
    <row r="293" spans="2:2">
      <c r="B293" s="185"/>
    </row>
    <row r="294" spans="2:2">
      <c r="B294" s="185"/>
    </row>
    <row r="295" spans="2:2">
      <c r="B295" s="185"/>
    </row>
    <row r="296" spans="2:2">
      <c r="B296" s="185"/>
    </row>
    <row r="297" spans="2:2">
      <c r="B297" s="185"/>
    </row>
    <row r="298" spans="2:2">
      <c r="B298" s="185"/>
    </row>
    <row r="299" spans="2:2">
      <c r="B299" s="185"/>
    </row>
    <row r="300" spans="2:2">
      <c r="B300" s="185"/>
    </row>
    <row r="301" spans="2:2">
      <c r="B301" s="185"/>
    </row>
    <row r="302" spans="2:2">
      <c r="B302" s="185"/>
    </row>
    <row r="303" spans="2:2">
      <c r="B303" s="185"/>
    </row>
    <row r="304" spans="2:2">
      <c r="B304" s="185"/>
    </row>
    <row r="305" spans="2:2">
      <c r="B305" s="185"/>
    </row>
    <row r="306" spans="2:2">
      <c r="B306" s="185"/>
    </row>
    <row r="307" spans="2:2">
      <c r="B307" s="185"/>
    </row>
    <row r="308" spans="2:2">
      <c r="B308" s="185"/>
    </row>
    <row r="309" spans="2:2">
      <c r="B309" s="185"/>
    </row>
    <row r="310" spans="2:2">
      <c r="B310" s="185"/>
    </row>
    <row r="311" spans="2:2">
      <c r="B311" s="185"/>
    </row>
    <row r="312" spans="2:2">
      <c r="B312" s="185"/>
    </row>
    <row r="313" spans="2:2">
      <c r="B313" s="185"/>
    </row>
    <row r="314" spans="2:2">
      <c r="B314" s="185"/>
    </row>
    <row r="315" spans="2:2">
      <c r="B315" s="185"/>
    </row>
    <row r="316" spans="2:2">
      <c r="B316" s="185"/>
    </row>
    <row r="317" spans="2:2">
      <c r="B317" s="185"/>
    </row>
    <row r="318" spans="2:2">
      <c r="B318" s="185"/>
    </row>
    <row r="319" spans="2:2">
      <c r="B319" s="185"/>
    </row>
    <row r="320" spans="2:2">
      <c r="B320" s="185"/>
    </row>
    <row r="321" spans="2:2">
      <c r="B321" s="185"/>
    </row>
    <row r="322" spans="2:2">
      <c r="B322" s="185"/>
    </row>
    <row r="323" spans="2:2">
      <c r="B323" s="185"/>
    </row>
    <row r="324" spans="2:2">
      <c r="B324" s="185"/>
    </row>
    <row r="325" spans="2:2">
      <c r="B325" s="185"/>
    </row>
    <row r="326" spans="2:2">
      <c r="B326" s="185"/>
    </row>
    <row r="327" spans="2:2">
      <c r="B327" s="185"/>
    </row>
    <row r="328" spans="2:2">
      <c r="B328" s="185"/>
    </row>
    <row r="329" spans="2:2">
      <c r="B329" s="185"/>
    </row>
    <row r="330" spans="2:2">
      <c r="B330" s="185"/>
    </row>
    <row r="331" spans="2:2">
      <c r="B331" s="185"/>
    </row>
    <row r="332" spans="2:2">
      <c r="B332" s="185"/>
    </row>
    <row r="333" spans="2:2">
      <c r="B333" s="185"/>
    </row>
    <row r="334" spans="2:2">
      <c r="B334" s="185"/>
    </row>
    <row r="335" spans="2:2">
      <c r="B335" s="185"/>
    </row>
    <row r="336" spans="2:2">
      <c r="B336" s="185"/>
    </row>
    <row r="337" spans="2:2">
      <c r="B337" s="185"/>
    </row>
    <row r="338" spans="2:2">
      <c r="B338" s="185"/>
    </row>
    <row r="339" spans="2:2">
      <c r="B339" s="185"/>
    </row>
    <row r="340" spans="2:2">
      <c r="B340" s="185"/>
    </row>
    <row r="341" spans="2:2">
      <c r="B341" s="185"/>
    </row>
    <row r="342" spans="2:2">
      <c r="B342" s="185"/>
    </row>
    <row r="343" spans="2:2">
      <c r="B343" s="185"/>
    </row>
    <row r="344" spans="2:2">
      <c r="B344" s="185"/>
    </row>
    <row r="345" spans="2:2">
      <c r="B345" s="185"/>
    </row>
    <row r="346" spans="2:2">
      <c r="B346" s="185"/>
    </row>
    <row r="347" spans="2:2">
      <c r="B347" s="185"/>
    </row>
    <row r="348" spans="2:2">
      <c r="B348" s="185"/>
    </row>
    <row r="349" spans="2:2">
      <c r="B349" s="185"/>
    </row>
    <row r="350" spans="2:2">
      <c r="B350" s="185"/>
    </row>
    <row r="351" spans="2:2">
      <c r="B351" s="185"/>
    </row>
    <row r="352" spans="2:2">
      <c r="B352" s="185"/>
    </row>
    <row r="353" spans="2:2">
      <c r="B353" s="185"/>
    </row>
    <row r="354" spans="2:2">
      <c r="B354" s="185"/>
    </row>
    <row r="355" spans="2:2">
      <c r="B355" s="185"/>
    </row>
    <row r="356" spans="2:2">
      <c r="B356" s="185"/>
    </row>
    <row r="357" spans="2:2">
      <c r="B357" s="185"/>
    </row>
    <row r="358" spans="2:2">
      <c r="B358" s="185"/>
    </row>
    <row r="359" spans="2:2">
      <c r="B359" s="185"/>
    </row>
    <row r="360" spans="2:2">
      <c r="B360" s="185"/>
    </row>
    <row r="361" spans="2:2">
      <c r="B361" s="185"/>
    </row>
    <row r="362" spans="2:2">
      <c r="B362" s="185"/>
    </row>
    <row r="363" spans="2:2">
      <c r="B363" s="185"/>
    </row>
    <row r="364" spans="2:2">
      <c r="B364" s="185"/>
    </row>
    <row r="365" spans="2:2">
      <c r="B365" s="185"/>
    </row>
    <row r="366" spans="2:2">
      <c r="B366" s="185"/>
    </row>
    <row r="367" spans="2:2">
      <c r="B367" s="185"/>
    </row>
    <row r="368" spans="2:2">
      <c r="B368" s="185"/>
    </row>
    <row r="369" spans="2:2">
      <c r="B369" s="185"/>
    </row>
    <row r="370" spans="2:2">
      <c r="B370" s="185"/>
    </row>
    <row r="371" spans="2:2">
      <c r="B371" s="185"/>
    </row>
    <row r="372" spans="2:2">
      <c r="B372" s="185"/>
    </row>
    <row r="373" spans="2:2">
      <c r="B373" s="185"/>
    </row>
    <row r="374" spans="2:2">
      <c r="B374" s="185"/>
    </row>
    <row r="375" spans="2:2">
      <c r="B375" s="185"/>
    </row>
    <row r="376" spans="2:2">
      <c r="B376" s="185"/>
    </row>
    <row r="377" spans="2:2">
      <c r="B377" s="185"/>
    </row>
    <row r="378" spans="2:2">
      <c r="B378" s="185"/>
    </row>
    <row r="379" spans="2:2">
      <c r="B379" s="185"/>
    </row>
    <row r="380" spans="2:2">
      <c r="B380" s="185"/>
    </row>
    <row r="381" spans="2:2">
      <c r="B381" s="185"/>
    </row>
    <row r="382" spans="2:2">
      <c r="B382" s="185"/>
    </row>
    <row r="383" spans="2:2">
      <c r="B383" s="185"/>
    </row>
    <row r="384" spans="2:2">
      <c r="B384" s="185"/>
    </row>
    <row r="385" spans="2:2">
      <c r="B385" s="185"/>
    </row>
    <row r="386" spans="2:2">
      <c r="B386" s="185"/>
    </row>
    <row r="387" spans="2:2">
      <c r="B387" s="185"/>
    </row>
    <row r="388" spans="2:2">
      <c r="B388" s="185"/>
    </row>
    <row r="389" spans="2:2">
      <c r="B389" s="185"/>
    </row>
    <row r="390" spans="2:2">
      <c r="B390" s="185"/>
    </row>
    <row r="391" spans="2:2">
      <c r="B391" s="185"/>
    </row>
    <row r="392" spans="2:2">
      <c r="B392" s="185"/>
    </row>
    <row r="393" spans="2:2">
      <c r="B393" s="185"/>
    </row>
    <row r="394" spans="2:2">
      <c r="B394" s="185"/>
    </row>
    <row r="395" spans="2:2">
      <c r="B395" s="185"/>
    </row>
    <row r="396" spans="2:2">
      <c r="B396" s="185"/>
    </row>
    <row r="397" spans="2:2">
      <c r="B397" s="185"/>
    </row>
    <row r="398" spans="2:2">
      <c r="B398" s="185"/>
    </row>
    <row r="399" spans="2:2">
      <c r="B399" s="185"/>
    </row>
    <row r="400" spans="2:2">
      <c r="B400" s="185"/>
    </row>
    <row r="401" spans="2:2">
      <c r="B401" s="185"/>
    </row>
    <row r="402" spans="2:2">
      <c r="B402" s="185"/>
    </row>
    <row r="403" spans="2:2">
      <c r="B403" s="185"/>
    </row>
    <row r="404" spans="2:2">
      <c r="B404" s="185"/>
    </row>
    <row r="405" spans="2:2">
      <c r="B405" s="185"/>
    </row>
    <row r="406" spans="2:2">
      <c r="B406" s="185"/>
    </row>
    <row r="407" spans="2:2">
      <c r="B407" s="185"/>
    </row>
    <row r="408" spans="2:2">
      <c r="B408" s="185"/>
    </row>
    <row r="409" spans="2:2">
      <c r="B409" s="185"/>
    </row>
    <row r="410" spans="2:2">
      <c r="B410" s="185"/>
    </row>
    <row r="411" spans="2:2">
      <c r="B411" s="185"/>
    </row>
    <row r="412" spans="2:2">
      <c r="B412" s="185"/>
    </row>
    <row r="413" spans="2:2">
      <c r="B413" s="185"/>
    </row>
    <row r="414" spans="2:2">
      <c r="B414" s="185"/>
    </row>
    <row r="415" spans="2:2">
      <c r="B415" s="185"/>
    </row>
    <row r="416" spans="2:2">
      <c r="B416" s="185"/>
    </row>
    <row r="417" spans="2:2">
      <c r="B417" s="185"/>
    </row>
    <row r="418" spans="2:2">
      <c r="B418" s="185"/>
    </row>
    <row r="419" spans="2:2">
      <c r="B419" s="185"/>
    </row>
    <row r="420" spans="2:2">
      <c r="B420" s="185"/>
    </row>
    <row r="421" spans="2:2">
      <c r="B421" s="185"/>
    </row>
    <row r="422" spans="2:2">
      <c r="B422" s="185"/>
    </row>
    <row r="423" spans="2:2">
      <c r="B423" s="185"/>
    </row>
    <row r="424" spans="2:2">
      <c r="B424" s="185"/>
    </row>
    <row r="425" spans="2:2">
      <c r="B425" s="185"/>
    </row>
    <row r="426" spans="2:2">
      <c r="B426" s="185"/>
    </row>
    <row r="427" spans="2:2">
      <c r="B427" s="185"/>
    </row>
    <row r="428" spans="2:2">
      <c r="B428" s="185"/>
    </row>
    <row r="429" spans="2:2">
      <c r="B429" s="185"/>
    </row>
    <row r="430" spans="2:2">
      <c r="B430" s="185"/>
    </row>
    <row r="431" spans="2:2">
      <c r="B431" s="185"/>
    </row>
    <row r="432" spans="2:2">
      <c r="B432" s="185"/>
    </row>
    <row r="433" spans="2:2">
      <c r="B433" s="185"/>
    </row>
    <row r="434" spans="2:2">
      <c r="B434" s="185"/>
    </row>
    <row r="435" spans="2:2">
      <c r="B435" s="185"/>
    </row>
    <row r="436" spans="2:2">
      <c r="B436" s="185"/>
    </row>
    <row r="437" spans="2:2">
      <c r="B437" s="185"/>
    </row>
    <row r="438" spans="2:2">
      <c r="B438" s="185"/>
    </row>
    <row r="439" spans="2:2">
      <c r="B439" s="185"/>
    </row>
    <row r="440" spans="2:2">
      <c r="B440" s="185"/>
    </row>
    <row r="441" spans="2:2">
      <c r="B441" s="185"/>
    </row>
    <row r="442" spans="2:2">
      <c r="B442" s="185"/>
    </row>
    <row r="443" spans="2:2">
      <c r="B443" s="185"/>
    </row>
    <row r="444" spans="2:2">
      <c r="B444" s="185"/>
    </row>
    <row r="445" spans="2:2">
      <c r="B445" s="185"/>
    </row>
    <row r="446" spans="2:2">
      <c r="B446" s="185"/>
    </row>
    <row r="447" spans="2:2">
      <c r="B447" s="185"/>
    </row>
    <row r="448" spans="2:2">
      <c r="B448" s="185"/>
    </row>
    <row r="449" spans="2:2">
      <c r="B449" s="185"/>
    </row>
    <row r="450" spans="2:2">
      <c r="B450" s="185"/>
    </row>
    <row r="451" spans="2:2">
      <c r="B451" s="185"/>
    </row>
    <row r="452" spans="2:2">
      <c r="B452" s="185"/>
    </row>
    <row r="453" spans="2:2">
      <c r="B453" s="185"/>
    </row>
    <row r="454" spans="2:2">
      <c r="B454" s="185"/>
    </row>
    <row r="455" spans="2:2">
      <c r="B455" s="185"/>
    </row>
    <row r="456" spans="2:2">
      <c r="B456" s="185"/>
    </row>
    <row r="457" spans="2:2">
      <c r="B457" s="185"/>
    </row>
    <row r="458" spans="2:2">
      <c r="B458" s="185"/>
    </row>
    <row r="459" spans="2:2">
      <c r="B459" s="185"/>
    </row>
    <row r="460" spans="2:2">
      <c r="B460" s="185"/>
    </row>
    <row r="461" spans="2:2">
      <c r="B461" s="185"/>
    </row>
    <row r="462" spans="2:2">
      <c r="B462" s="185"/>
    </row>
    <row r="463" spans="2:2">
      <c r="B463" s="185"/>
    </row>
    <row r="464" spans="2:2">
      <c r="B464" s="185"/>
    </row>
    <row r="465" spans="2:2">
      <c r="B465" s="185"/>
    </row>
    <row r="466" spans="2:2">
      <c r="B466" s="185"/>
    </row>
    <row r="467" spans="2:2">
      <c r="B467" s="185"/>
    </row>
    <row r="468" spans="2:2">
      <c r="B468" s="185"/>
    </row>
    <row r="469" spans="2:2">
      <c r="B469" s="185"/>
    </row>
    <row r="470" spans="2:2">
      <c r="B470" s="185"/>
    </row>
    <row r="471" spans="2:2">
      <c r="B471" s="185"/>
    </row>
    <row r="472" spans="2:2">
      <c r="B472" s="185"/>
    </row>
    <row r="473" spans="2:2">
      <c r="B473" s="185"/>
    </row>
    <row r="474" spans="2:2">
      <c r="B474" s="185"/>
    </row>
    <row r="475" spans="2:2">
      <c r="B475" s="185"/>
    </row>
    <row r="476" spans="2:2">
      <c r="B476" s="185"/>
    </row>
    <row r="477" spans="2:2">
      <c r="B477" s="185"/>
    </row>
    <row r="478" spans="2:2">
      <c r="B478" s="185"/>
    </row>
    <row r="479" spans="2:2">
      <c r="B479" s="185"/>
    </row>
    <row r="480" spans="2:2">
      <c r="B480" s="185"/>
    </row>
    <row r="481" spans="2:2">
      <c r="B481" s="185"/>
    </row>
    <row r="482" spans="2:2">
      <c r="B482" s="185"/>
    </row>
    <row r="483" spans="2:2">
      <c r="B483" s="185"/>
    </row>
    <row r="484" spans="2:2">
      <c r="B484" s="185"/>
    </row>
    <row r="485" spans="2:2">
      <c r="B485" s="185"/>
    </row>
    <row r="486" spans="2:2">
      <c r="B486" s="185"/>
    </row>
    <row r="487" spans="2:2">
      <c r="B487" s="185"/>
    </row>
    <row r="488" spans="2:2">
      <c r="B488" s="185"/>
    </row>
    <row r="489" spans="2:2">
      <c r="B489" s="185"/>
    </row>
    <row r="490" spans="2:2">
      <c r="B490" s="185"/>
    </row>
    <row r="491" spans="2:2">
      <c r="B491" s="185"/>
    </row>
    <row r="492" spans="2:2">
      <c r="B492" s="185"/>
    </row>
    <row r="493" spans="2:2">
      <c r="B493" s="185"/>
    </row>
    <row r="494" spans="2:2">
      <c r="B494" s="185"/>
    </row>
    <row r="495" spans="2:2">
      <c r="B495" s="185"/>
    </row>
    <row r="496" spans="2:2">
      <c r="B496" s="185"/>
    </row>
    <row r="497" spans="2:2">
      <c r="B497" s="185"/>
    </row>
    <row r="498" spans="2:2">
      <c r="B498" s="185"/>
    </row>
    <row r="499" spans="2:2">
      <c r="B499" s="185"/>
    </row>
    <row r="500" spans="2:2">
      <c r="B500" s="185"/>
    </row>
    <row r="501" spans="2:2">
      <c r="B501" s="185"/>
    </row>
    <row r="502" spans="2:2">
      <c r="B502" s="185"/>
    </row>
    <row r="503" spans="2:2">
      <c r="B503" s="185"/>
    </row>
    <row r="504" spans="2:2">
      <c r="B504" s="185"/>
    </row>
    <row r="505" spans="2:2">
      <c r="B505" s="185"/>
    </row>
    <row r="506" spans="2:2">
      <c r="B506" s="185"/>
    </row>
    <row r="507" spans="2:2">
      <c r="B507" s="185"/>
    </row>
    <row r="508" spans="2:2">
      <c r="B508" s="185"/>
    </row>
    <row r="509" spans="2:2">
      <c r="B509" s="185"/>
    </row>
    <row r="510" spans="2:2">
      <c r="B510" s="185"/>
    </row>
    <row r="511" spans="2:2">
      <c r="B511" s="185"/>
    </row>
    <row r="512" spans="2:2">
      <c r="B512" s="185"/>
    </row>
    <row r="513" spans="2:2">
      <c r="B513" s="185"/>
    </row>
    <row r="514" spans="2:2">
      <c r="B514" s="185"/>
    </row>
    <row r="515" spans="2:2">
      <c r="B515" s="185"/>
    </row>
    <row r="516" spans="2:2">
      <c r="B516" s="185"/>
    </row>
    <row r="517" spans="2:2">
      <c r="B517" s="185"/>
    </row>
    <row r="518" spans="2:2">
      <c r="B518" s="185"/>
    </row>
    <row r="519" spans="2:2">
      <c r="B519" s="185"/>
    </row>
    <row r="520" spans="2:2">
      <c r="B520" s="185"/>
    </row>
    <row r="521" spans="2:2">
      <c r="B521" s="185"/>
    </row>
    <row r="522" spans="2:2">
      <c r="B522" s="185"/>
    </row>
    <row r="523" spans="2:2">
      <c r="B523" s="185"/>
    </row>
    <row r="524" spans="2:2">
      <c r="B524" s="185"/>
    </row>
    <row r="525" spans="2:2">
      <c r="B525" s="185"/>
    </row>
    <row r="526" spans="2:2">
      <c r="B526" s="185"/>
    </row>
    <row r="527" spans="2:2">
      <c r="B527" s="185"/>
    </row>
    <row r="528" spans="2:2">
      <c r="B528" s="185"/>
    </row>
    <row r="529" spans="2:2">
      <c r="B529" s="185"/>
    </row>
    <row r="530" spans="2:2">
      <c r="B530" s="185"/>
    </row>
    <row r="531" spans="2:2">
      <c r="B531" s="185"/>
    </row>
    <row r="532" spans="2:2">
      <c r="B532" s="185"/>
    </row>
    <row r="533" spans="2:2">
      <c r="B533" s="185"/>
    </row>
    <row r="534" spans="2:2">
      <c r="B534" s="185"/>
    </row>
    <row r="535" spans="2:2">
      <c r="B535" s="185"/>
    </row>
    <row r="536" spans="2:2">
      <c r="B536" s="185"/>
    </row>
    <row r="537" spans="2:2">
      <c r="B537" s="185"/>
    </row>
    <row r="538" spans="2:2">
      <c r="B538" s="185"/>
    </row>
    <row r="539" spans="2:2">
      <c r="B539" s="185"/>
    </row>
    <row r="540" spans="2:2">
      <c r="B540" s="185"/>
    </row>
    <row r="541" spans="2:2">
      <c r="B541" s="185"/>
    </row>
    <row r="542" spans="2:2">
      <c r="B542" s="185"/>
    </row>
    <row r="543" spans="2:2">
      <c r="B543" s="185"/>
    </row>
    <row r="544" spans="2:2">
      <c r="B544" s="185"/>
    </row>
    <row r="545" spans="2:2">
      <c r="B545" s="185"/>
    </row>
    <row r="546" spans="2:2">
      <c r="B546" s="185"/>
    </row>
    <row r="547" spans="2:2">
      <c r="B547" s="185"/>
    </row>
    <row r="548" spans="2:2">
      <c r="B548" s="185"/>
    </row>
    <row r="549" spans="2:2">
      <c r="B549" s="185"/>
    </row>
    <row r="550" spans="2:2">
      <c r="B550" s="185"/>
    </row>
    <row r="551" spans="2:2">
      <c r="B551" s="185"/>
    </row>
    <row r="552" spans="2:2">
      <c r="B552" s="185"/>
    </row>
    <row r="553" spans="2:2">
      <c r="B553" s="185"/>
    </row>
    <row r="554" spans="2:2">
      <c r="B554" s="185"/>
    </row>
    <row r="555" spans="2:2">
      <c r="B555" s="185"/>
    </row>
    <row r="556" spans="2:2">
      <c r="B556" s="185"/>
    </row>
    <row r="557" spans="2:2">
      <c r="B557" s="185"/>
    </row>
    <row r="558" spans="2:2">
      <c r="B558" s="185"/>
    </row>
    <row r="559" spans="2:2">
      <c r="B559" s="185"/>
    </row>
    <row r="560" spans="2:2">
      <c r="B560" s="185"/>
    </row>
    <row r="561" spans="2:2">
      <c r="B561" s="185"/>
    </row>
    <row r="562" spans="2:2">
      <c r="B562" s="185"/>
    </row>
    <row r="563" spans="2:2">
      <c r="B563" s="185"/>
    </row>
    <row r="564" spans="2:2">
      <c r="B564" s="185"/>
    </row>
    <row r="565" spans="2:2">
      <c r="B565" s="185"/>
    </row>
    <row r="566" spans="2:2">
      <c r="B566" s="185"/>
    </row>
    <row r="567" spans="2:2">
      <c r="B567" s="185"/>
    </row>
    <row r="568" spans="2:2">
      <c r="B568" s="185"/>
    </row>
    <row r="569" spans="2:2">
      <c r="B569" s="185"/>
    </row>
    <row r="570" spans="2:2">
      <c r="B570" s="185"/>
    </row>
    <row r="571" spans="2:2">
      <c r="B571" s="185"/>
    </row>
    <row r="572" spans="2:2">
      <c r="B572" s="185"/>
    </row>
    <row r="573" spans="2:2">
      <c r="B573" s="185"/>
    </row>
    <row r="574" spans="2:2">
      <c r="B574" s="185"/>
    </row>
    <row r="575" spans="2:2">
      <c r="B575" s="185"/>
    </row>
    <row r="576" spans="2:2">
      <c r="B576" s="185"/>
    </row>
    <row r="577" spans="2:2">
      <c r="B577" s="185"/>
    </row>
    <row r="578" spans="2:2">
      <c r="B578" s="185"/>
    </row>
    <row r="579" spans="2:2">
      <c r="B579" s="185"/>
    </row>
    <row r="580" spans="2:2">
      <c r="B580" s="185"/>
    </row>
    <row r="581" spans="2:2">
      <c r="B581" s="185"/>
    </row>
    <row r="582" spans="2:2">
      <c r="B582" s="185"/>
    </row>
    <row r="583" spans="2:2">
      <c r="B583" s="185"/>
    </row>
    <row r="584" spans="2:2">
      <c r="B584" s="185"/>
    </row>
    <row r="585" spans="2:2">
      <c r="B585" s="185"/>
    </row>
    <row r="586" spans="2:2">
      <c r="B586" s="185"/>
    </row>
    <row r="587" spans="2:2">
      <c r="B587" s="185"/>
    </row>
    <row r="588" spans="2:2">
      <c r="B588" s="185"/>
    </row>
    <row r="589" spans="2:2">
      <c r="B589" s="185"/>
    </row>
    <row r="590" spans="2:2">
      <c r="B590" s="185"/>
    </row>
    <row r="591" spans="2:2">
      <c r="B591" s="185"/>
    </row>
    <row r="592" spans="2:2">
      <c r="B592" s="185"/>
    </row>
    <row r="593" spans="2:2">
      <c r="B593" s="185"/>
    </row>
    <row r="594" spans="2:2">
      <c r="B594" s="185"/>
    </row>
    <row r="595" spans="2:2">
      <c r="B595" s="185"/>
    </row>
    <row r="596" spans="2:2">
      <c r="B596" s="185"/>
    </row>
    <row r="597" spans="2:2">
      <c r="B597" s="185"/>
    </row>
    <row r="598" spans="2:2">
      <c r="B598" s="185"/>
    </row>
    <row r="599" spans="2:2">
      <c r="B599" s="185"/>
    </row>
    <row r="600" spans="2:2">
      <c r="B600" s="185"/>
    </row>
    <row r="601" spans="2:2">
      <c r="B601" s="185"/>
    </row>
    <row r="602" spans="2:2">
      <c r="B602" s="185"/>
    </row>
    <row r="603" spans="2:2">
      <c r="B603" s="185"/>
    </row>
    <row r="604" spans="2:2">
      <c r="B604" s="185"/>
    </row>
    <row r="605" spans="2:2">
      <c r="B605" s="185"/>
    </row>
    <row r="606" spans="2:2">
      <c r="B606" s="185"/>
    </row>
    <row r="607" spans="2:2">
      <c r="B607" s="185"/>
    </row>
    <row r="608" spans="2:2">
      <c r="B608" s="185"/>
    </row>
    <row r="609" spans="2:2">
      <c r="B609" s="185"/>
    </row>
    <row r="610" spans="2:2">
      <c r="B610" s="185"/>
    </row>
    <row r="611" spans="2:2">
      <c r="B611" s="185"/>
    </row>
    <row r="612" spans="2:2">
      <c r="B612" s="185"/>
    </row>
    <row r="613" spans="2:2">
      <c r="B613" s="185"/>
    </row>
    <row r="614" spans="2:2">
      <c r="B614" s="185"/>
    </row>
    <row r="615" spans="2:2">
      <c r="B615" s="185"/>
    </row>
    <row r="616" spans="2:2">
      <c r="B616" s="185"/>
    </row>
    <row r="617" spans="2:2">
      <c r="B617" s="185"/>
    </row>
    <row r="618" spans="2:2">
      <c r="B618" s="185"/>
    </row>
    <row r="619" spans="2:2">
      <c r="B619" s="185"/>
    </row>
    <row r="620" spans="2:2">
      <c r="B620" s="185"/>
    </row>
    <row r="621" spans="2:2">
      <c r="B621" s="185"/>
    </row>
    <row r="622" spans="2:2">
      <c r="B622" s="185"/>
    </row>
    <row r="623" spans="2:2">
      <c r="B623" s="185"/>
    </row>
    <row r="624" spans="2:2">
      <c r="B624" s="185"/>
    </row>
    <row r="625" spans="2:2">
      <c r="B625" s="185"/>
    </row>
    <row r="626" spans="2:2">
      <c r="B626" s="185"/>
    </row>
    <row r="627" spans="2:2">
      <c r="B627" s="185"/>
    </row>
    <row r="628" spans="2:2">
      <c r="B628" s="185"/>
    </row>
    <row r="629" spans="2:2">
      <c r="B629" s="185"/>
    </row>
    <row r="630" spans="2:2">
      <c r="B630" s="185"/>
    </row>
    <row r="631" spans="2:2">
      <c r="B631" s="185"/>
    </row>
    <row r="632" spans="2:2">
      <c r="B632" s="185"/>
    </row>
    <row r="633" spans="2:2">
      <c r="B633" s="185"/>
    </row>
    <row r="634" spans="2:2">
      <c r="B634" s="185"/>
    </row>
    <row r="635" spans="2:2">
      <c r="B635" s="185"/>
    </row>
    <row r="636" spans="2:2">
      <c r="B636" s="185"/>
    </row>
    <row r="637" spans="2:2">
      <c r="B637" s="185"/>
    </row>
    <row r="638" spans="2:2">
      <c r="B638" s="185"/>
    </row>
    <row r="639" spans="2:2">
      <c r="B639" s="185"/>
    </row>
    <row r="640" spans="2:2">
      <c r="B640" s="185"/>
    </row>
    <row r="641" spans="2:2">
      <c r="B641" s="185"/>
    </row>
    <row r="642" spans="2:2">
      <c r="B642" s="185"/>
    </row>
    <row r="643" spans="2:2">
      <c r="B643" s="185"/>
    </row>
    <row r="644" spans="2:2">
      <c r="B644" s="185"/>
    </row>
    <row r="645" spans="2:2">
      <c r="B645" s="185"/>
    </row>
    <row r="646" spans="2:2">
      <c r="B646" s="185"/>
    </row>
    <row r="647" spans="2:2">
      <c r="B647" s="185"/>
    </row>
    <row r="648" spans="2:2">
      <c r="B648" s="185"/>
    </row>
    <row r="649" spans="2:2">
      <c r="B649" s="185"/>
    </row>
    <row r="650" spans="2:2">
      <c r="B650" s="185"/>
    </row>
    <row r="651" spans="2:2">
      <c r="B651" s="185"/>
    </row>
    <row r="652" spans="2:2">
      <c r="B652" s="185"/>
    </row>
    <row r="653" spans="2:2">
      <c r="B653" s="185"/>
    </row>
    <row r="654" spans="2:2">
      <c r="B654" s="185"/>
    </row>
    <row r="655" spans="2:2">
      <c r="B655" s="185"/>
    </row>
    <row r="656" spans="2:2">
      <c r="B656" s="185"/>
    </row>
    <row r="657" spans="2:2">
      <c r="B657" s="185"/>
    </row>
    <row r="658" spans="2:2">
      <c r="B658" s="185"/>
    </row>
    <row r="659" spans="2:2">
      <c r="B659" s="185"/>
    </row>
    <row r="660" spans="2:2">
      <c r="B660" s="185"/>
    </row>
    <row r="661" spans="2:2">
      <c r="B661" s="185"/>
    </row>
    <row r="662" spans="2:2">
      <c r="B662" s="185"/>
    </row>
    <row r="663" spans="2:2">
      <c r="B663" s="185"/>
    </row>
    <row r="664" spans="2:2">
      <c r="B664" s="185"/>
    </row>
    <row r="665" spans="2:2">
      <c r="B665" s="185"/>
    </row>
    <row r="666" spans="2:2">
      <c r="B666" s="185"/>
    </row>
    <row r="667" spans="2:2">
      <c r="B667" s="185"/>
    </row>
    <row r="668" spans="2:2">
      <c r="B668" s="185"/>
    </row>
    <row r="669" spans="2:2">
      <c r="B669" s="185"/>
    </row>
    <row r="670" spans="2:2">
      <c r="B670" s="185"/>
    </row>
    <row r="671" spans="2:2">
      <c r="B671" s="185"/>
    </row>
    <row r="672" spans="2:2">
      <c r="B672" s="185"/>
    </row>
    <row r="673" spans="2:2">
      <c r="B673" s="185"/>
    </row>
    <row r="674" spans="2:2">
      <c r="B674" s="185"/>
    </row>
    <row r="675" spans="2:2">
      <c r="B675" s="185"/>
    </row>
    <row r="676" spans="2:2">
      <c r="B676" s="185"/>
    </row>
    <row r="677" spans="2:2">
      <c r="B677" s="185"/>
    </row>
    <row r="678" spans="2:2">
      <c r="B678" s="185"/>
    </row>
    <row r="679" spans="2:2">
      <c r="B679" s="185"/>
    </row>
    <row r="680" spans="2:2">
      <c r="B680" s="185"/>
    </row>
    <row r="681" spans="2:2">
      <c r="B681" s="185"/>
    </row>
    <row r="682" spans="2:2">
      <c r="B682" s="185"/>
    </row>
    <row r="683" spans="2:2">
      <c r="B683" s="185"/>
    </row>
    <row r="684" spans="2:2">
      <c r="B684" s="185"/>
    </row>
    <row r="685" spans="2:2">
      <c r="B685" s="185"/>
    </row>
    <row r="686" spans="2:2">
      <c r="B686" s="185"/>
    </row>
    <row r="687" spans="2:2">
      <c r="B687" s="185"/>
    </row>
    <row r="688" spans="2:2">
      <c r="B688" s="185"/>
    </row>
    <row r="689" spans="2:2">
      <c r="B689" s="185"/>
    </row>
    <row r="690" spans="2:2">
      <c r="B690" s="185"/>
    </row>
    <row r="691" spans="2:2">
      <c r="B691" s="185"/>
    </row>
    <row r="692" spans="2:2">
      <c r="B692" s="185"/>
    </row>
    <row r="693" spans="2:2">
      <c r="B693" s="185"/>
    </row>
    <row r="694" spans="2:2">
      <c r="B694" s="185"/>
    </row>
    <row r="695" spans="2:2">
      <c r="B695" s="185"/>
    </row>
    <row r="696" spans="2:2">
      <c r="B696" s="185"/>
    </row>
    <row r="697" spans="2:2">
      <c r="B697" s="185"/>
    </row>
    <row r="698" spans="2:2">
      <c r="B698" s="185"/>
    </row>
    <row r="699" spans="2:2">
      <c r="B699" s="185"/>
    </row>
    <row r="700" spans="2:2">
      <c r="B700" s="185"/>
    </row>
    <row r="701" spans="2:2">
      <c r="B701" s="185"/>
    </row>
    <row r="702" spans="2:2">
      <c r="B702" s="185"/>
    </row>
    <row r="703" spans="2:2">
      <c r="B703" s="185"/>
    </row>
    <row r="704" spans="2:2">
      <c r="B704" s="185"/>
    </row>
    <row r="705" spans="2:2">
      <c r="B705" s="185"/>
    </row>
    <row r="706" spans="2:2">
      <c r="B706" s="185"/>
    </row>
    <row r="707" spans="2:2">
      <c r="B707" s="185"/>
    </row>
    <row r="708" spans="2:2">
      <c r="B708" s="185"/>
    </row>
    <row r="709" spans="2:2">
      <c r="B709" s="185"/>
    </row>
    <row r="710" spans="2:2">
      <c r="B710" s="185"/>
    </row>
    <row r="711" spans="2:2">
      <c r="B711" s="185"/>
    </row>
    <row r="712" spans="2:2">
      <c r="B712" s="185"/>
    </row>
    <row r="713" spans="2:2">
      <c r="B713" s="185"/>
    </row>
    <row r="714" spans="2:2">
      <c r="B714" s="185"/>
    </row>
    <row r="715" spans="2:2">
      <c r="B715" s="185"/>
    </row>
    <row r="716" spans="2:2">
      <c r="B716" s="185"/>
    </row>
    <row r="717" spans="2:2">
      <c r="B717" s="185"/>
    </row>
    <row r="718" spans="2:2">
      <c r="B718" s="185"/>
    </row>
    <row r="719" spans="2:2">
      <c r="B719" s="185"/>
    </row>
    <row r="720" spans="2:2">
      <c r="B720" s="185"/>
    </row>
    <row r="721" spans="2:2">
      <c r="B721" s="185"/>
    </row>
    <row r="722" spans="2:2">
      <c r="B722" s="185"/>
    </row>
    <row r="723" spans="2:2">
      <c r="B723" s="185"/>
    </row>
    <row r="724" spans="2:2">
      <c r="B724" s="185"/>
    </row>
    <row r="725" spans="2:2">
      <c r="B725" s="185"/>
    </row>
    <row r="726" spans="2:2">
      <c r="B726" s="185"/>
    </row>
    <row r="727" spans="2:2">
      <c r="B727" s="185"/>
    </row>
    <row r="728" spans="2:2">
      <c r="B728" s="185"/>
    </row>
    <row r="729" spans="2:2">
      <c r="B729" s="185"/>
    </row>
    <row r="730" spans="2:2">
      <c r="B730" s="185"/>
    </row>
    <row r="731" spans="2:2">
      <c r="B731" s="185"/>
    </row>
    <row r="732" spans="2:2">
      <c r="B732" s="185"/>
    </row>
    <row r="733" spans="2:2">
      <c r="B733" s="185"/>
    </row>
    <row r="734" spans="2:2">
      <c r="B734" s="185"/>
    </row>
    <row r="735" spans="2:2">
      <c r="B735" s="185"/>
    </row>
    <row r="736" spans="2:2">
      <c r="B736" s="185"/>
    </row>
    <row r="737" spans="2:2">
      <c r="B737" s="185"/>
    </row>
    <row r="738" spans="2:2">
      <c r="B738" s="185"/>
    </row>
    <row r="739" spans="2:2">
      <c r="B739" s="185"/>
    </row>
    <row r="740" spans="2:2">
      <c r="B740" s="185"/>
    </row>
    <row r="741" spans="2:2">
      <c r="B741" s="185"/>
    </row>
    <row r="742" spans="2:2">
      <c r="B742" s="185"/>
    </row>
    <row r="743" spans="2:2">
      <c r="B743" s="185"/>
    </row>
    <row r="744" spans="2:2">
      <c r="B744" s="185"/>
    </row>
    <row r="745" spans="2:2">
      <c r="B745" s="185"/>
    </row>
    <row r="746" spans="2:2">
      <c r="B746" s="185"/>
    </row>
    <row r="747" spans="2:2">
      <c r="B747" s="185"/>
    </row>
    <row r="748" spans="2:2">
      <c r="B748" s="185"/>
    </row>
    <row r="749" spans="2:2">
      <c r="B749" s="185"/>
    </row>
    <row r="750" spans="2:2">
      <c r="B750" s="185"/>
    </row>
    <row r="751" spans="2:2">
      <c r="B751" s="185"/>
    </row>
    <row r="752" spans="2:2">
      <c r="B752" s="185"/>
    </row>
    <row r="753" spans="2:2">
      <c r="B753" s="185"/>
    </row>
    <row r="754" spans="2:2">
      <c r="B754" s="185"/>
    </row>
    <row r="755" spans="2:2">
      <c r="B755" s="185"/>
    </row>
    <row r="756" spans="2:2">
      <c r="B756" s="185"/>
    </row>
    <row r="757" spans="2:2">
      <c r="B757" s="185"/>
    </row>
    <row r="758" spans="2:2">
      <c r="B758" s="185"/>
    </row>
    <row r="759" spans="2:2">
      <c r="B759" s="185"/>
    </row>
    <row r="760" spans="2:2">
      <c r="B760" s="185"/>
    </row>
    <row r="761" spans="2:2">
      <c r="B761" s="185"/>
    </row>
    <row r="762" spans="2:2">
      <c r="B762" s="185"/>
    </row>
    <row r="763" spans="2:2">
      <c r="B763" s="185"/>
    </row>
    <row r="764" spans="2:2">
      <c r="B764" s="185"/>
    </row>
    <row r="765" spans="2:2">
      <c r="B765" s="185"/>
    </row>
    <row r="766" spans="2:2">
      <c r="B766" s="185"/>
    </row>
    <row r="767" spans="2:2">
      <c r="B767" s="185"/>
    </row>
    <row r="768" spans="2:2">
      <c r="B768" s="185"/>
    </row>
    <row r="769" spans="2:2">
      <c r="B769" s="185"/>
    </row>
    <row r="770" spans="2:2">
      <c r="B770" s="185"/>
    </row>
    <row r="771" spans="2:2">
      <c r="B771" s="185"/>
    </row>
    <row r="772" spans="2:2">
      <c r="B772" s="185"/>
    </row>
    <row r="773" spans="2:2">
      <c r="B773" s="185"/>
    </row>
    <row r="774" spans="2:2">
      <c r="B774" s="185"/>
    </row>
    <row r="775" spans="2:2">
      <c r="B775" s="185"/>
    </row>
    <row r="776" spans="2:2">
      <c r="B776" s="185"/>
    </row>
    <row r="777" spans="2:2">
      <c r="B777" s="185"/>
    </row>
    <row r="778" spans="2:2">
      <c r="B778" s="185"/>
    </row>
    <row r="779" spans="2:2">
      <c r="B779" s="185"/>
    </row>
    <row r="780" spans="2:2">
      <c r="B780" s="185"/>
    </row>
    <row r="781" spans="2:2">
      <c r="B781" s="185"/>
    </row>
    <row r="782" spans="2:2">
      <c r="B782" s="185"/>
    </row>
    <row r="783" spans="2:2">
      <c r="B783" s="185"/>
    </row>
    <row r="784" spans="2:2">
      <c r="B784" s="185"/>
    </row>
    <row r="785" spans="2:2">
      <c r="B785" s="185"/>
    </row>
    <row r="786" spans="2:2">
      <c r="B786" s="185"/>
    </row>
    <row r="787" spans="2:2">
      <c r="B787" s="185"/>
    </row>
    <row r="788" spans="2:2">
      <c r="B788" s="185"/>
    </row>
    <row r="789" spans="2:2">
      <c r="B789" s="185"/>
    </row>
    <row r="790" spans="2:2">
      <c r="B790" s="185"/>
    </row>
    <row r="791" spans="2:2">
      <c r="B791" s="185"/>
    </row>
    <row r="792" spans="2:2">
      <c r="B792" s="185"/>
    </row>
    <row r="793" spans="2:2">
      <c r="B793" s="185"/>
    </row>
    <row r="794" spans="2:2">
      <c r="B794" s="185"/>
    </row>
    <row r="795" spans="2:2">
      <c r="B795" s="185"/>
    </row>
    <row r="796" spans="2:2">
      <c r="B796" s="185"/>
    </row>
    <row r="797" spans="2:2">
      <c r="B797" s="185"/>
    </row>
    <row r="798" spans="2:2">
      <c r="B798" s="185"/>
    </row>
    <row r="799" spans="2:2">
      <c r="B799" s="185"/>
    </row>
    <row r="800" spans="2:2">
      <c r="B800" s="185"/>
    </row>
    <row r="801" spans="2:2">
      <c r="B801" s="185"/>
    </row>
    <row r="802" spans="2:2">
      <c r="B802" s="185"/>
    </row>
    <row r="803" spans="2:2">
      <c r="B803" s="185"/>
    </row>
    <row r="804" spans="2:2">
      <c r="B804" s="185"/>
    </row>
    <row r="805" spans="2:2">
      <c r="B805" s="185"/>
    </row>
    <row r="806" spans="2:2">
      <c r="B806" s="185"/>
    </row>
    <row r="807" spans="2:2">
      <c r="B807" s="185"/>
    </row>
    <row r="808" spans="2:2">
      <c r="B808" s="185"/>
    </row>
    <row r="809" spans="2:2">
      <c r="B809" s="185"/>
    </row>
    <row r="810" spans="2:2">
      <c r="B810" s="185"/>
    </row>
    <row r="811" spans="2:2">
      <c r="B811" s="185"/>
    </row>
    <row r="812" spans="2:2">
      <c r="B812" s="185"/>
    </row>
    <row r="813" spans="2:2">
      <c r="B813" s="185"/>
    </row>
    <row r="814" spans="2:2">
      <c r="B814" s="185"/>
    </row>
    <row r="815" spans="2:2">
      <c r="B815" s="185"/>
    </row>
    <row r="816" spans="2:2">
      <c r="B816" s="185"/>
    </row>
    <row r="817" spans="2:2">
      <c r="B817" s="185"/>
    </row>
    <row r="818" spans="2:2">
      <c r="B818" s="185"/>
    </row>
    <row r="819" spans="2:2">
      <c r="B819" s="185"/>
    </row>
    <row r="820" spans="2:2">
      <c r="B820" s="185"/>
    </row>
    <row r="821" spans="2:2">
      <c r="B821" s="185"/>
    </row>
    <row r="822" spans="2:2">
      <c r="B822" s="185"/>
    </row>
    <row r="823" spans="2:2">
      <c r="B823" s="185"/>
    </row>
    <row r="824" spans="2:2">
      <c r="B824" s="185"/>
    </row>
    <row r="825" spans="2:2">
      <c r="B825" s="185"/>
    </row>
    <row r="826" spans="2:2">
      <c r="B826" s="185"/>
    </row>
    <row r="827" spans="2:2">
      <c r="B827" s="185"/>
    </row>
    <row r="828" spans="2:2">
      <c r="B828" s="185"/>
    </row>
    <row r="829" spans="2:2">
      <c r="B829" s="185"/>
    </row>
    <row r="830" spans="2:2">
      <c r="B830" s="185"/>
    </row>
    <row r="831" spans="2:2">
      <c r="B831" s="185"/>
    </row>
    <row r="832" spans="2:2">
      <c r="B832" s="185"/>
    </row>
    <row r="833" spans="2:2">
      <c r="B833" s="185"/>
    </row>
    <row r="834" spans="2:2">
      <c r="B834" s="185"/>
    </row>
    <row r="835" spans="2:2">
      <c r="B835" s="185"/>
    </row>
    <row r="836" spans="2:2">
      <c r="B836" s="185"/>
    </row>
    <row r="837" spans="2:2">
      <c r="B837" s="185"/>
    </row>
    <row r="838" spans="2:2">
      <c r="B838" s="185"/>
    </row>
    <row r="839" spans="2:2">
      <c r="B839" s="185"/>
    </row>
    <row r="840" spans="2:2">
      <c r="B840" s="185"/>
    </row>
    <row r="841" spans="2:2">
      <c r="B841" s="185"/>
    </row>
    <row r="842" spans="2:2">
      <c r="B842" s="185"/>
    </row>
    <row r="843" spans="2:2">
      <c r="B843" s="185"/>
    </row>
    <row r="844" spans="2:2">
      <c r="B844" s="185"/>
    </row>
    <row r="845" spans="2:2">
      <c r="B845" s="185"/>
    </row>
    <row r="846" spans="2:2">
      <c r="B846" s="185"/>
    </row>
    <row r="847" spans="2:2">
      <c r="B847" s="185"/>
    </row>
    <row r="848" spans="2:2">
      <c r="B848" s="185"/>
    </row>
    <row r="849" spans="2:2">
      <c r="B849" s="185"/>
    </row>
    <row r="850" spans="2:2">
      <c r="B850" s="185"/>
    </row>
    <row r="851" spans="2:2">
      <c r="B851" s="185"/>
    </row>
    <row r="852" spans="2:2">
      <c r="B852" s="185"/>
    </row>
    <row r="853" spans="2:2">
      <c r="B853" s="185"/>
    </row>
    <row r="854" spans="2:2">
      <c r="B854" s="185"/>
    </row>
    <row r="855" spans="2:2">
      <c r="B855" s="185"/>
    </row>
    <row r="856" spans="2:2">
      <c r="B856" s="185"/>
    </row>
    <row r="857" spans="2:2">
      <c r="B857" s="185"/>
    </row>
    <row r="858" spans="2:2">
      <c r="B858" s="185"/>
    </row>
    <row r="859" spans="2:2">
      <c r="B859" s="185"/>
    </row>
    <row r="860" spans="2:2">
      <c r="B860" s="185"/>
    </row>
    <row r="861" spans="2:2">
      <c r="B861" s="185"/>
    </row>
    <row r="862" spans="2:2">
      <c r="B862" s="185"/>
    </row>
    <row r="863" spans="2:2">
      <c r="B863" s="185"/>
    </row>
    <row r="864" spans="2:2">
      <c r="B864" s="185"/>
    </row>
    <row r="865" spans="2:2">
      <c r="B865" s="185"/>
    </row>
    <row r="866" spans="2:2">
      <c r="B866" s="185"/>
    </row>
    <row r="867" spans="2:2">
      <c r="B867" s="185"/>
    </row>
    <row r="868" spans="2:2">
      <c r="B868" s="185"/>
    </row>
    <row r="869" spans="2:2">
      <c r="B869" s="185"/>
    </row>
    <row r="870" spans="2:2">
      <c r="B870" s="185"/>
    </row>
    <row r="871" spans="2:2">
      <c r="B871" s="185"/>
    </row>
    <row r="872" spans="2:2">
      <c r="B872" s="185"/>
    </row>
    <row r="873" spans="2:2">
      <c r="B873" s="185"/>
    </row>
    <row r="874" spans="2:2">
      <c r="B874" s="185"/>
    </row>
    <row r="875" spans="2:2">
      <c r="B875" s="185"/>
    </row>
    <row r="876" spans="2:2">
      <c r="B876" s="185"/>
    </row>
    <row r="877" spans="2:2">
      <c r="B877" s="185"/>
    </row>
    <row r="878" spans="2:2">
      <c r="B878" s="185"/>
    </row>
    <row r="879" spans="2:2">
      <c r="B879" s="185"/>
    </row>
    <row r="880" spans="2:2">
      <c r="B880" s="185"/>
    </row>
    <row r="881" spans="2:2">
      <c r="B881" s="185"/>
    </row>
    <row r="882" spans="2:2">
      <c r="B882" s="185"/>
    </row>
    <row r="883" spans="2:2">
      <c r="B883" s="185"/>
    </row>
    <row r="884" spans="2:2">
      <c r="B884" s="185"/>
    </row>
    <row r="885" spans="2:2">
      <c r="B885" s="185"/>
    </row>
    <row r="886" spans="2:2">
      <c r="B886" s="185"/>
    </row>
    <row r="887" spans="2:2">
      <c r="B887" s="185"/>
    </row>
    <row r="888" spans="2:2">
      <c r="B888" s="185"/>
    </row>
    <row r="889" spans="2:2">
      <c r="B889" s="185"/>
    </row>
    <row r="890" spans="2:2">
      <c r="B890" s="185"/>
    </row>
    <row r="891" spans="2:2">
      <c r="B891" s="185"/>
    </row>
    <row r="892" spans="2:2">
      <c r="B892" s="185"/>
    </row>
    <row r="893" spans="2:2">
      <c r="B893" s="185"/>
    </row>
    <row r="894" spans="2:2">
      <c r="B894" s="185"/>
    </row>
    <row r="895" spans="2:2">
      <c r="B895" s="185"/>
    </row>
    <row r="896" spans="2:2">
      <c r="B896" s="185"/>
    </row>
    <row r="897" spans="2:2">
      <c r="B897" s="185"/>
    </row>
    <row r="898" spans="2:2">
      <c r="B898" s="185"/>
    </row>
    <row r="899" spans="2:2">
      <c r="B899" s="185"/>
    </row>
    <row r="900" spans="2:2">
      <c r="B900" s="185"/>
    </row>
    <row r="901" spans="2:2">
      <c r="B901" s="185"/>
    </row>
    <row r="902" spans="2:2">
      <c r="B902" s="185"/>
    </row>
    <row r="903" spans="2:2">
      <c r="B903" s="185"/>
    </row>
    <row r="904" spans="2:2">
      <c r="B904" s="185"/>
    </row>
    <row r="905" spans="2:2">
      <c r="B905" s="185"/>
    </row>
    <row r="906" spans="2:2">
      <c r="B906" s="185"/>
    </row>
    <row r="907" spans="2:2">
      <c r="B907" s="185"/>
    </row>
    <row r="908" spans="2:2">
      <c r="B908" s="185"/>
    </row>
    <row r="909" spans="2:2">
      <c r="B909" s="185"/>
    </row>
    <row r="910" spans="2:2">
      <c r="B910" s="185"/>
    </row>
    <row r="911" spans="2:2">
      <c r="B911" s="185"/>
    </row>
    <row r="912" spans="2:2">
      <c r="B912" s="185"/>
    </row>
    <row r="913" spans="2:2">
      <c r="B913" s="185"/>
    </row>
    <row r="914" spans="2:2">
      <c r="B914" s="185"/>
    </row>
    <row r="915" spans="2:2">
      <c r="B915" s="185"/>
    </row>
    <row r="916" spans="2:2">
      <c r="B916" s="185"/>
    </row>
    <row r="917" spans="2:2">
      <c r="B917" s="185"/>
    </row>
    <row r="918" spans="2:2">
      <c r="B918" s="185"/>
    </row>
    <row r="919" spans="2:2">
      <c r="B919" s="185"/>
    </row>
    <row r="920" spans="2:2">
      <c r="B920" s="185"/>
    </row>
    <row r="921" spans="2:2">
      <c r="B921" s="185"/>
    </row>
    <row r="922" spans="2:2">
      <c r="B922" s="185"/>
    </row>
    <row r="923" spans="2:2">
      <c r="B923" s="185"/>
    </row>
    <row r="924" spans="2:2">
      <c r="B924" s="185"/>
    </row>
    <row r="925" spans="2:2">
      <c r="B925" s="185"/>
    </row>
    <row r="926" spans="2:2">
      <c r="B926" s="185"/>
    </row>
    <row r="927" spans="2:2">
      <c r="B927" s="185"/>
    </row>
    <row r="928" spans="2:2">
      <c r="B928" s="185"/>
    </row>
    <row r="929" spans="2:2">
      <c r="B929" s="185"/>
    </row>
    <row r="930" spans="2:2">
      <c r="B930" s="185"/>
    </row>
    <row r="931" spans="2:2">
      <c r="B931" s="185"/>
    </row>
    <row r="932" spans="2:2">
      <c r="B932" s="185"/>
    </row>
    <row r="933" spans="2:2">
      <c r="B933" s="185"/>
    </row>
    <row r="934" spans="2:2">
      <c r="B934" s="185"/>
    </row>
    <row r="935" spans="2:2">
      <c r="B935" s="185"/>
    </row>
    <row r="936" spans="2:2">
      <c r="B936" s="185"/>
    </row>
    <row r="937" spans="2:2">
      <c r="B937" s="185"/>
    </row>
    <row r="938" spans="2:2">
      <c r="B938" s="185"/>
    </row>
    <row r="939" spans="2:2">
      <c r="B939" s="185"/>
    </row>
    <row r="940" spans="2:2">
      <c r="B940" s="185"/>
    </row>
    <row r="941" spans="2:2">
      <c r="B941" s="185"/>
    </row>
    <row r="942" spans="2:2">
      <c r="B942" s="185"/>
    </row>
    <row r="943" spans="2:2">
      <c r="B943" s="185"/>
    </row>
    <row r="944" spans="2:2">
      <c r="B944" s="185"/>
    </row>
    <row r="945" spans="2:2">
      <c r="B945" s="185"/>
    </row>
    <row r="946" spans="2:2">
      <c r="B946" s="185"/>
    </row>
    <row r="947" spans="2:2">
      <c r="B947" s="185"/>
    </row>
    <row r="948" spans="2:2">
      <c r="B948" s="185"/>
    </row>
    <row r="949" spans="2:2">
      <c r="B949" s="185"/>
    </row>
    <row r="950" spans="2:2">
      <c r="B950" s="185"/>
    </row>
    <row r="951" spans="2:2">
      <c r="B951" s="185"/>
    </row>
    <row r="952" spans="2:2">
      <c r="B952" s="185"/>
    </row>
    <row r="953" spans="2:2">
      <c r="B953" s="185"/>
    </row>
    <row r="954" spans="2:2">
      <c r="B954" s="185"/>
    </row>
    <row r="955" spans="2:2">
      <c r="B955" s="185"/>
    </row>
    <row r="956" spans="2:2">
      <c r="B956" s="185"/>
    </row>
    <row r="957" spans="2:2">
      <c r="B957" s="185"/>
    </row>
    <row r="958" spans="2:2">
      <c r="B958" s="185"/>
    </row>
    <row r="959" spans="2:2">
      <c r="B959" s="185"/>
    </row>
    <row r="960" spans="2:2">
      <c r="B960" s="185"/>
    </row>
    <row r="961" spans="2:2">
      <c r="B961" s="185"/>
    </row>
    <row r="962" spans="2:2">
      <c r="B962" s="185"/>
    </row>
    <row r="963" spans="2:2">
      <c r="B963" s="185"/>
    </row>
    <row r="964" spans="2:2">
      <c r="B964" s="185"/>
    </row>
    <row r="965" spans="2:2">
      <c r="B965" s="185"/>
    </row>
    <row r="966" spans="2:2">
      <c r="B966" s="185"/>
    </row>
    <row r="967" spans="2:2">
      <c r="B967" s="185"/>
    </row>
    <row r="968" spans="2:2">
      <c r="B968" s="185"/>
    </row>
    <row r="969" spans="2:2">
      <c r="B969" s="185"/>
    </row>
    <row r="970" spans="2:2">
      <c r="B970" s="185"/>
    </row>
    <row r="971" spans="2:2">
      <c r="B971" s="185"/>
    </row>
    <row r="972" spans="2:2">
      <c r="B972" s="185"/>
    </row>
    <row r="973" spans="2:2">
      <c r="B973" s="185"/>
    </row>
    <row r="974" spans="2:2">
      <c r="B974" s="185"/>
    </row>
    <row r="975" spans="2:2">
      <c r="B975" s="185"/>
    </row>
    <row r="976" spans="2:2">
      <c r="B976" s="185"/>
    </row>
    <row r="977" spans="2:2">
      <c r="B977" s="185"/>
    </row>
    <row r="978" spans="2:2">
      <c r="B978" s="185"/>
    </row>
    <row r="979" spans="2:2">
      <c r="B979" s="185"/>
    </row>
    <row r="980" spans="2:2">
      <c r="B980" s="185"/>
    </row>
    <row r="981" spans="2:2">
      <c r="B981" s="185"/>
    </row>
    <row r="982" spans="2:2">
      <c r="B982" s="185"/>
    </row>
    <row r="983" spans="2:2">
      <c r="B983" s="185"/>
    </row>
    <row r="984" spans="2:2">
      <c r="B984" s="185"/>
    </row>
    <row r="985" spans="2:2">
      <c r="B985" s="185"/>
    </row>
    <row r="986" spans="2:2">
      <c r="B986" s="185"/>
    </row>
    <row r="987" spans="2:2">
      <c r="B987" s="185"/>
    </row>
    <row r="988" spans="2:2">
      <c r="B988" s="185"/>
    </row>
    <row r="989" spans="2:2">
      <c r="B989" s="185"/>
    </row>
    <row r="990" spans="2:2">
      <c r="B990" s="185"/>
    </row>
    <row r="991" spans="2:2">
      <c r="B991" s="185"/>
    </row>
    <row r="992" spans="2:2">
      <c r="B992" s="185"/>
    </row>
    <row r="993" spans="2:2">
      <c r="B993" s="185"/>
    </row>
    <row r="994" spans="2:2">
      <c r="B994" s="185"/>
    </row>
    <row r="995" spans="2:2">
      <c r="B995" s="185"/>
    </row>
    <row r="996" spans="2:2">
      <c r="B996" s="185"/>
    </row>
    <row r="997" spans="2:2">
      <c r="B997" s="185"/>
    </row>
    <row r="998" spans="2:2">
      <c r="B998" s="185"/>
    </row>
    <row r="999" spans="2:2">
      <c r="B999" s="185"/>
    </row>
    <row r="1000" spans="2:2">
      <c r="B1000" s="185"/>
    </row>
  </sheetData>
  <hyperlinks>
    <hyperlink ref="A1" r:id="rId1" location="data/FBS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25.42578125" customWidth="1"/>
  </cols>
  <sheetData>
    <row r="1" spans="1:7">
      <c r="A1" s="502" t="s">
        <v>466</v>
      </c>
      <c r="B1" s="504" t="s">
        <v>1155</v>
      </c>
      <c r="C1" s="482" t="s">
        <v>69</v>
      </c>
      <c r="D1" s="482" t="s">
        <v>1151</v>
      </c>
      <c r="E1" s="287" t="s">
        <v>1152</v>
      </c>
      <c r="F1" s="287" t="s">
        <v>1153</v>
      </c>
      <c r="G1" s="287" t="s">
        <v>1154</v>
      </c>
    </row>
    <row r="2" spans="1:7">
      <c r="A2" s="480" t="s">
        <v>279</v>
      </c>
      <c r="B2" s="505">
        <v>1.43</v>
      </c>
      <c r="C2" s="503">
        <f t="shared" ref="C2:C174" si="0">SUM(D2:G2)</f>
        <v>8.26</v>
      </c>
      <c r="D2" s="480">
        <v>3.63</v>
      </c>
      <c r="E2" s="480">
        <v>0.01</v>
      </c>
      <c r="F2" s="480">
        <v>4.3099999999999996</v>
      </c>
      <c r="G2" s="480">
        <v>0.31</v>
      </c>
    </row>
    <row r="3" spans="1:7">
      <c r="A3" s="480" t="s">
        <v>240</v>
      </c>
      <c r="B3" s="505">
        <v>9.48</v>
      </c>
      <c r="C3" s="503">
        <f t="shared" si="0"/>
        <v>29.630000000000003</v>
      </c>
      <c r="D3" s="480">
        <v>13.38</v>
      </c>
      <c r="E3" s="480">
        <v>5.35</v>
      </c>
      <c r="F3" s="480">
        <v>10.9</v>
      </c>
      <c r="G3" s="480">
        <v>0</v>
      </c>
    </row>
    <row r="4" spans="1:7">
      <c r="A4" s="480" t="s">
        <v>219</v>
      </c>
      <c r="B4" s="505">
        <v>6.98</v>
      </c>
      <c r="C4" s="503">
        <f t="shared" si="0"/>
        <v>12.86</v>
      </c>
      <c r="D4" s="480">
        <v>4.6399999999999997</v>
      </c>
      <c r="E4" s="480">
        <v>0.01</v>
      </c>
      <c r="F4" s="480">
        <v>7.85</v>
      </c>
      <c r="G4" s="480">
        <v>0.36</v>
      </c>
    </row>
    <row r="5" spans="1:7">
      <c r="A5" s="480" t="s">
        <v>173</v>
      </c>
      <c r="B5" s="505">
        <v>11.76</v>
      </c>
      <c r="C5" s="503">
        <f t="shared" si="0"/>
        <v>11.930000000000001</v>
      </c>
      <c r="D5" s="480">
        <v>4.0999999999999996</v>
      </c>
      <c r="E5" s="480">
        <v>6.7</v>
      </c>
      <c r="F5" s="480">
        <v>0.82</v>
      </c>
      <c r="G5" s="480">
        <v>0.31</v>
      </c>
    </row>
    <row r="6" spans="1:7">
      <c r="A6" s="480" t="s">
        <v>405</v>
      </c>
      <c r="B6" s="505">
        <v>57.64</v>
      </c>
      <c r="C6" s="503">
        <f t="shared" si="0"/>
        <v>16.14</v>
      </c>
      <c r="D6" s="480">
        <v>7.11</v>
      </c>
      <c r="E6" s="480">
        <v>7.55</v>
      </c>
      <c r="F6" s="480">
        <v>1.34</v>
      </c>
      <c r="G6" s="480">
        <v>0.14000000000000001</v>
      </c>
    </row>
    <row r="7" spans="1:7">
      <c r="A7" s="480" t="s">
        <v>307</v>
      </c>
      <c r="B7" s="505">
        <v>44.25</v>
      </c>
      <c r="C7" s="503">
        <f t="shared" si="0"/>
        <v>72.27</v>
      </c>
      <c r="D7" s="480">
        <v>55.44</v>
      </c>
      <c r="E7" s="480">
        <v>14.45</v>
      </c>
      <c r="F7" s="480">
        <v>1.27</v>
      </c>
      <c r="G7" s="480">
        <v>1.1100000000000001</v>
      </c>
    </row>
    <row r="8" spans="1:7">
      <c r="A8" s="480" t="s">
        <v>280</v>
      </c>
      <c r="B8" s="505">
        <v>15.17</v>
      </c>
      <c r="C8" s="503">
        <f t="shared" si="0"/>
        <v>27.53</v>
      </c>
      <c r="D8" s="480">
        <v>18.32</v>
      </c>
      <c r="E8" s="480">
        <v>6.28</v>
      </c>
      <c r="F8" s="480">
        <v>2.9</v>
      </c>
      <c r="G8" s="480">
        <v>0.03</v>
      </c>
    </row>
    <row r="9" spans="1:7">
      <c r="A9" s="480" t="s">
        <v>292</v>
      </c>
      <c r="B9" s="505">
        <v>48.66</v>
      </c>
      <c r="C9" s="503">
        <f t="shared" si="0"/>
        <v>64.36</v>
      </c>
      <c r="D9" s="480">
        <v>28.21</v>
      </c>
      <c r="E9" s="480">
        <v>25.86</v>
      </c>
      <c r="F9" s="480">
        <v>9.23</v>
      </c>
      <c r="G9" s="480">
        <v>1.06</v>
      </c>
    </row>
    <row r="10" spans="1:7">
      <c r="A10" s="480" t="s">
        <v>241</v>
      </c>
      <c r="B10" s="505">
        <v>18.510000000000002</v>
      </c>
      <c r="C10" s="503">
        <f t="shared" si="0"/>
        <v>68.08</v>
      </c>
      <c r="D10" s="480">
        <v>16.649999999999999</v>
      </c>
      <c r="E10" s="480">
        <v>48.95</v>
      </c>
      <c r="F10" s="480">
        <v>1.1399999999999999</v>
      </c>
      <c r="G10" s="480">
        <v>1.34</v>
      </c>
    </row>
    <row r="11" spans="1:7">
      <c r="A11" s="480" t="s">
        <v>406</v>
      </c>
      <c r="B11" s="505">
        <v>13.87</v>
      </c>
      <c r="C11" s="503">
        <f t="shared" si="0"/>
        <v>20.909999999999997</v>
      </c>
      <c r="D11" s="480">
        <v>12.61</v>
      </c>
      <c r="E11" s="480">
        <v>0.53</v>
      </c>
      <c r="F11" s="480">
        <v>7.77</v>
      </c>
      <c r="G11" s="480">
        <v>0</v>
      </c>
    </row>
    <row r="12" spans="1:7">
      <c r="A12" s="480" t="s">
        <v>407</v>
      </c>
      <c r="B12" s="505">
        <v>51.88</v>
      </c>
      <c r="C12" s="503">
        <f t="shared" si="0"/>
        <v>34.71</v>
      </c>
      <c r="D12" s="480">
        <v>7.06</v>
      </c>
      <c r="E12" s="480">
        <v>25.79</v>
      </c>
      <c r="F12" s="480">
        <v>1.74</v>
      </c>
      <c r="G12" s="480">
        <v>0.12</v>
      </c>
    </row>
    <row r="13" spans="1:7">
      <c r="A13" s="480" t="s">
        <v>236</v>
      </c>
      <c r="B13" s="505">
        <v>1.59</v>
      </c>
      <c r="C13" s="503">
        <f t="shared" si="0"/>
        <v>2.7</v>
      </c>
      <c r="D13" s="480">
        <v>1.29</v>
      </c>
      <c r="E13" s="480">
        <v>0</v>
      </c>
      <c r="F13" s="480">
        <v>1.41</v>
      </c>
      <c r="G13" s="480">
        <v>0</v>
      </c>
    </row>
    <row r="14" spans="1:7">
      <c r="A14" s="480" t="s">
        <v>408</v>
      </c>
      <c r="B14" s="505">
        <v>48.66</v>
      </c>
      <c r="C14" s="503">
        <f t="shared" si="0"/>
        <v>24.66</v>
      </c>
      <c r="D14" s="480">
        <v>12.2</v>
      </c>
      <c r="E14" s="480">
        <v>8.42</v>
      </c>
      <c r="F14" s="480">
        <v>3.99</v>
      </c>
      <c r="G14" s="480">
        <v>0.05</v>
      </c>
    </row>
    <row r="15" spans="1:7">
      <c r="A15" s="480" t="s">
        <v>242</v>
      </c>
      <c r="B15" s="505">
        <v>28.84</v>
      </c>
      <c r="C15" s="503">
        <f t="shared" si="0"/>
        <v>55.18</v>
      </c>
      <c r="D15" s="480">
        <v>16.39</v>
      </c>
      <c r="E15" s="480">
        <v>38.46</v>
      </c>
      <c r="F15" s="480">
        <v>0.11</v>
      </c>
      <c r="G15" s="480">
        <v>0.22</v>
      </c>
    </row>
    <row r="16" spans="1:7">
      <c r="A16" s="480" t="s">
        <v>243</v>
      </c>
      <c r="B16" s="505">
        <v>11.51</v>
      </c>
      <c r="C16" s="503">
        <f t="shared" si="0"/>
        <v>43.2</v>
      </c>
      <c r="D16" s="480">
        <v>11.86</v>
      </c>
      <c r="E16" s="480">
        <v>28.35</v>
      </c>
      <c r="F16" s="480">
        <v>1.1399999999999999</v>
      </c>
      <c r="G16" s="480">
        <v>1.85</v>
      </c>
    </row>
    <row r="17" spans="1:7">
      <c r="A17" s="480" t="s">
        <v>308</v>
      </c>
      <c r="B17" s="505">
        <v>25.78</v>
      </c>
      <c r="C17" s="503">
        <f t="shared" si="0"/>
        <v>23.45</v>
      </c>
      <c r="D17" s="480">
        <v>3.95</v>
      </c>
      <c r="E17" s="480">
        <v>19.14</v>
      </c>
      <c r="F17" s="480">
        <v>0.11</v>
      </c>
      <c r="G17" s="480">
        <v>0.25</v>
      </c>
    </row>
    <row r="18" spans="1:7">
      <c r="A18" s="480" t="s">
        <v>174</v>
      </c>
      <c r="B18" s="505">
        <v>9.9499999999999993</v>
      </c>
      <c r="C18" s="503">
        <f t="shared" si="0"/>
        <v>5.72</v>
      </c>
      <c r="D18" s="480">
        <v>3.39</v>
      </c>
      <c r="E18" s="480">
        <v>0.69</v>
      </c>
      <c r="F18" s="480">
        <v>0.84</v>
      </c>
      <c r="G18" s="480">
        <v>0.8</v>
      </c>
    </row>
    <row r="19" spans="1:7">
      <c r="A19" s="480" t="s">
        <v>409</v>
      </c>
      <c r="B19" s="505">
        <v>42.59</v>
      </c>
      <c r="C19" s="503">
        <f t="shared" si="0"/>
        <v>37.65</v>
      </c>
      <c r="D19" s="480">
        <v>23.28</v>
      </c>
      <c r="E19" s="480">
        <v>9.61</v>
      </c>
      <c r="F19" s="480">
        <v>2.91</v>
      </c>
      <c r="G19" s="480">
        <v>1.85</v>
      </c>
    </row>
    <row r="20" spans="1:7">
      <c r="A20" s="480" t="s">
        <v>244</v>
      </c>
      <c r="B20" s="505">
        <v>19.760000000000002</v>
      </c>
      <c r="C20" s="503">
        <f t="shared" si="0"/>
        <v>23.110000000000003</v>
      </c>
      <c r="D20" s="480">
        <v>12.32</v>
      </c>
      <c r="E20" s="480">
        <v>9.81</v>
      </c>
      <c r="F20" s="480">
        <v>0.47</v>
      </c>
      <c r="G20" s="480">
        <v>0.51</v>
      </c>
    </row>
    <row r="21" spans="1:7">
      <c r="A21" s="480" t="s">
        <v>175</v>
      </c>
      <c r="B21" s="505">
        <v>3.93</v>
      </c>
      <c r="C21" s="503">
        <f t="shared" si="0"/>
        <v>21.15</v>
      </c>
      <c r="D21" s="480">
        <v>5.47</v>
      </c>
      <c r="E21" s="480">
        <v>0.71</v>
      </c>
      <c r="F21" s="480">
        <v>2.73</v>
      </c>
      <c r="G21" s="480">
        <v>12.24</v>
      </c>
    </row>
    <row r="22" spans="1:7">
      <c r="A22" s="480" t="s">
        <v>310</v>
      </c>
      <c r="B22" s="505">
        <v>47.05</v>
      </c>
      <c r="C22" s="503">
        <f t="shared" si="0"/>
        <v>52.26</v>
      </c>
      <c r="D22" s="480">
        <v>37.47</v>
      </c>
      <c r="E22" s="480">
        <v>13.52</v>
      </c>
      <c r="F22" s="480">
        <v>0.6</v>
      </c>
      <c r="G22" s="480">
        <v>0.67</v>
      </c>
    </row>
    <row r="23" spans="1:7">
      <c r="A23" s="480" t="s">
        <v>245</v>
      </c>
      <c r="B23" s="505">
        <v>22.67</v>
      </c>
      <c r="C23" s="503">
        <f t="shared" si="0"/>
        <v>37.53</v>
      </c>
      <c r="D23" s="480">
        <v>3.49</v>
      </c>
      <c r="E23" s="480">
        <v>31.79</v>
      </c>
      <c r="F23" s="480">
        <v>1.5</v>
      </c>
      <c r="G23" s="480">
        <v>0.75</v>
      </c>
    </row>
    <row r="24" spans="1:7">
      <c r="A24" s="480" t="s">
        <v>176</v>
      </c>
      <c r="B24" s="505">
        <v>2.41</v>
      </c>
      <c r="C24" s="503">
        <f t="shared" si="0"/>
        <v>10.81</v>
      </c>
      <c r="D24" s="480">
        <v>5.58</v>
      </c>
      <c r="E24" s="480">
        <v>2.2400000000000002</v>
      </c>
      <c r="F24" s="480">
        <v>2.37</v>
      </c>
      <c r="G24" s="480">
        <v>0.62</v>
      </c>
    </row>
    <row r="25" spans="1:7">
      <c r="A25" s="480" t="s">
        <v>410</v>
      </c>
      <c r="B25" s="505">
        <v>17.5</v>
      </c>
      <c r="C25" s="503">
        <f t="shared" si="0"/>
        <v>14.63</v>
      </c>
      <c r="D25" s="480">
        <v>2.33</v>
      </c>
      <c r="E25" s="480">
        <v>10.18</v>
      </c>
      <c r="F25" s="480">
        <v>1.89</v>
      </c>
      <c r="G25" s="480">
        <v>0.23</v>
      </c>
    </row>
    <row r="26" spans="1:7">
      <c r="A26" s="480" t="s">
        <v>294</v>
      </c>
      <c r="B26" s="505">
        <v>2.46</v>
      </c>
      <c r="C26" s="503">
        <f t="shared" si="0"/>
        <v>9.6900000000000013</v>
      </c>
      <c r="D26" s="480">
        <v>4.28</v>
      </c>
      <c r="E26" s="480">
        <v>5.41</v>
      </c>
      <c r="F26" s="480">
        <v>0</v>
      </c>
      <c r="G26" s="480">
        <v>0</v>
      </c>
    </row>
    <row r="27" spans="1:7">
      <c r="A27" s="480" t="s">
        <v>178</v>
      </c>
      <c r="B27" s="505">
        <v>3.19</v>
      </c>
      <c r="C27" s="503">
        <f t="shared" si="0"/>
        <v>8.92</v>
      </c>
      <c r="D27" s="480">
        <v>3.35</v>
      </c>
      <c r="E27" s="480">
        <v>1.32</v>
      </c>
      <c r="F27" s="480">
        <v>1.21</v>
      </c>
      <c r="G27" s="480">
        <v>3.04</v>
      </c>
    </row>
    <row r="28" spans="1:7">
      <c r="A28" s="480" t="s">
        <v>290</v>
      </c>
      <c r="B28" s="505">
        <v>40.479999999999997</v>
      </c>
      <c r="C28" s="503">
        <f t="shared" si="0"/>
        <v>51.3</v>
      </c>
      <c r="D28" s="480">
        <v>26.78</v>
      </c>
      <c r="E28" s="480">
        <v>23.52</v>
      </c>
      <c r="F28" s="480">
        <v>0.99</v>
      </c>
      <c r="G28" s="480">
        <v>0.01</v>
      </c>
    </row>
    <row r="29" spans="1:7">
      <c r="A29" s="480" t="s">
        <v>180</v>
      </c>
      <c r="B29" s="505">
        <v>2.02</v>
      </c>
      <c r="C29" s="503">
        <f t="shared" si="0"/>
        <v>33.160000000000004</v>
      </c>
      <c r="D29" s="480">
        <v>21.46</v>
      </c>
      <c r="E29" s="480">
        <v>2.88</v>
      </c>
      <c r="F29" s="480">
        <v>4.9400000000000004</v>
      </c>
      <c r="G29" s="480">
        <v>3.88</v>
      </c>
    </row>
    <row r="30" spans="1:7">
      <c r="A30" s="480" t="s">
        <v>181</v>
      </c>
      <c r="B30" s="505">
        <v>0.45</v>
      </c>
      <c r="C30" s="503">
        <f t="shared" si="0"/>
        <v>10.879999999999999</v>
      </c>
      <c r="D30" s="480">
        <v>7.05</v>
      </c>
      <c r="E30" s="480">
        <v>0.04</v>
      </c>
      <c r="F30" s="480">
        <v>3.04</v>
      </c>
      <c r="G30" s="480">
        <v>0.75</v>
      </c>
    </row>
    <row r="31" spans="1:7">
      <c r="A31" s="480" t="s">
        <v>311</v>
      </c>
      <c r="B31" s="505">
        <v>40.85</v>
      </c>
      <c r="C31" s="503">
        <f t="shared" si="0"/>
        <v>50.67</v>
      </c>
      <c r="D31" s="480">
        <v>22.05</v>
      </c>
      <c r="E31" s="480">
        <v>27.43</v>
      </c>
      <c r="F31" s="480">
        <v>0.53</v>
      </c>
      <c r="G31" s="480">
        <v>0.66</v>
      </c>
    </row>
    <row r="32" spans="1:7">
      <c r="A32" s="480" t="s">
        <v>295</v>
      </c>
      <c r="B32" s="505">
        <v>13.72</v>
      </c>
      <c r="C32" s="503">
        <f t="shared" si="0"/>
        <v>48.06</v>
      </c>
      <c r="D32" s="480">
        <v>5.38</v>
      </c>
      <c r="E32" s="480">
        <v>38.17</v>
      </c>
      <c r="F32" s="480">
        <v>3.55</v>
      </c>
      <c r="G32" s="480">
        <v>0.96</v>
      </c>
    </row>
    <row r="33" spans="1:7">
      <c r="A33" s="480" t="s">
        <v>411</v>
      </c>
      <c r="B33" s="505">
        <v>39.840000000000003</v>
      </c>
      <c r="C33" s="503">
        <f t="shared" si="0"/>
        <v>84.62</v>
      </c>
      <c r="D33" s="480">
        <v>23.38</v>
      </c>
      <c r="E33" s="480">
        <v>56.96</v>
      </c>
      <c r="F33" s="480">
        <v>0.95</v>
      </c>
      <c r="G33" s="480">
        <v>3.33</v>
      </c>
    </row>
    <row r="34" spans="1:7">
      <c r="A34" s="480" t="s">
        <v>412</v>
      </c>
      <c r="B34" s="505">
        <v>34.15</v>
      </c>
      <c r="C34" s="503">
        <f t="shared" si="0"/>
        <v>69.86</v>
      </c>
      <c r="D34" s="480">
        <v>12.65</v>
      </c>
      <c r="E34" s="480">
        <v>55.21</v>
      </c>
      <c r="F34" s="480">
        <v>0.72</v>
      </c>
      <c r="G34" s="480">
        <v>1.28</v>
      </c>
    </row>
    <row r="35" spans="1:7">
      <c r="A35" s="480" t="s">
        <v>414</v>
      </c>
      <c r="B35" s="505">
        <v>35.67</v>
      </c>
      <c r="C35" s="503">
        <f t="shared" si="0"/>
        <v>45.45</v>
      </c>
      <c r="D35" s="480">
        <v>5.45</v>
      </c>
      <c r="E35" s="480">
        <v>39.07</v>
      </c>
      <c r="F35" s="480">
        <v>0.88</v>
      </c>
      <c r="G35" s="480">
        <v>0.05</v>
      </c>
    </row>
    <row r="36" spans="1:7">
      <c r="A36" s="480" t="s">
        <v>312</v>
      </c>
      <c r="B36" s="505">
        <v>34.61</v>
      </c>
      <c r="C36" s="503">
        <f t="shared" si="0"/>
        <v>26.79</v>
      </c>
      <c r="D36" s="480">
        <v>17.07</v>
      </c>
      <c r="E36" s="480">
        <v>9.44</v>
      </c>
      <c r="F36" s="480">
        <v>0.17</v>
      </c>
      <c r="G36" s="480">
        <v>0.11</v>
      </c>
    </row>
    <row r="37" spans="1:7">
      <c r="A37" s="480" t="s">
        <v>415</v>
      </c>
      <c r="B37" s="505">
        <v>24.54</v>
      </c>
      <c r="C37" s="503">
        <f t="shared" si="0"/>
        <v>13.920000000000002</v>
      </c>
      <c r="D37" s="480">
        <v>4.07</v>
      </c>
      <c r="E37" s="480">
        <v>0.63</v>
      </c>
      <c r="F37" s="480">
        <v>0.34</v>
      </c>
      <c r="G37" s="480">
        <v>8.8800000000000008</v>
      </c>
    </row>
    <row r="38" spans="1:7">
      <c r="A38" s="480" t="s">
        <v>313</v>
      </c>
      <c r="B38" s="505">
        <v>26.97</v>
      </c>
      <c r="C38" s="503">
        <f t="shared" si="0"/>
        <v>25.2</v>
      </c>
      <c r="D38" s="480">
        <v>12.76</v>
      </c>
      <c r="E38" s="480">
        <v>12.42</v>
      </c>
      <c r="F38" s="480">
        <v>0.02</v>
      </c>
      <c r="G38" s="480">
        <v>0</v>
      </c>
    </row>
    <row r="39" spans="1:7">
      <c r="A39" s="480" t="s">
        <v>183</v>
      </c>
      <c r="B39" s="505">
        <v>1.8</v>
      </c>
      <c r="C39" s="503">
        <f t="shared" si="0"/>
        <v>8.5</v>
      </c>
      <c r="D39" s="480">
        <v>1.36</v>
      </c>
      <c r="E39" s="480">
        <v>0.52</v>
      </c>
      <c r="F39" s="480">
        <v>0.49</v>
      </c>
      <c r="G39" s="480">
        <v>6.13</v>
      </c>
    </row>
    <row r="40" spans="1:7">
      <c r="A40" s="480" t="s">
        <v>246</v>
      </c>
      <c r="B40" s="505">
        <v>12.36</v>
      </c>
      <c r="C40" s="503">
        <f t="shared" si="0"/>
        <v>67.430000000000007</v>
      </c>
      <c r="D40" s="480">
        <v>12.66</v>
      </c>
      <c r="E40" s="480">
        <v>52.13</v>
      </c>
      <c r="F40" s="480">
        <v>1.48</v>
      </c>
      <c r="G40" s="480">
        <v>1.1599999999999999</v>
      </c>
    </row>
    <row r="41" spans="1:7">
      <c r="A41" s="480" t="s">
        <v>416</v>
      </c>
      <c r="B41" s="505">
        <v>28.41</v>
      </c>
      <c r="C41" s="503">
        <f t="shared" si="0"/>
        <v>32.229999999999997</v>
      </c>
      <c r="D41" s="480">
        <v>6.68</v>
      </c>
      <c r="E41" s="480">
        <v>18.91</v>
      </c>
      <c r="F41" s="480">
        <v>1.17</v>
      </c>
      <c r="G41" s="480">
        <v>5.47</v>
      </c>
    </row>
    <row r="42" spans="1:7">
      <c r="A42" s="480" t="s">
        <v>417</v>
      </c>
      <c r="B42" s="505">
        <v>25.17</v>
      </c>
      <c r="C42" s="503">
        <f t="shared" si="0"/>
        <v>51.570000000000007</v>
      </c>
      <c r="D42" s="480">
        <v>6.81</v>
      </c>
      <c r="E42" s="480">
        <v>38.770000000000003</v>
      </c>
      <c r="F42" s="480">
        <v>4.95</v>
      </c>
      <c r="G42" s="480">
        <v>1.04</v>
      </c>
    </row>
    <row r="43" spans="1:7">
      <c r="A43" s="480" t="s">
        <v>247</v>
      </c>
      <c r="B43" s="505">
        <v>22.29</v>
      </c>
      <c r="C43" s="503">
        <f t="shared" si="0"/>
        <v>61.4</v>
      </c>
      <c r="D43" s="480">
        <v>10.14</v>
      </c>
      <c r="E43" s="480">
        <v>46.55</v>
      </c>
      <c r="F43" s="480">
        <v>0.32</v>
      </c>
      <c r="G43" s="480">
        <v>4.3899999999999997</v>
      </c>
    </row>
    <row r="44" spans="1:7">
      <c r="A44" s="480" t="s">
        <v>418</v>
      </c>
      <c r="B44" s="505">
        <v>1.67</v>
      </c>
      <c r="C44" s="503">
        <f t="shared" si="0"/>
        <v>11.75</v>
      </c>
      <c r="D44" s="480">
        <v>0.87</v>
      </c>
      <c r="E44" s="480">
        <v>4.32</v>
      </c>
      <c r="F44" s="480">
        <v>0.62</v>
      </c>
      <c r="G44" s="480">
        <v>5.94</v>
      </c>
    </row>
    <row r="45" spans="1:7">
      <c r="A45" s="480" t="s">
        <v>248</v>
      </c>
      <c r="B45" s="505">
        <v>26.9</v>
      </c>
      <c r="C45" s="503">
        <f t="shared" si="0"/>
        <v>52.43</v>
      </c>
      <c r="D45" s="480">
        <v>23.52</v>
      </c>
      <c r="E45" s="480">
        <v>26.66</v>
      </c>
      <c r="F45" s="480">
        <v>0.84</v>
      </c>
      <c r="G45" s="480">
        <v>1.41</v>
      </c>
    </row>
    <row r="46" spans="1:7">
      <c r="A46" s="480" t="s">
        <v>184</v>
      </c>
      <c r="B46" s="505">
        <v>3.24</v>
      </c>
      <c r="C46" s="503">
        <f t="shared" si="0"/>
        <v>12.65</v>
      </c>
      <c r="D46" s="480">
        <v>6.75</v>
      </c>
      <c r="E46" s="480">
        <v>7.0000000000000007E-2</v>
      </c>
      <c r="F46" s="480">
        <v>5.0999999999999996</v>
      </c>
      <c r="G46" s="480">
        <v>0.73</v>
      </c>
    </row>
    <row r="47" spans="1:7">
      <c r="A47" s="480" t="s">
        <v>419</v>
      </c>
      <c r="B47" s="505">
        <v>42.44</v>
      </c>
      <c r="C47" s="503">
        <f t="shared" si="0"/>
        <v>19.189999999999998</v>
      </c>
      <c r="D47" s="480">
        <v>8.4700000000000006</v>
      </c>
      <c r="E47" s="480">
        <v>9.44</v>
      </c>
      <c r="F47" s="480">
        <v>1.1499999999999999</v>
      </c>
      <c r="G47" s="480">
        <v>0.13</v>
      </c>
    </row>
    <row r="48" spans="1:7">
      <c r="A48" s="480" t="s">
        <v>420</v>
      </c>
      <c r="B48" s="505">
        <v>37.229999999999997</v>
      </c>
      <c r="C48" s="503">
        <f t="shared" si="0"/>
        <v>18.240000000000002</v>
      </c>
      <c r="D48" s="480">
        <v>6.43</v>
      </c>
      <c r="E48" s="480">
        <v>11.59</v>
      </c>
      <c r="F48" s="480">
        <v>0.21</v>
      </c>
      <c r="G48" s="480">
        <v>0.01</v>
      </c>
    </row>
    <row r="49" spans="1:7">
      <c r="A49" s="480" t="s">
        <v>314</v>
      </c>
      <c r="B49" s="505">
        <v>20.49</v>
      </c>
      <c r="C49" s="503">
        <f t="shared" si="0"/>
        <v>27.52</v>
      </c>
      <c r="D49" s="480">
        <v>12.49</v>
      </c>
      <c r="E49" s="480">
        <v>14.64</v>
      </c>
      <c r="F49" s="480">
        <v>0.33</v>
      </c>
      <c r="G49" s="480">
        <v>0.06</v>
      </c>
    </row>
    <row r="50" spans="1:7">
      <c r="A50" s="480" t="s">
        <v>224</v>
      </c>
      <c r="B50" s="505">
        <v>17.38</v>
      </c>
      <c r="C50" s="503">
        <f t="shared" si="0"/>
        <v>13.379999999999999</v>
      </c>
      <c r="D50" s="480">
        <v>11.42</v>
      </c>
      <c r="E50" s="480">
        <v>0.01</v>
      </c>
      <c r="F50" s="480">
        <v>0.76</v>
      </c>
      <c r="G50" s="480">
        <v>1.19</v>
      </c>
    </row>
    <row r="51" spans="1:7">
      <c r="A51" s="480" t="s">
        <v>315</v>
      </c>
      <c r="B51" s="505">
        <v>24.05</v>
      </c>
      <c r="C51" s="503">
        <f t="shared" si="0"/>
        <v>11.01</v>
      </c>
      <c r="D51" s="480">
        <v>6.65</v>
      </c>
      <c r="E51" s="480">
        <v>4.34</v>
      </c>
      <c r="F51" s="480">
        <v>0.02</v>
      </c>
      <c r="G51" s="480">
        <v>0</v>
      </c>
    </row>
    <row r="52" spans="1:7">
      <c r="A52" s="480" t="s">
        <v>249</v>
      </c>
      <c r="B52" s="505">
        <v>22.17</v>
      </c>
      <c r="C52" s="503">
        <f t="shared" si="0"/>
        <v>47</v>
      </c>
      <c r="D52" s="480">
        <v>8.64</v>
      </c>
      <c r="E52" s="480">
        <v>37.76</v>
      </c>
      <c r="F52" s="480">
        <v>0.47</v>
      </c>
      <c r="G52" s="480">
        <v>0.13</v>
      </c>
    </row>
    <row r="53" spans="1:7">
      <c r="A53" s="480" t="s">
        <v>421</v>
      </c>
      <c r="B53" s="505">
        <v>6.9</v>
      </c>
      <c r="C53" s="503">
        <f t="shared" si="0"/>
        <v>19.720000000000002</v>
      </c>
      <c r="D53" s="480">
        <v>15.42</v>
      </c>
      <c r="E53" s="480">
        <v>2.02</v>
      </c>
      <c r="F53" s="480">
        <v>1.98</v>
      </c>
      <c r="G53" s="480">
        <v>0.3</v>
      </c>
    </row>
    <row r="54" spans="1:7">
      <c r="A54" s="480" t="s">
        <v>187</v>
      </c>
      <c r="B54" s="505">
        <v>0.69</v>
      </c>
      <c r="C54" s="503">
        <f t="shared" si="0"/>
        <v>6.3900000000000006</v>
      </c>
      <c r="D54" s="480">
        <v>3.71</v>
      </c>
      <c r="E54" s="480">
        <v>0.03</v>
      </c>
      <c r="F54" s="480">
        <v>1.59</v>
      </c>
      <c r="G54" s="480">
        <v>1.06</v>
      </c>
    </row>
    <row r="55" spans="1:7">
      <c r="A55" s="480" t="s">
        <v>422</v>
      </c>
      <c r="B55" s="505">
        <v>23.76</v>
      </c>
      <c r="C55" s="503">
        <f t="shared" si="0"/>
        <v>15.67</v>
      </c>
      <c r="D55" s="480">
        <v>4.62</v>
      </c>
      <c r="E55" s="480">
        <v>4.8499999999999996</v>
      </c>
      <c r="F55" s="480">
        <v>6.19</v>
      </c>
      <c r="G55" s="480">
        <v>0.01</v>
      </c>
    </row>
    <row r="56" spans="1:7">
      <c r="A56" s="480" t="s">
        <v>250</v>
      </c>
      <c r="B56" s="505">
        <v>19.399999999999999</v>
      </c>
      <c r="C56" s="503">
        <f t="shared" si="0"/>
        <v>58.720000000000006</v>
      </c>
      <c r="D56" s="480">
        <v>19.260000000000002</v>
      </c>
      <c r="E56" s="480">
        <v>37.69</v>
      </c>
      <c r="F56" s="480">
        <v>0.56999999999999995</v>
      </c>
      <c r="G56" s="480">
        <v>1.2</v>
      </c>
    </row>
    <row r="57" spans="1:7">
      <c r="A57" s="480" t="s">
        <v>251</v>
      </c>
      <c r="B57" s="505">
        <v>22.99</v>
      </c>
      <c r="C57" s="503">
        <f t="shared" si="0"/>
        <v>55.99</v>
      </c>
      <c r="D57" s="480">
        <v>20.69</v>
      </c>
      <c r="E57" s="480">
        <v>31.45</v>
      </c>
      <c r="F57" s="480">
        <v>2.74</v>
      </c>
      <c r="G57" s="480">
        <v>1.1100000000000001</v>
      </c>
    </row>
    <row r="58" spans="1:7">
      <c r="A58" s="480" t="s">
        <v>423</v>
      </c>
      <c r="B58" s="505">
        <v>48.86</v>
      </c>
      <c r="C58" s="503">
        <f t="shared" si="0"/>
        <v>42.57</v>
      </c>
      <c r="D58" s="480">
        <v>22.25</v>
      </c>
      <c r="E58" s="480">
        <v>15.95</v>
      </c>
      <c r="F58" s="480">
        <v>2.97</v>
      </c>
      <c r="G58" s="480">
        <v>1.4</v>
      </c>
    </row>
    <row r="59" spans="1:7">
      <c r="A59" s="480" t="s">
        <v>188</v>
      </c>
      <c r="B59" s="505">
        <v>29.64</v>
      </c>
      <c r="C59" s="503">
        <f t="shared" si="0"/>
        <v>27.41</v>
      </c>
      <c r="D59" s="480">
        <v>6.11</v>
      </c>
      <c r="E59" s="480">
        <v>6.03</v>
      </c>
      <c r="F59" s="480">
        <v>0.69</v>
      </c>
      <c r="G59" s="480">
        <v>14.58</v>
      </c>
    </row>
    <row r="60" spans="1:7">
      <c r="A60" s="480" t="s">
        <v>424</v>
      </c>
      <c r="B60" s="505">
        <v>3.79</v>
      </c>
      <c r="C60" s="503">
        <f t="shared" si="0"/>
        <v>4.6800000000000006</v>
      </c>
      <c r="D60" s="480">
        <v>2.99</v>
      </c>
      <c r="E60" s="480">
        <v>0.24</v>
      </c>
      <c r="F60" s="480">
        <v>0.74</v>
      </c>
      <c r="G60" s="480">
        <v>0.71</v>
      </c>
    </row>
    <row r="61" spans="1:7">
      <c r="A61" s="480" t="s">
        <v>282</v>
      </c>
      <c r="B61" s="505">
        <v>16.52</v>
      </c>
      <c r="C61" s="503">
        <f t="shared" si="0"/>
        <v>17.479999999999997</v>
      </c>
      <c r="D61" s="480">
        <v>6.34</v>
      </c>
      <c r="E61" s="480">
        <v>10.199999999999999</v>
      </c>
      <c r="F61" s="480">
        <v>0.81</v>
      </c>
      <c r="G61" s="480">
        <v>0.13</v>
      </c>
    </row>
    <row r="62" spans="1:7">
      <c r="A62" s="480" t="s">
        <v>252</v>
      </c>
      <c r="B62" s="505">
        <v>18.149999999999999</v>
      </c>
      <c r="C62" s="503">
        <f t="shared" si="0"/>
        <v>60.6</v>
      </c>
      <c r="D62" s="480">
        <v>14.79</v>
      </c>
      <c r="E62" s="480">
        <v>43.2</v>
      </c>
      <c r="F62" s="480">
        <v>0.82</v>
      </c>
      <c r="G62" s="480">
        <v>1.79</v>
      </c>
    </row>
    <row r="63" spans="1:7">
      <c r="A63" s="480" t="s">
        <v>190</v>
      </c>
      <c r="B63" s="505">
        <v>9.06</v>
      </c>
      <c r="C63" s="503">
        <f t="shared" si="0"/>
        <v>6.1999999999999993</v>
      </c>
      <c r="D63" s="480">
        <v>0.94</v>
      </c>
      <c r="E63" s="480">
        <v>0.86</v>
      </c>
      <c r="F63" s="480">
        <v>1.59</v>
      </c>
      <c r="G63" s="480">
        <v>2.81</v>
      </c>
    </row>
    <row r="64" spans="1:7">
      <c r="A64" s="480" t="s">
        <v>253</v>
      </c>
      <c r="B64" s="505">
        <v>20.010000000000002</v>
      </c>
      <c r="C64" s="503">
        <f t="shared" si="0"/>
        <v>53.199999999999996</v>
      </c>
      <c r="D64" s="480">
        <v>15.68</v>
      </c>
      <c r="E64" s="480">
        <v>29.09</v>
      </c>
      <c r="F64" s="480">
        <v>6.64</v>
      </c>
      <c r="G64" s="480">
        <v>1.79</v>
      </c>
    </row>
    <row r="65" spans="1:7">
      <c r="A65" s="480" t="s">
        <v>425</v>
      </c>
      <c r="B65" s="505">
        <v>42.76</v>
      </c>
      <c r="C65" s="503">
        <f t="shared" si="0"/>
        <v>13.68</v>
      </c>
      <c r="D65" s="480">
        <v>3.2</v>
      </c>
      <c r="E65" s="480">
        <v>8.7100000000000009</v>
      </c>
      <c r="F65" s="480">
        <v>1.36</v>
      </c>
      <c r="G65" s="480">
        <v>0.41</v>
      </c>
    </row>
    <row r="66" spans="1:7">
      <c r="A66" s="480" t="s">
        <v>316</v>
      </c>
      <c r="B66" s="505">
        <v>18.45</v>
      </c>
      <c r="C66" s="503">
        <f t="shared" si="0"/>
        <v>16.419999999999998</v>
      </c>
      <c r="D66" s="480">
        <v>11.27</v>
      </c>
      <c r="E66" s="480">
        <v>4.87</v>
      </c>
      <c r="F66" s="480">
        <v>0.13</v>
      </c>
      <c r="G66" s="480">
        <v>0.15</v>
      </c>
    </row>
    <row r="67" spans="1:7">
      <c r="A67" s="480" t="s">
        <v>191</v>
      </c>
      <c r="B67" s="505">
        <v>2.2000000000000002</v>
      </c>
      <c r="C67" s="503">
        <f t="shared" si="0"/>
        <v>10.39</v>
      </c>
      <c r="D67" s="480">
        <v>7.76</v>
      </c>
      <c r="E67" s="480">
        <v>0.16</v>
      </c>
      <c r="F67" s="480">
        <v>1.97</v>
      </c>
      <c r="G67" s="480">
        <v>0.5</v>
      </c>
    </row>
    <row r="68" spans="1:7">
      <c r="A68" s="480" t="s">
        <v>192</v>
      </c>
      <c r="B68" s="505">
        <v>2.2000000000000002</v>
      </c>
      <c r="C68" s="503">
        <f t="shared" si="0"/>
        <v>13.84</v>
      </c>
      <c r="D68" s="480">
        <v>4.0999999999999996</v>
      </c>
      <c r="E68" s="480">
        <v>8.25</v>
      </c>
      <c r="F68" s="480">
        <v>1.49</v>
      </c>
      <c r="G68" s="480">
        <v>0</v>
      </c>
    </row>
    <row r="69" spans="1:7">
      <c r="A69" s="480" t="s">
        <v>317</v>
      </c>
      <c r="B69" s="505">
        <v>38.68</v>
      </c>
      <c r="C69" s="503">
        <f t="shared" si="0"/>
        <v>6.9099999999999993</v>
      </c>
      <c r="D69" s="480">
        <v>3.32</v>
      </c>
      <c r="E69" s="480">
        <v>2.36</v>
      </c>
      <c r="F69" s="480">
        <v>1.1000000000000001</v>
      </c>
      <c r="G69" s="480">
        <v>0.13</v>
      </c>
    </row>
    <row r="70" spans="1:7">
      <c r="A70" s="480" t="s">
        <v>426</v>
      </c>
      <c r="B70" s="505">
        <v>8.65</v>
      </c>
      <c r="C70" s="503">
        <f t="shared" si="0"/>
        <v>9.0899999999999981</v>
      </c>
      <c r="D70" s="480">
        <v>4.3499999999999996</v>
      </c>
      <c r="E70" s="480">
        <v>3.71</v>
      </c>
      <c r="F70" s="480">
        <v>0.62</v>
      </c>
      <c r="G70" s="480">
        <v>0.41</v>
      </c>
    </row>
    <row r="71" spans="1:7">
      <c r="A71" s="480" t="s">
        <v>318</v>
      </c>
      <c r="B71" s="505">
        <v>23.2</v>
      </c>
      <c r="C71" s="503">
        <f t="shared" si="0"/>
        <v>11.57</v>
      </c>
      <c r="D71" s="480">
        <v>6.75</v>
      </c>
      <c r="E71" s="480">
        <v>4.78</v>
      </c>
      <c r="F71" s="480">
        <v>0.03</v>
      </c>
      <c r="G71" s="480">
        <v>0.01</v>
      </c>
    </row>
    <row r="72" spans="1:7">
      <c r="A72" s="480" t="s">
        <v>254</v>
      </c>
      <c r="B72" s="505">
        <v>25.46</v>
      </c>
      <c r="C72" s="503">
        <f t="shared" si="0"/>
        <v>58.480000000000004</v>
      </c>
      <c r="D72" s="480">
        <v>4.4800000000000004</v>
      </c>
      <c r="E72" s="480">
        <v>53.53</v>
      </c>
      <c r="F72" s="480">
        <v>0.15</v>
      </c>
      <c r="G72" s="480">
        <v>0.32</v>
      </c>
    </row>
    <row r="73" spans="1:7">
      <c r="A73" s="480" t="s">
        <v>255</v>
      </c>
      <c r="B73" s="505">
        <v>30.86</v>
      </c>
      <c r="C73" s="503">
        <f t="shared" si="0"/>
        <v>60.529999999999994</v>
      </c>
      <c r="D73" s="480">
        <v>14.89</v>
      </c>
      <c r="E73" s="480">
        <v>20.91</v>
      </c>
      <c r="F73" s="480">
        <v>22</v>
      </c>
      <c r="G73" s="480">
        <v>2.73</v>
      </c>
    </row>
    <row r="74" spans="1:7">
      <c r="A74" s="480" t="s">
        <v>237</v>
      </c>
      <c r="B74" s="505">
        <v>2.3199999999999998</v>
      </c>
      <c r="C74" s="503">
        <f t="shared" si="0"/>
        <v>1.79</v>
      </c>
      <c r="D74" s="480">
        <v>1.04</v>
      </c>
      <c r="E74" s="480">
        <v>0.22</v>
      </c>
      <c r="F74" s="480">
        <v>0.53</v>
      </c>
      <c r="G74" s="480">
        <v>0</v>
      </c>
    </row>
    <row r="75" spans="1:7">
      <c r="A75" s="480" t="s">
        <v>296</v>
      </c>
      <c r="B75" s="505">
        <v>7.92</v>
      </c>
      <c r="C75" s="503">
        <f t="shared" si="0"/>
        <v>4.51</v>
      </c>
      <c r="D75" s="480">
        <v>2.83</v>
      </c>
      <c r="E75" s="480">
        <v>1.22</v>
      </c>
      <c r="F75" s="480">
        <v>0.45</v>
      </c>
      <c r="G75" s="480">
        <v>0.01</v>
      </c>
    </row>
    <row r="76" spans="1:7">
      <c r="A76" s="480" t="s">
        <v>427</v>
      </c>
      <c r="B76" s="505">
        <v>27.24</v>
      </c>
      <c r="C76" s="503">
        <f t="shared" si="0"/>
        <v>9.8999999999999986</v>
      </c>
      <c r="D76" s="480">
        <v>4.72</v>
      </c>
      <c r="E76" s="480">
        <v>0</v>
      </c>
      <c r="F76" s="480">
        <v>5.0199999999999996</v>
      </c>
      <c r="G76" s="480">
        <v>0.16</v>
      </c>
    </row>
    <row r="77" spans="1:7">
      <c r="A77" s="480" t="s">
        <v>226</v>
      </c>
      <c r="B77" s="505">
        <v>9.44</v>
      </c>
      <c r="C77" s="503">
        <f t="shared" si="0"/>
        <v>4.7299999999999995</v>
      </c>
      <c r="D77" s="480">
        <v>2.97</v>
      </c>
      <c r="E77" s="480">
        <v>0</v>
      </c>
      <c r="F77" s="480">
        <v>1.7</v>
      </c>
      <c r="G77" s="480">
        <v>0.06</v>
      </c>
    </row>
    <row r="78" spans="1:7">
      <c r="A78" s="480" t="s">
        <v>256</v>
      </c>
      <c r="B78" s="505">
        <v>24.48</v>
      </c>
      <c r="C78" s="503">
        <f t="shared" si="0"/>
        <v>53.480000000000004</v>
      </c>
      <c r="D78" s="480">
        <v>20.39</v>
      </c>
      <c r="E78" s="480">
        <v>29.42</v>
      </c>
      <c r="F78" s="480">
        <v>3.42</v>
      </c>
      <c r="G78" s="480">
        <v>0.25</v>
      </c>
    </row>
    <row r="79" spans="1:7">
      <c r="A79" s="480" t="s">
        <v>227</v>
      </c>
      <c r="B79" s="505">
        <v>67.540000000000006</v>
      </c>
      <c r="C79" s="503">
        <f t="shared" si="0"/>
        <v>30.550000000000004</v>
      </c>
      <c r="D79" s="480">
        <v>27.44</v>
      </c>
      <c r="E79" s="480">
        <v>1.34</v>
      </c>
      <c r="F79" s="480">
        <v>1.76</v>
      </c>
      <c r="G79" s="480">
        <v>0.01</v>
      </c>
    </row>
    <row r="80" spans="1:7">
      <c r="A80" s="480" t="s">
        <v>257</v>
      </c>
      <c r="B80" s="505">
        <v>18.89</v>
      </c>
      <c r="C80" s="503">
        <f t="shared" si="0"/>
        <v>62.800000000000004</v>
      </c>
      <c r="D80" s="480">
        <v>16.600000000000001</v>
      </c>
      <c r="E80" s="480">
        <v>43.63</v>
      </c>
      <c r="F80" s="480">
        <v>0.87</v>
      </c>
      <c r="G80" s="480">
        <v>1.7</v>
      </c>
    </row>
    <row r="81" spans="1:7">
      <c r="A81" s="480" t="s">
        <v>428</v>
      </c>
      <c r="B81" s="505">
        <v>51.57</v>
      </c>
      <c r="C81" s="503">
        <f t="shared" si="0"/>
        <v>8.4600000000000009</v>
      </c>
      <c r="D81" s="480">
        <v>4</v>
      </c>
      <c r="E81" s="480">
        <v>3.48</v>
      </c>
      <c r="F81" s="480">
        <v>0.9</v>
      </c>
      <c r="G81" s="480">
        <v>0.08</v>
      </c>
    </row>
    <row r="82" spans="1:7">
      <c r="A82" s="480" t="s">
        <v>297</v>
      </c>
      <c r="B82" s="505">
        <v>18.78</v>
      </c>
      <c r="C82" s="503">
        <f t="shared" si="0"/>
        <v>31.29</v>
      </c>
      <c r="D82" s="480">
        <v>9.59</v>
      </c>
      <c r="E82" s="480">
        <v>21.45</v>
      </c>
      <c r="F82" s="480">
        <v>0.15</v>
      </c>
      <c r="G82" s="480">
        <v>0.1</v>
      </c>
    </row>
    <row r="83" spans="1:7">
      <c r="A83" s="480" t="s">
        <v>228</v>
      </c>
      <c r="B83" s="505">
        <v>24.75</v>
      </c>
      <c r="C83" s="503">
        <f t="shared" si="0"/>
        <v>9.58</v>
      </c>
      <c r="D83" s="480">
        <v>4.88</v>
      </c>
      <c r="E83" s="480">
        <v>0.01</v>
      </c>
      <c r="F83" s="480">
        <v>4.63</v>
      </c>
      <c r="G83" s="480">
        <v>0.06</v>
      </c>
    </row>
    <row r="84" spans="1:7">
      <c r="A84" s="480" t="s">
        <v>283</v>
      </c>
      <c r="B84" s="505">
        <v>18.62</v>
      </c>
      <c r="C84" s="503">
        <f t="shared" si="0"/>
        <v>46.59</v>
      </c>
      <c r="D84" s="480">
        <v>24.43</v>
      </c>
      <c r="E84" s="480">
        <v>7.1</v>
      </c>
      <c r="F84" s="480">
        <v>9.25</v>
      </c>
      <c r="G84" s="480">
        <v>5.81</v>
      </c>
    </row>
    <row r="85" spans="1:7">
      <c r="A85" s="480" t="s">
        <v>193</v>
      </c>
      <c r="B85" s="505">
        <v>0.61</v>
      </c>
      <c r="C85" s="503">
        <f t="shared" si="0"/>
        <v>14.96</v>
      </c>
      <c r="D85" s="480">
        <v>11.14</v>
      </c>
      <c r="E85" s="480">
        <v>0.31</v>
      </c>
      <c r="F85" s="480">
        <v>1.38</v>
      </c>
      <c r="G85" s="480">
        <v>2.13</v>
      </c>
    </row>
    <row r="86" spans="1:7">
      <c r="A86" s="480" t="s">
        <v>429</v>
      </c>
      <c r="B86" s="505">
        <v>16.05</v>
      </c>
      <c r="C86" s="503">
        <f t="shared" si="0"/>
        <v>13.399999999999999</v>
      </c>
      <c r="D86" s="480">
        <v>2.5299999999999998</v>
      </c>
      <c r="E86" s="480">
        <v>10.66</v>
      </c>
      <c r="F86" s="480">
        <v>0.1</v>
      </c>
      <c r="G86" s="480">
        <v>0.11</v>
      </c>
    </row>
    <row r="87" spans="1:7">
      <c r="A87" s="480" t="s">
        <v>229</v>
      </c>
      <c r="B87" s="505">
        <v>47.97</v>
      </c>
      <c r="C87" s="503">
        <f t="shared" si="0"/>
        <v>22.1</v>
      </c>
      <c r="D87" s="480">
        <v>7.89</v>
      </c>
      <c r="F87" s="480">
        <v>12.77</v>
      </c>
      <c r="G87" s="480">
        <v>1.44</v>
      </c>
    </row>
    <row r="88" spans="1:7">
      <c r="A88" s="480" t="s">
        <v>430</v>
      </c>
      <c r="B88" s="505">
        <v>3.39</v>
      </c>
      <c r="C88" s="503">
        <f t="shared" si="0"/>
        <v>26.930000000000003</v>
      </c>
      <c r="D88" s="480">
        <v>13.98</v>
      </c>
      <c r="E88" s="480">
        <v>2.68</v>
      </c>
      <c r="F88" s="480">
        <v>8.76</v>
      </c>
      <c r="G88" s="480">
        <v>1.51</v>
      </c>
    </row>
    <row r="89" spans="1:7">
      <c r="A89" s="480" t="s">
        <v>431</v>
      </c>
      <c r="B89" s="505">
        <v>5.8</v>
      </c>
      <c r="C89" s="503">
        <f t="shared" si="0"/>
        <v>18.310000000000002</v>
      </c>
      <c r="D89" s="480">
        <v>7.59</v>
      </c>
      <c r="E89" s="480">
        <v>10.44</v>
      </c>
      <c r="F89" s="480">
        <v>0.28000000000000003</v>
      </c>
      <c r="G89" s="480">
        <v>0</v>
      </c>
    </row>
    <row r="90" spans="1:7">
      <c r="A90" s="480" t="s">
        <v>258</v>
      </c>
      <c r="B90" s="505">
        <v>21.03</v>
      </c>
      <c r="C90" s="503">
        <f t="shared" si="0"/>
        <v>50.24</v>
      </c>
      <c r="D90" s="480">
        <v>5.73</v>
      </c>
      <c r="E90" s="480">
        <v>43.63</v>
      </c>
      <c r="F90" s="480">
        <v>0.38</v>
      </c>
      <c r="G90" s="480">
        <v>0.5</v>
      </c>
    </row>
    <row r="91" spans="1:7">
      <c r="A91" s="480" t="s">
        <v>230</v>
      </c>
      <c r="B91" s="505">
        <v>17.829999999999998</v>
      </c>
      <c r="C91" s="503">
        <f t="shared" si="0"/>
        <v>12.16</v>
      </c>
      <c r="D91" s="480">
        <v>9.6999999999999993</v>
      </c>
      <c r="E91" s="480">
        <v>0.9</v>
      </c>
      <c r="F91" s="480">
        <v>1.55</v>
      </c>
      <c r="G91" s="480">
        <v>0.01</v>
      </c>
    </row>
    <row r="92" spans="1:7">
      <c r="A92" s="480" t="s">
        <v>194</v>
      </c>
      <c r="B92" s="505">
        <v>7.84</v>
      </c>
      <c r="C92" s="503">
        <f t="shared" si="0"/>
        <v>20.77</v>
      </c>
      <c r="D92" s="480">
        <v>7.5</v>
      </c>
      <c r="E92" s="480">
        <v>5.66</v>
      </c>
      <c r="F92" s="480">
        <v>3.64</v>
      </c>
      <c r="G92" s="480">
        <v>3.97</v>
      </c>
    </row>
    <row r="93" spans="1:7">
      <c r="A93" s="480" t="s">
        <v>195</v>
      </c>
      <c r="B93" s="505">
        <v>14.69</v>
      </c>
      <c r="C93" s="503">
        <f t="shared" si="0"/>
        <v>7.3599999999999994</v>
      </c>
      <c r="D93" s="480">
        <v>0.52</v>
      </c>
      <c r="E93" s="480">
        <v>4.41</v>
      </c>
      <c r="F93" s="480">
        <v>0.47</v>
      </c>
      <c r="G93" s="480">
        <v>1.96</v>
      </c>
    </row>
    <row r="94" spans="1:7">
      <c r="A94" s="480" t="s">
        <v>259</v>
      </c>
      <c r="B94" s="505">
        <v>29.04</v>
      </c>
      <c r="C94" s="503">
        <f t="shared" si="0"/>
        <v>54.660000000000004</v>
      </c>
      <c r="D94" s="480">
        <v>5.36</v>
      </c>
      <c r="E94" s="480">
        <v>48.39</v>
      </c>
      <c r="F94" s="480">
        <v>0.38</v>
      </c>
      <c r="G94" s="480">
        <v>0.53</v>
      </c>
    </row>
    <row r="95" spans="1:7">
      <c r="A95" s="480" t="s">
        <v>260</v>
      </c>
      <c r="B95" s="505">
        <v>18.96</v>
      </c>
      <c r="C95" s="503">
        <f t="shared" si="0"/>
        <v>62.699999999999996</v>
      </c>
      <c r="D95" s="480">
        <v>25.16</v>
      </c>
      <c r="E95" s="480">
        <v>34.409999999999997</v>
      </c>
      <c r="F95" s="480">
        <v>1.31</v>
      </c>
      <c r="G95" s="480">
        <v>1.82</v>
      </c>
    </row>
    <row r="96" spans="1:7">
      <c r="A96" s="480" t="s">
        <v>196</v>
      </c>
      <c r="B96" s="505">
        <v>3.05</v>
      </c>
      <c r="C96" s="503">
        <f t="shared" si="0"/>
        <v>10.24</v>
      </c>
      <c r="D96" s="480">
        <v>6.87</v>
      </c>
      <c r="E96" s="480">
        <v>2.5299999999999998</v>
      </c>
      <c r="F96" s="480">
        <v>0.52</v>
      </c>
      <c r="G96" s="480">
        <v>0.32</v>
      </c>
    </row>
    <row r="97" spans="1:7">
      <c r="A97" s="480" t="s">
        <v>197</v>
      </c>
      <c r="B97" s="505">
        <v>3.35</v>
      </c>
      <c r="C97" s="503">
        <f t="shared" si="0"/>
        <v>9.34</v>
      </c>
      <c r="D97" s="480">
        <v>2.6</v>
      </c>
      <c r="E97" s="480">
        <v>4.5599999999999996</v>
      </c>
      <c r="F97" s="480">
        <v>2.1800000000000002</v>
      </c>
      <c r="G97" s="480">
        <v>0</v>
      </c>
    </row>
    <row r="98" spans="1:7">
      <c r="A98" s="480" t="s">
        <v>298</v>
      </c>
      <c r="B98" s="505">
        <v>39.04</v>
      </c>
      <c r="C98" s="503">
        <f t="shared" si="0"/>
        <v>14.75</v>
      </c>
      <c r="D98" s="480">
        <v>5.75</v>
      </c>
      <c r="E98" s="480">
        <v>8.15</v>
      </c>
      <c r="F98" s="480">
        <v>0.84</v>
      </c>
      <c r="G98" s="480">
        <v>0.01</v>
      </c>
    </row>
    <row r="99" spans="1:7">
      <c r="A99" s="480" t="s">
        <v>432</v>
      </c>
      <c r="B99" s="505">
        <v>13.16</v>
      </c>
      <c r="C99" s="503">
        <f t="shared" si="0"/>
        <v>8.4100000000000019</v>
      </c>
      <c r="D99" s="480">
        <v>6.3</v>
      </c>
      <c r="E99" s="480">
        <v>0.86</v>
      </c>
      <c r="F99" s="480">
        <v>1.1200000000000001</v>
      </c>
      <c r="G99" s="480">
        <v>0.13</v>
      </c>
    </row>
    <row r="100" spans="1:7">
      <c r="A100" s="480" t="s">
        <v>198</v>
      </c>
      <c r="B100" s="505">
        <v>2.4700000000000002</v>
      </c>
      <c r="C100" s="503">
        <f t="shared" si="0"/>
        <v>18.34</v>
      </c>
      <c r="D100" s="480">
        <v>7.98</v>
      </c>
      <c r="E100" s="480">
        <v>0.14000000000000001</v>
      </c>
      <c r="F100" s="480">
        <v>7.54</v>
      </c>
      <c r="G100" s="480">
        <v>2.68</v>
      </c>
    </row>
    <row r="101" spans="1:7">
      <c r="A101" s="480" t="s">
        <v>261</v>
      </c>
      <c r="B101" s="505">
        <v>26.57</v>
      </c>
      <c r="C101" s="503">
        <f t="shared" si="0"/>
        <v>51.3</v>
      </c>
      <c r="D101" s="480">
        <v>18.46</v>
      </c>
      <c r="E101" s="480">
        <v>25.79</v>
      </c>
      <c r="F101" s="480">
        <v>1.4</v>
      </c>
      <c r="G101" s="480">
        <v>5.65</v>
      </c>
    </row>
    <row r="102" spans="1:7">
      <c r="A102" s="480" t="s">
        <v>199</v>
      </c>
      <c r="B102" s="505">
        <v>5.14</v>
      </c>
      <c r="C102" s="503">
        <f t="shared" si="0"/>
        <v>25.92</v>
      </c>
      <c r="D102" s="480">
        <v>7</v>
      </c>
      <c r="E102" s="480">
        <v>0.01</v>
      </c>
      <c r="F102" s="480">
        <v>12.63</v>
      </c>
      <c r="G102" s="480">
        <v>6.28</v>
      </c>
    </row>
    <row r="103" spans="1:7">
      <c r="A103" s="480" t="s">
        <v>200</v>
      </c>
      <c r="B103" s="505">
        <v>39.590000000000003</v>
      </c>
      <c r="C103" s="503">
        <f t="shared" si="0"/>
        <v>13.18</v>
      </c>
      <c r="D103" s="480">
        <v>4.1900000000000004</v>
      </c>
      <c r="E103" s="480">
        <v>4.04</v>
      </c>
      <c r="F103" s="480">
        <v>4.18</v>
      </c>
      <c r="G103" s="480">
        <v>0.77</v>
      </c>
    </row>
    <row r="104" spans="1:7">
      <c r="A104" s="480" t="s">
        <v>319</v>
      </c>
      <c r="B104" s="505">
        <v>34.46</v>
      </c>
      <c r="C104" s="503">
        <f t="shared" si="0"/>
        <v>34.800000000000004</v>
      </c>
      <c r="D104" s="480">
        <v>15.06</v>
      </c>
      <c r="E104" s="480">
        <v>18.18</v>
      </c>
      <c r="F104" s="480">
        <v>0.92</v>
      </c>
      <c r="G104" s="480">
        <v>0.64</v>
      </c>
    </row>
    <row r="105" spans="1:7">
      <c r="A105" s="480" t="s">
        <v>285</v>
      </c>
      <c r="B105" s="505">
        <v>2.95</v>
      </c>
      <c r="C105" s="503">
        <f t="shared" si="0"/>
        <v>82.039999999999992</v>
      </c>
      <c r="D105" s="480">
        <v>21.09</v>
      </c>
      <c r="E105" s="480">
        <v>1.1299999999999999</v>
      </c>
      <c r="F105" s="480">
        <v>49.53</v>
      </c>
      <c r="G105" s="480">
        <v>10.29</v>
      </c>
    </row>
    <row r="106" spans="1:7">
      <c r="A106" s="480" t="s">
        <v>262</v>
      </c>
      <c r="B106" s="505">
        <v>16.64</v>
      </c>
      <c r="C106" s="503">
        <f t="shared" si="0"/>
        <v>61.44</v>
      </c>
      <c r="D106" s="480">
        <v>13.78</v>
      </c>
      <c r="E106" s="480">
        <v>45.25</v>
      </c>
      <c r="F106" s="480">
        <v>2.37</v>
      </c>
      <c r="G106" s="480">
        <v>0.04</v>
      </c>
    </row>
    <row r="107" spans="1:7">
      <c r="A107" s="480" t="s">
        <v>220</v>
      </c>
      <c r="B107" s="505">
        <v>20.260000000000002</v>
      </c>
      <c r="C107" s="503">
        <f t="shared" si="0"/>
        <v>13.92</v>
      </c>
      <c r="D107" s="480">
        <v>7.07</v>
      </c>
      <c r="E107" s="480">
        <v>0.02</v>
      </c>
      <c r="F107" s="480">
        <v>5</v>
      </c>
      <c r="G107" s="480">
        <v>1.83</v>
      </c>
    </row>
    <row r="108" spans="1:7">
      <c r="A108" s="480" t="s">
        <v>201</v>
      </c>
      <c r="B108" s="505">
        <v>3.8</v>
      </c>
      <c r="C108" s="503">
        <f t="shared" si="0"/>
        <v>5.839999999999999</v>
      </c>
      <c r="D108" s="480">
        <v>0.6</v>
      </c>
      <c r="E108" s="480">
        <v>4.38</v>
      </c>
      <c r="F108" s="480">
        <v>0.85</v>
      </c>
      <c r="G108" s="480">
        <v>0.01</v>
      </c>
    </row>
    <row r="109" spans="1:7">
      <c r="A109" s="480" t="s">
        <v>299</v>
      </c>
      <c r="B109" s="505">
        <v>29.1</v>
      </c>
      <c r="C109" s="503">
        <f t="shared" si="0"/>
        <v>18.88</v>
      </c>
      <c r="D109" s="480">
        <v>5.56</v>
      </c>
      <c r="E109" s="480">
        <v>12.3</v>
      </c>
      <c r="F109" s="480">
        <v>1.02</v>
      </c>
      <c r="G109" s="480">
        <v>0</v>
      </c>
    </row>
    <row r="110" spans="1:7">
      <c r="A110" s="480" t="s">
        <v>202</v>
      </c>
      <c r="B110" s="505">
        <v>9.91</v>
      </c>
      <c r="C110" s="503">
        <f t="shared" si="0"/>
        <v>21.2</v>
      </c>
      <c r="D110" s="480">
        <v>8.89</v>
      </c>
      <c r="E110" s="480">
        <v>3.83</v>
      </c>
      <c r="F110" s="480">
        <v>3.5</v>
      </c>
      <c r="G110" s="480">
        <v>4.9800000000000004</v>
      </c>
    </row>
    <row r="111" spans="1:7">
      <c r="A111" s="480" t="s">
        <v>238</v>
      </c>
      <c r="B111" s="505">
        <v>2.06</v>
      </c>
      <c r="C111" s="503">
        <f t="shared" si="0"/>
        <v>11.920000000000002</v>
      </c>
      <c r="D111" s="480">
        <v>8.3800000000000008</v>
      </c>
      <c r="E111" s="480">
        <v>0.84</v>
      </c>
      <c r="F111" s="480">
        <v>2.7</v>
      </c>
      <c r="G111" s="480">
        <v>0</v>
      </c>
    </row>
    <row r="112" spans="1:7">
      <c r="A112" s="480" t="s">
        <v>263</v>
      </c>
      <c r="B112" s="505">
        <v>13.11</v>
      </c>
      <c r="C112" s="503">
        <f t="shared" si="0"/>
        <v>56.070000000000007</v>
      </c>
      <c r="D112" s="480">
        <v>16.8</v>
      </c>
      <c r="E112" s="480">
        <v>35.96</v>
      </c>
      <c r="F112" s="480">
        <v>1.02</v>
      </c>
      <c r="G112" s="480">
        <v>2.29</v>
      </c>
    </row>
    <row r="113" spans="1:7">
      <c r="A113" s="480" t="s">
        <v>433</v>
      </c>
      <c r="B113" s="505">
        <v>34.76</v>
      </c>
      <c r="C113" s="503">
        <f t="shared" si="0"/>
        <v>36.620000000000005</v>
      </c>
      <c r="D113" s="480">
        <v>19.440000000000001</v>
      </c>
      <c r="E113" s="480">
        <v>15.46</v>
      </c>
      <c r="F113" s="480">
        <v>1.71</v>
      </c>
      <c r="G113" s="480">
        <v>0.01</v>
      </c>
    </row>
    <row r="114" spans="1:7">
      <c r="A114" s="480" t="s">
        <v>300</v>
      </c>
      <c r="B114" s="505">
        <v>25.51</v>
      </c>
      <c r="C114" s="503">
        <f t="shared" si="0"/>
        <v>64.27</v>
      </c>
      <c r="D114" s="480">
        <v>21.15</v>
      </c>
      <c r="E114" s="480">
        <v>27.12</v>
      </c>
      <c r="F114" s="480">
        <v>14.05</v>
      </c>
      <c r="G114" s="480">
        <v>1.95</v>
      </c>
    </row>
    <row r="115" spans="1:7">
      <c r="A115" s="480" t="s">
        <v>320</v>
      </c>
      <c r="B115" s="505">
        <v>20.47</v>
      </c>
      <c r="C115" s="503">
        <f t="shared" si="0"/>
        <v>7.2399999999999993</v>
      </c>
      <c r="D115" s="480">
        <v>1.67</v>
      </c>
      <c r="E115" s="480">
        <v>5.13</v>
      </c>
      <c r="F115" s="480">
        <v>0.01</v>
      </c>
      <c r="G115" s="480">
        <v>0.43</v>
      </c>
    </row>
    <row r="116" spans="1:7">
      <c r="A116" s="480" t="s">
        <v>203</v>
      </c>
      <c r="B116" s="505">
        <v>1.1100000000000001</v>
      </c>
      <c r="C116" s="503">
        <f t="shared" si="0"/>
        <v>7.56</v>
      </c>
      <c r="D116" s="480">
        <v>2.9</v>
      </c>
      <c r="E116" s="480">
        <v>7.0000000000000007E-2</v>
      </c>
      <c r="F116" s="480">
        <v>2.14</v>
      </c>
      <c r="G116" s="480">
        <v>2.4500000000000002</v>
      </c>
    </row>
    <row r="117" spans="1:7">
      <c r="A117" s="480" t="s">
        <v>204</v>
      </c>
      <c r="B117" s="505">
        <v>1.08</v>
      </c>
      <c r="C117" s="503">
        <f t="shared" si="0"/>
        <v>6.43</v>
      </c>
      <c r="D117" s="480">
        <v>1.99</v>
      </c>
      <c r="E117" s="480">
        <v>1.47</v>
      </c>
      <c r="F117" s="480">
        <v>1.99</v>
      </c>
      <c r="G117" s="480">
        <v>0.98</v>
      </c>
    </row>
    <row r="118" spans="1:7">
      <c r="A118" s="480" t="s">
        <v>264</v>
      </c>
      <c r="B118" s="505">
        <v>19.73</v>
      </c>
      <c r="C118" s="503">
        <f t="shared" si="0"/>
        <v>18.899999999999999</v>
      </c>
      <c r="D118" s="480">
        <v>7.38</v>
      </c>
      <c r="E118" s="480">
        <v>10.54</v>
      </c>
      <c r="F118" s="480">
        <v>0.67</v>
      </c>
      <c r="G118" s="480">
        <v>0.31</v>
      </c>
    </row>
    <row r="119" spans="1:7">
      <c r="A119" s="480" t="s">
        <v>265</v>
      </c>
      <c r="B119" s="505">
        <v>20.57</v>
      </c>
      <c r="C119" s="503">
        <f t="shared" si="0"/>
        <v>47.1</v>
      </c>
      <c r="D119" s="480">
        <v>17.66</v>
      </c>
      <c r="E119" s="480">
        <v>22.88</v>
      </c>
      <c r="F119" s="480">
        <v>5.24</v>
      </c>
      <c r="G119" s="480">
        <v>1.32</v>
      </c>
    </row>
    <row r="120" spans="1:7">
      <c r="A120" s="480" t="s">
        <v>231</v>
      </c>
      <c r="B120" s="505">
        <v>20.63</v>
      </c>
      <c r="C120" s="503">
        <f t="shared" si="0"/>
        <v>21.549999999999997</v>
      </c>
      <c r="D120" s="480">
        <v>7.58</v>
      </c>
      <c r="E120" s="480">
        <v>0.02</v>
      </c>
      <c r="F120" s="480">
        <v>11.52</v>
      </c>
      <c r="G120" s="480">
        <v>2.4300000000000002</v>
      </c>
    </row>
    <row r="121" spans="1:7">
      <c r="A121" s="480" t="s">
        <v>239</v>
      </c>
      <c r="B121" s="505">
        <v>4.92</v>
      </c>
      <c r="C121" s="503">
        <f t="shared" si="0"/>
        <v>11.290000000000001</v>
      </c>
      <c r="D121" s="480">
        <v>8.82</v>
      </c>
      <c r="E121" s="480">
        <v>0</v>
      </c>
      <c r="F121" s="480">
        <v>2.4700000000000002</v>
      </c>
      <c r="G121" s="480">
        <v>0</v>
      </c>
    </row>
    <row r="122" spans="1:7">
      <c r="A122" s="480" t="s">
        <v>321</v>
      </c>
      <c r="B122" s="505">
        <v>33.92</v>
      </c>
      <c r="C122" s="503">
        <f t="shared" si="0"/>
        <v>31.18</v>
      </c>
      <c r="D122" s="480">
        <v>16.190000000000001</v>
      </c>
      <c r="E122" s="480">
        <v>13.92</v>
      </c>
      <c r="F122" s="480">
        <v>0.01</v>
      </c>
      <c r="G122" s="480">
        <v>1.06</v>
      </c>
    </row>
    <row r="123" spans="1:7">
      <c r="A123" s="480" t="s">
        <v>302</v>
      </c>
      <c r="B123" s="505">
        <v>3.36</v>
      </c>
      <c r="C123" s="503">
        <f t="shared" si="0"/>
        <v>60.300000000000004</v>
      </c>
      <c r="D123" s="480">
        <v>0.79</v>
      </c>
      <c r="E123" s="480">
        <v>10.119999999999999</v>
      </c>
      <c r="F123" s="480">
        <v>1.58</v>
      </c>
      <c r="G123" s="480">
        <v>47.81</v>
      </c>
    </row>
    <row r="124" spans="1:7">
      <c r="A124" s="480" t="s">
        <v>322</v>
      </c>
      <c r="B124" s="505">
        <v>9.9700000000000006</v>
      </c>
      <c r="C124" s="503">
        <f t="shared" si="0"/>
        <v>30.92</v>
      </c>
      <c r="D124" s="480">
        <v>22.48</v>
      </c>
      <c r="E124" s="480">
        <v>7.95</v>
      </c>
      <c r="F124" s="480">
        <v>0.37</v>
      </c>
      <c r="G124" s="480">
        <v>0.12</v>
      </c>
    </row>
    <row r="125" spans="1:7">
      <c r="A125" s="480" t="s">
        <v>323</v>
      </c>
      <c r="B125" s="505">
        <v>13.59</v>
      </c>
      <c r="C125" s="503">
        <f t="shared" si="0"/>
        <v>11.000000000000002</v>
      </c>
      <c r="D125" s="480">
        <v>4.34</v>
      </c>
      <c r="E125" s="480">
        <v>4.62</v>
      </c>
      <c r="F125" s="480">
        <v>0.82</v>
      </c>
      <c r="G125" s="480">
        <v>1.22</v>
      </c>
    </row>
    <row r="126" spans="1:7">
      <c r="A126" s="480" t="s">
        <v>434</v>
      </c>
      <c r="B126" s="505">
        <v>12.83</v>
      </c>
      <c r="C126" s="503">
        <f t="shared" si="0"/>
        <v>24.21</v>
      </c>
      <c r="D126" s="480">
        <v>4.71</v>
      </c>
      <c r="E126" s="480">
        <v>18.91</v>
      </c>
      <c r="F126" s="480">
        <v>0.57999999999999996</v>
      </c>
      <c r="G126" s="480">
        <v>0.01</v>
      </c>
    </row>
    <row r="127" spans="1:7">
      <c r="A127" s="480" t="s">
        <v>266</v>
      </c>
      <c r="B127" s="505">
        <v>30.46</v>
      </c>
      <c r="C127" s="503">
        <f t="shared" si="0"/>
        <v>58.02</v>
      </c>
      <c r="D127" s="480">
        <v>0.27</v>
      </c>
      <c r="E127" s="480">
        <v>57.61</v>
      </c>
      <c r="F127" s="480">
        <v>0.03</v>
      </c>
      <c r="G127" s="480">
        <v>0.11</v>
      </c>
    </row>
    <row r="128" spans="1:7">
      <c r="A128" s="480" t="s">
        <v>267</v>
      </c>
      <c r="B128" s="505">
        <v>31.64</v>
      </c>
      <c r="C128" s="503">
        <f t="shared" si="0"/>
        <v>63.04</v>
      </c>
      <c r="D128" s="480">
        <v>18.600000000000001</v>
      </c>
      <c r="E128" s="480">
        <v>40.76</v>
      </c>
      <c r="F128" s="480">
        <v>2.42</v>
      </c>
      <c r="G128" s="480">
        <v>1.26</v>
      </c>
    </row>
    <row r="129" spans="1:7">
      <c r="A129" s="480" t="s">
        <v>435</v>
      </c>
      <c r="B129" s="505">
        <v>16.91</v>
      </c>
      <c r="C129" s="503">
        <f t="shared" si="0"/>
        <v>54.160000000000004</v>
      </c>
      <c r="D129" s="480">
        <v>16.53</v>
      </c>
      <c r="E129" s="480">
        <v>37.33</v>
      </c>
      <c r="F129" s="480">
        <v>0.17</v>
      </c>
      <c r="G129" s="480">
        <v>0.13</v>
      </c>
    </row>
    <row r="130" spans="1:7">
      <c r="A130" s="480" t="s">
        <v>268</v>
      </c>
      <c r="B130" s="505">
        <v>18.850000000000001</v>
      </c>
      <c r="C130" s="503">
        <f t="shared" si="0"/>
        <v>20.54</v>
      </c>
      <c r="D130" s="480">
        <v>1.72</v>
      </c>
      <c r="E130" s="480">
        <v>18.420000000000002</v>
      </c>
      <c r="F130" s="480">
        <v>0.22</v>
      </c>
      <c r="G130" s="480">
        <v>0.18</v>
      </c>
    </row>
    <row r="131" spans="1:7">
      <c r="A131" s="480" t="s">
        <v>269</v>
      </c>
      <c r="B131" s="505">
        <v>19.309999999999999</v>
      </c>
      <c r="C131" s="503">
        <f t="shared" si="0"/>
        <v>45.52</v>
      </c>
      <c r="D131" s="480">
        <v>5.19</v>
      </c>
      <c r="E131" s="480">
        <v>35.99</v>
      </c>
      <c r="F131" s="480">
        <v>3.95</v>
      </c>
      <c r="G131" s="480">
        <v>0.39</v>
      </c>
    </row>
    <row r="132" spans="1:7">
      <c r="A132" s="480" t="s">
        <v>270</v>
      </c>
      <c r="B132" s="505">
        <v>31.31</v>
      </c>
      <c r="C132" s="503">
        <f t="shared" si="0"/>
        <v>44.37</v>
      </c>
      <c r="D132" s="480">
        <v>13.35</v>
      </c>
      <c r="E132" s="480">
        <v>26.02</v>
      </c>
      <c r="F132" s="480">
        <v>1.39</v>
      </c>
      <c r="G132" s="480">
        <v>3.61</v>
      </c>
    </row>
    <row r="133" spans="1:7">
      <c r="A133" s="480" t="s">
        <v>205</v>
      </c>
      <c r="B133" s="505">
        <v>1.28</v>
      </c>
      <c r="C133" s="503">
        <f t="shared" si="0"/>
        <v>6.47</v>
      </c>
      <c r="D133" s="480">
        <v>2.66</v>
      </c>
      <c r="E133" s="480">
        <v>0.76</v>
      </c>
      <c r="F133" s="480">
        <v>1.42</v>
      </c>
      <c r="G133" s="480">
        <v>1.63</v>
      </c>
    </row>
    <row r="134" spans="1:7">
      <c r="A134" s="480" t="s">
        <v>436</v>
      </c>
      <c r="B134" s="505">
        <v>50.56</v>
      </c>
      <c r="C134" s="503">
        <f t="shared" si="0"/>
        <v>25.650000000000002</v>
      </c>
      <c r="D134" s="480">
        <v>5.94</v>
      </c>
      <c r="E134" s="480">
        <v>15.04</v>
      </c>
      <c r="F134" s="480">
        <v>1.96</v>
      </c>
      <c r="G134" s="480">
        <v>2.71</v>
      </c>
    </row>
    <row r="135" spans="1:7">
      <c r="A135" s="480" t="s">
        <v>437</v>
      </c>
      <c r="B135" s="505">
        <v>61.22</v>
      </c>
      <c r="C135" s="503">
        <f t="shared" si="0"/>
        <v>31.580000000000002</v>
      </c>
      <c r="D135" s="480">
        <v>6.38</v>
      </c>
      <c r="E135" s="480">
        <v>22.35</v>
      </c>
      <c r="F135" s="480">
        <v>2.6</v>
      </c>
      <c r="G135" s="480">
        <v>0.25</v>
      </c>
    </row>
    <row r="136" spans="1:7">
      <c r="A136" s="480" t="s">
        <v>438</v>
      </c>
      <c r="B136" s="505">
        <v>73.41</v>
      </c>
      <c r="C136" s="503">
        <f t="shared" si="0"/>
        <v>22.44</v>
      </c>
      <c r="D136" s="480">
        <v>10.42</v>
      </c>
      <c r="E136" s="480">
        <v>10.93</v>
      </c>
      <c r="F136" s="480">
        <v>1</v>
      </c>
      <c r="G136" s="480">
        <v>0.09</v>
      </c>
    </row>
    <row r="137" spans="1:7">
      <c r="A137" s="480" t="s">
        <v>439</v>
      </c>
      <c r="B137" s="505">
        <v>63.49</v>
      </c>
      <c r="C137" s="503">
        <f t="shared" si="0"/>
        <v>31.46</v>
      </c>
      <c r="D137" s="480">
        <v>9.14</v>
      </c>
      <c r="E137" s="480">
        <v>18.559999999999999</v>
      </c>
      <c r="F137" s="480">
        <v>3.59</v>
      </c>
      <c r="G137" s="480">
        <v>0.17</v>
      </c>
    </row>
    <row r="138" spans="1:7">
      <c r="A138" s="480" t="s">
        <v>206</v>
      </c>
      <c r="B138" s="505">
        <v>9.66</v>
      </c>
      <c r="C138" s="503">
        <f t="shared" si="0"/>
        <v>5.6599999999999993</v>
      </c>
      <c r="D138" s="480">
        <v>1.23</v>
      </c>
      <c r="E138" s="480">
        <v>4.38</v>
      </c>
      <c r="F138" s="480">
        <v>0.05</v>
      </c>
      <c r="G138" s="480">
        <v>0</v>
      </c>
    </row>
    <row r="139" spans="1:7">
      <c r="A139" s="480" t="s">
        <v>232</v>
      </c>
      <c r="B139" s="505">
        <v>35</v>
      </c>
      <c r="C139" s="503">
        <f t="shared" si="0"/>
        <v>10.45</v>
      </c>
      <c r="D139" s="480">
        <v>4.55</v>
      </c>
      <c r="F139" s="480">
        <v>4.55</v>
      </c>
      <c r="G139" s="480">
        <v>1.35</v>
      </c>
    </row>
    <row r="140" spans="1:7">
      <c r="A140" s="480" t="s">
        <v>207</v>
      </c>
      <c r="B140" s="505">
        <v>4.46</v>
      </c>
      <c r="C140" s="503">
        <f t="shared" si="0"/>
        <v>10.53</v>
      </c>
      <c r="D140" s="480">
        <v>5.85</v>
      </c>
      <c r="E140" s="480">
        <v>0.98</v>
      </c>
      <c r="F140" s="480">
        <v>3.02</v>
      </c>
      <c r="G140" s="480">
        <v>0.68</v>
      </c>
    </row>
    <row r="141" spans="1:7">
      <c r="A141" s="480" t="s">
        <v>271</v>
      </c>
      <c r="B141" s="505">
        <v>11.68</v>
      </c>
      <c r="C141" s="503">
        <f t="shared" si="0"/>
        <v>44.5</v>
      </c>
      <c r="D141" s="480">
        <v>2.99</v>
      </c>
      <c r="E141" s="480">
        <v>37.89</v>
      </c>
      <c r="F141" s="480">
        <v>3.4</v>
      </c>
      <c r="G141" s="480">
        <v>0.22</v>
      </c>
    </row>
    <row r="142" spans="1:7">
      <c r="A142" s="480" t="s">
        <v>208</v>
      </c>
      <c r="B142" s="505">
        <v>4.1399999999999997</v>
      </c>
      <c r="C142" s="503">
        <f t="shared" si="0"/>
        <v>4.6000000000000005</v>
      </c>
      <c r="D142" s="480">
        <v>1.46</v>
      </c>
      <c r="E142" s="480">
        <v>1.03</v>
      </c>
      <c r="F142" s="480">
        <v>0.52</v>
      </c>
      <c r="G142" s="480">
        <v>1.59</v>
      </c>
    </row>
    <row r="143" spans="1:7">
      <c r="A143" s="480" t="s">
        <v>272</v>
      </c>
      <c r="B143" s="505">
        <v>14.15</v>
      </c>
      <c r="C143" s="503">
        <f t="shared" si="0"/>
        <v>43.21</v>
      </c>
      <c r="D143" s="480">
        <v>5.82</v>
      </c>
      <c r="E143" s="480">
        <v>35.67</v>
      </c>
      <c r="F143" s="480">
        <v>0.11</v>
      </c>
      <c r="G143" s="480">
        <v>1.61</v>
      </c>
    </row>
    <row r="144" spans="1:7">
      <c r="A144" s="480" t="s">
        <v>273</v>
      </c>
      <c r="B144" s="505">
        <v>24.06</v>
      </c>
      <c r="C144" s="503">
        <f t="shared" si="0"/>
        <v>45.5</v>
      </c>
      <c r="D144" s="480">
        <v>14.41</v>
      </c>
      <c r="E144" s="480">
        <v>29.78</v>
      </c>
      <c r="F144" s="480">
        <v>0.89</v>
      </c>
      <c r="G144" s="480">
        <v>0.42</v>
      </c>
    </row>
    <row r="145" spans="1:7">
      <c r="A145" s="480" t="s">
        <v>440</v>
      </c>
      <c r="B145" s="505">
        <v>4.6500000000000004</v>
      </c>
      <c r="C145" s="503">
        <f t="shared" si="0"/>
        <v>7.15</v>
      </c>
      <c r="D145" s="480">
        <v>2.69</v>
      </c>
      <c r="E145" s="480">
        <v>4.38</v>
      </c>
      <c r="F145" s="480">
        <v>7.0000000000000007E-2</v>
      </c>
      <c r="G145" s="480">
        <v>0.01</v>
      </c>
    </row>
    <row r="146" spans="1:7">
      <c r="A146" s="480" t="s">
        <v>210</v>
      </c>
      <c r="B146" s="505">
        <v>38.57</v>
      </c>
      <c r="C146" s="503">
        <f t="shared" si="0"/>
        <v>25.520000000000003</v>
      </c>
      <c r="D146" s="480">
        <v>16.73</v>
      </c>
      <c r="E146" s="480">
        <v>4.84</v>
      </c>
      <c r="F146" s="480">
        <v>3.19</v>
      </c>
      <c r="G146" s="480">
        <v>0.76</v>
      </c>
    </row>
    <row r="147" spans="1:7">
      <c r="A147" s="480" t="s">
        <v>274</v>
      </c>
      <c r="B147" s="505">
        <v>30.48</v>
      </c>
      <c r="C147" s="503">
        <f t="shared" si="0"/>
        <v>68.319999999999993</v>
      </c>
      <c r="D147" s="480">
        <v>12.27</v>
      </c>
      <c r="E147" s="480">
        <v>52.34</v>
      </c>
      <c r="F147" s="480">
        <v>2.08</v>
      </c>
      <c r="G147" s="480">
        <v>1.63</v>
      </c>
    </row>
    <row r="148" spans="1:7">
      <c r="A148" s="480" t="s">
        <v>441</v>
      </c>
      <c r="B148" s="505">
        <v>5.25</v>
      </c>
      <c r="C148" s="503">
        <f t="shared" si="0"/>
        <v>1.36</v>
      </c>
      <c r="D148" s="480">
        <v>1.23</v>
      </c>
      <c r="E148" s="480">
        <v>0.06</v>
      </c>
      <c r="F148" s="480">
        <v>7.0000000000000007E-2</v>
      </c>
      <c r="G148" s="480">
        <v>0</v>
      </c>
    </row>
    <row r="149" spans="1:7">
      <c r="A149" s="480" t="s">
        <v>221</v>
      </c>
      <c r="B149" s="505">
        <v>1.6</v>
      </c>
      <c r="C149" s="503">
        <f t="shared" si="0"/>
        <v>19.549999999999997</v>
      </c>
      <c r="D149" s="480">
        <v>8.1999999999999993</v>
      </c>
      <c r="E149" s="480">
        <v>0</v>
      </c>
      <c r="F149" s="480">
        <v>7.88</v>
      </c>
      <c r="G149" s="480">
        <v>3.47</v>
      </c>
    </row>
    <row r="150" spans="1:7">
      <c r="A150" s="480" t="s">
        <v>324</v>
      </c>
      <c r="B150" s="505">
        <v>33.46</v>
      </c>
      <c r="C150" s="503">
        <f t="shared" si="0"/>
        <v>10.71</v>
      </c>
      <c r="D150" s="480">
        <v>4.3600000000000003</v>
      </c>
      <c r="E150" s="480">
        <v>6.01</v>
      </c>
      <c r="F150" s="480">
        <v>0.04</v>
      </c>
      <c r="G150" s="480">
        <v>0.3</v>
      </c>
    </row>
    <row r="151" spans="1:7">
      <c r="A151" s="480" t="s">
        <v>275</v>
      </c>
      <c r="B151" s="505">
        <v>16.88</v>
      </c>
      <c r="C151" s="503">
        <f t="shared" si="0"/>
        <v>56.279999999999994</v>
      </c>
      <c r="D151" s="480">
        <v>22.58</v>
      </c>
      <c r="E151" s="480">
        <v>30.86</v>
      </c>
      <c r="F151" s="480">
        <v>1.4</v>
      </c>
      <c r="G151" s="480">
        <v>1.44</v>
      </c>
    </row>
    <row r="152" spans="1:7">
      <c r="A152" s="480" t="s">
        <v>276</v>
      </c>
      <c r="B152" s="505">
        <v>15.47</v>
      </c>
      <c r="C152" s="503">
        <f t="shared" si="0"/>
        <v>49.58</v>
      </c>
      <c r="D152" s="480">
        <v>18.62</v>
      </c>
      <c r="E152" s="480">
        <v>28.22</v>
      </c>
      <c r="F152" s="480">
        <v>1.48</v>
      </c>
      <c r="G152" s="480">
        <v>1.26</v>
      </c>
    </row>
    <row r="153" spans="1:7">
      <c r="A153" s="480" t="s">
        <v>286</v>
      </c>
      <c r="B153" s="505">
        <v>3.25</v>
      </c>
      <c r="C153" s="503">
        <f t="shared" si="0"/>
        <v>10.600000000000001</v>
      </c>
      <c r="D153" s="480">
        <v>4.4000000000000004</v>
      </c>
      <c r="E153" s="480">
        <v>0.22</v>
      </c>
      <c r="F153" s="480">
        <v>5.98</v>
      </c>
      <c r="G153" s="480">
        <v>0</v>
      </c>
    </row>
    <row r="154" spans="1:7">
      <c r="A154" s="480" t="s">
        <v>305</v>
      </c>
      <c r="B154" s="505">
        <v>13.26</v>
      </c>
      <c r="C154" s="503">
        <f t="shared" si="0"/>
        <v>15.62</v>
      </c>
      <c r="D154" s="480">
        <v>1.53</v>
      </c>
      <c r="E154" s="480">
        <v>14.04</v>
      </c>
      <c r="F154" s="480">
        <v>0.05</v>
      </c>
      <c r="G154" s="480">
        <v>0</v>
      </c>
    </row>
    <row r="155" spans="1:7">
      <c r="A155" s="480" t="s">
        <v>442</v>
      </c>
      <c r="B155" s="505">
        <v>4.18</v>
      </c>
      <c r="C155" s="503">
        <f t="shared" si="0"/>
        <v>28.560000000000002</v>
      </c>
      <c r="D155" s="480">
        <v>1.41</v>
      </c>
      <c r="E155" s="480">
        <v>11.75</v>
      </c>
      <c r="F155" s="480">
        <v>0.42</v>
      </c>
      <c r="G155" s="480">
        <v>14.98</v>
      </c>
    </row>
    <row r="156" spans="1:7">
      <c r="A156" s="480" t="s">
        <v>213</v>
      </c>
      <c r="B156" s="505">
        <v>7.25</v>
      </c>
      <c r="C156" s="503">
        <f t="shared" si="0"/>
        <v>4.8800000000000008</v>
      </c>
      <c r="D156" s="480">
        <v>1.42</v>
      </c>
      <c r="E156" s="480">
        <v>1.34</v>
      </c>
      <c r="F156" s="480">
        <v>1.31</v>
      </c>
      <c r="G156" s="480">
        <v>0.81</v>
      </c>
    </row>
    <row r="157" spans="1:7">
      <c r="A157" s="480" t="s">
        <v>443</v>
      </c>
      <c r="B157" s="505">
        <v>63.49</v>
      </c>
      <c r="C157" s="503">
        <f t="shared" si="0"/>
        <v>13.61</v>
      </c>
      <c r="D157" s="480">
        <v>4.8600000000000003</v>
      </c>
      <c r="E157" s="480">
        <v>6.31</v>
      </c>
      <c r="F157" s="480">
        <v>1.86</v>
      </c>
      <c r="G157" s="480">
        <v>0.57999999999999996</v>
      </c>
    </row>
    <row r="158" spans="1:7">
      <c r="A158" s="480" t="s">
        <v>222</v>
      </c>
      <c r="B158" s="505">
        <v>17.34</v>
      </c>
      <c r="C158" s="503">
        <f t="shared" si="0"/>
        <v>11.049999999999999</v>
      </c>
      <c r="D158" s="480">
        <v>5.28</v>
      </c>
      <c r="E158" s="480">
        <v>0</v>
      </c>
      <c r="F158" s="480">
        <v>5.49</v>
      </c>
      <c r="G158" s="480">
        <v>0.28000000000000003</v>
      </c>
    </row>
    <row r="159" spans="1:7">
      <c r="A159" s="480" t="s">
        <v>288</v>
      </c>
      <c r="B159" s="505">
        <v>20.84</v>
      </c>
      <c r="C159" s="503">
        <f t="shared" si="0"/>
        <v>18.62</v>
      </c>
      <c r="D159" s="480">
        <v>13.23</v>
      </c>
      <c r="E159" s="480">
        <v>0</v>
      </c>
      <c r="F159" s="480">
        <v>5.38</v>
      </c>
      <c r="G159" s="480">
        <v>0.01</v>
      </c>
    </row>
    <row r="160" spans="1:7">
      <c r="A160" s="480" t="s">
        <v>289</v>
      </c>
      <c r="B160" s="505">
        <v>4.66</v>
      </c>
      <c r="C160" s="503">
        <f t="shared" si="0"/>
        <v>49.51</v>
      </c>
      <c r="D160" s="480">
        <v>25.4</v>
      </c>
      <c r="E160" s="480">
        <v>0.33</v>
      </c>
      <c r="F160" s="480">
        <v>23.76</v>
      </c>
      <c r="G160" s="480">
        <v>0.02</v>
      </c>
    </row>
    <row r="161" spans="1:7">
      <c r="A161" s="480" t="s">
        <v>214</v>
      </c>
      <c r="B161" s="505">
        <v>1.61</v>
      </c>
      <c r="C161" s="503">
        <f t="shared" si="0"/>
        <v>10.309999999999999</v>
      </c>
      <c r="D161" s="480">
        <v>6.08</v>
      </c>
      <c r="E161" s="480">
        <v>3.03</v>
      </c>
      <c r="F161" s="480">
        <v>1.2</v>
      </c>
      <c r="G161" s="480">
        <v>0</v>
      </c>
    </row>
    <row r="162" spans="1:7">
      <c r="A162" s="480" t="s">
        <v>277</v>
      </c>
      <c r="B162" s="505">
        <v>24.56</v>
      </c>
      <c r="C162" s="503">
        <f t="shared" si="0"/>
        <v>24.759999999999998</v>
      </c>
      <c r="D162" s="480">
        <v>7.36</v>
      </c>
      <c r="E162" s="480">
        <v>16.61</v>
      </c>
      <c r="F162" s="480">
        <v>0.32</v>
      </c>
      <c r="G162" s="480">
        <v>0.47</v>
      </c>
    </row>
    <row r="163" spans="1:7">
      <c r="A163" s="480" t="s">
        <v>444</v>
      </c>
      <c r="B163" s="505">
        <v>43.04</v>
      </c>
      <c r="C163" s="503">
        <f t="shared" si="0"/>
        <v>25.119999999999997</v>
      </c>
      <c r="D163" s="480">
        <v>13.77</v>
      </c>
      <c r="E163" s="480">
        <v>0.17</v>
      </c>
      <c r="F163" s="480">
        <v>8.43</v>
      </c>
      <c r="G163" s="480">
        <v>2.75</v>
      </c>
    </row>
    <row r="164" spans="1:7">
      <c r="A164" s="480" t="s">
        <v>445</v>
      </c>
      <c r="B164" s="505">
        <v>30.21</v>
      </c>
      <c r="C164" s="503">
        <f t="shared" si="0"/>
        <v>47.04</v>
      </c>
      <c r="D164" s="480">
        <v>17.8</v>
      </c>
      <c r="E164" s="480">
        <v>24.2</v>
      </c>
      <c r="F164" s="480">
        <v>4.17</v>
      </c>
      <c r="G164" s="480">
        <v>0.87</v>
      </c>
    </row>
    <row r="165" spans="1:7">
      <c r="A165" s="480" t="s">
        <v>446</v>
      </c>
      <c r="B165" s="505">
        <v>1.44</v>
      </c>
      <c r="C165" s="503">
        <f t="shared" si="0"/>
        <v>9.2800000000000011</v>
      </c>
      <c r="D165" s="480">
        <v>7.43</v>
      </c>
      <c r="E165" s="480">
        <v>0.27</v>
      </c>
      <c r="F165" s="480">
        <v>1.1200000000000001</v>
      </c>
      <c r="G165" s="480">
        <v>0.46</v>
      </c>
    </row>
    <row r="166" spans="1:7">
      <c r="A166" s="480" t="s">
        <v>447</v>
      </c>
      <c r="B166" s="505">
        <v>56.64</v>
      </c>
      <c r="C166" s="503">
        <f t="shared" si="0"/>
        <v>66.5</v>
      </c>
      <c r="D166" s="480">
        <v>37.159999999999997</v>
      </c>
      <c r="E166" s="480">
        <v>27.99</v>
      </c>
      <c r="F166" s="480">
        <v>0.54</v>
      </c>
      <c r="G166" s="480">
        <v>0.81</v>
      </c>
    </row>
    <row r="167" spans="1:7">
      <c r="A167" s="480" t="s">
        <v>325</v>
      </c>
      <c r="B167" s="505">
        <v>9.39</v>
      </c>
      <c r="C167" s="503">
        <f t="shared" si="0"/>
        <v>43.929999999999993</v>
      </c>
      <c r="D167" s="480">
        <v>26.4</v>
      </c>
      <c r="E167" s="480">
        <v>14.95</v>
      </c>
      <c r="F167" s="480">
        <v>1.53</v>
      </c>
      <c r="G167" s="480">
        <v>1.05</v>
      </c>
    </row>
    <row r="168" spans="1:7">
      <c r="A168" s="480" t="s">
        <v>287</v>
      </c>
      <c r="B168" s="505">
        <v>2.06</v>
      </c>
      <c r="C168" s="503">
        <f t="shared" si="0"/>
        <v>34.1</v>
      </c>
      <c r="D168" s="480">
        <v>28.47</v>
      </c>
      <c r="E168" s="480">
        <v>0.99</v>
      </c>
      <c r="F168" s="480">
        <v>4.51</v>
      </c>
      <c r="G168" s="480">
        <v>0.13</v>
      </c>
    </row>
    <row r="169" spans="1:7">
      <c r="A169" s="480" t="s">
        <v>448</v>
      </c>
      <c r="B169" s="505">
        <v>12.12</v>
      </c>
      <c r="C169" s="503">
        <f t="shared" si="0"/>
        <v>27.19</v>
      </c>
      <c r="D169" s="480">
        <v>12.32</v>
      </c>
      <c r="E169" s="480">
        <v>14.46</v>
      </c>
      <c r="F169" s="480">
        <v>0.28999999999999998</v>
      </c>
      <c r="G169" s="480">
        <v>0.12</v>
      </c>
    </row>
    <row r="170" spans="1:7">
      <c r="A170" s="480" t="s">
        <v>449</v>
      </c>
      <c r="B170" s="505">
        <v>15.61</v>
      </c>
      <c r="C170" s="503">
        <f t="shared" si="0"/>
        <v>20.610000000000003</v>
      </c>
      <c r="D170" s="480">
        <v>15.81</v>
      </c>
      <c r="E170" s="480">
        <v>4.53</v>
      </c>
      <c r="F170" s="480">
        <v>0.26</v>
      </c>
      <c r="G170" s="480">
        <v>0.01</v>
      </c>
    </row>
    <row r="171" spans="1:7">
      <c r="A171" s="480" t="s">
        <v>450</v>
      </c>
      <c r="B171" s="505">
        <v>15.89</v>
      </c>
      <c r="C171" s="503">
        <f t="shared" si="0"/>
        <v>49.27</v>
      </c>
      <c r="D171" s="480">
        <v>11.3</v>
      </c>
      <c r="E171" s="480">
        <v>37.67</v>
      </c>
      <c r="F171" s="480">
        <v>0.17</v>
      </c>
      <c r="G171" s="480">
        <v>0.13</v>
      </c>
    </row>
    <row r="172" spans="1:7">
      <c r="A172" s="480" t="s">
        <v>235</v>
      </c>
      <c r="B172" s="505">
        <v>6.47</v>
      </c>
      <c r="C172" s="503">
        <f t="shared" si="0"/>
        <v>8.620000000000001</v>
      </c>
      <c r="D172" s="480">
        <v>4.13</v>
      </c>
      <c r="E172" s="480">
        <v>0</v>
      </c>
      <c r="F172" s="480">
        <v>4.4000000000000004</v>
      </c>
      <c r="G172" s="480">
        <v>0.09</v>
      </c>
    </row>
    <row r="173" spans="1:7">
      <c r="A173" s="480" t="s">
        <v>215</v>
      </c>
      <c r="B173" s="505">
        <v>3.32</v>
      </c>
      <c r="C173" s="503">
        <f t="shared" si="0"/>
        <v>15.509999999999998</v>
      </c>
      <c r="D173" s="480">
        <v>10.78</v>
      </c>
      <c r="E173" s="480">
        <v>1.7</v>
      </c>
      <c r="F173" s="480">
        <v>0.69</v>
      </c>
      <c r="G173" s="480">
        <v>2.34</v>
      </c>
    </row>
    <row r="174" spans="1:7">
      <c r="A174" s="480" t="s">
        <v>216</v>
      </c>
      <c r="B174" s="505">
        <v>4.83</v>
      </c>
      <c r="C174" s="503">
        <f t="shared" si="0"/>
        <v>13.59</v>
      </c>
      <c r="D174" s="480">
        <v>8.5</v>
      </c>
      <c r="E174" s="480">
        <v>1.25</v>
      </c>
      <c r="F174" s="480">
        <v>1.27</v>
      </c>
      <c r="G174" s="480">
        <v>2.57</v>
      </c>
    </row>
    <row r="175" spans="1:7">
      <c r="B175" s="506"/>
      <c r="C175" s="185"/>
    </row>
    <row r="176" spans="1:7">
      <c r="A176" s="287"/>
      <c r="B176" s="506"/>
      <c r="C176" s="287">
        <v>5.43</v>
      </c>
    </row>
    <row r="177" spans="1:3">
      <c r="A177" s="287"/>
      <c r="B177" s="506"/>
      <c r="C177" s="287">
        <v>8.6</v>
      </c>
    </row>
    <row r="178" spans="1:3">
      <c r="A178" s="287"/>
      <c r="B178" s="506"/>
      <c r="C178" s="287">
        <v>15.73</v>
      </c>
    </row>
    <row r="179" spans="1:3">
      <c r="A179" s="287"/>
      <c r="B179" s="506"/>
      <c r="C179" s="287">
        <v>2.83</v>
      </c>
    </row>
    <row r="180" spans="1:3">
      <c r="B180" s="506"/>
      <c r="C180" s="185"/>
    </row>
    <row r="181" spans="1:3">
      <c r="B181" s="506"/>
      <c r="C181" s="185"/>
    </row>
    <row r="182" spans="1:3">
      <c r="B182" s="506"/>
      <c r="C182" s="185"/>
    </row>
    <row r="183" spans="1:3">
      <c r="B183" s="506"/>
      <c r="C183" s="185"/>
    </row>
    <row r="184" spans="1:3">
      <c r="B184" s="506"/>
      <c r="C184" s="185"/>
    </row>
    <row r="185" spans="1:3">
      <c r="B185" s="506"/>
      <c r="C185" s="185"/>
    </row>
    <row r="186" spans="1:3">
      <c r="B186" s="506"/>
      <c r="C186" s="185"/>
    </row>
    <row r="187" spans="1:3">
      <c r="B187" s="506"/>
      <c r="C187" s="185"/>
    </row>
    <row r="188" spans="1:3">
      <c r="B188" s="506"/>
      <c r="C188" s="185"/>
    </row>
    <row r="189" spans="1:3">
      <c r="B189" s="506"/>
      <c r="C189" s="185"/>
    </row>
    <row r="190" spans="1:3">
      <c r="B190" s="506"/>
      <c r="C190" s="185"/>
    </row>
    <row r="191" spans="1:3">
      <c r="B191" s="506"/>
      <c r="C191" s="185"/>
    </row>
    <row r="192" spans="1:3">
      <c r="B192" s="506"/>
      <c r="C192" s="185"/>
    </row>
    <row r="193" spans="2:3">
      <c r="B193" s="506"/>
      <c r="C193" s="185"/>
    </row>
    <row r="194" spans="2:3">
      <c r="B194" s="506"/>
      <c r="C194" s="185"/>
    </row>
    <row r="195" spans="2:3">
      <c r="B195" s="506"/>
      <c r="C195" s="185"/>
    </row>
    <row r="196" spans="2:3">
      <c r="B196" s="506"/>
      <c r="C196" s="185"/>
    </row>
    <row r="197" spans="2:3">
      <c r="B197" s="506"/>
      <c r="C197" s="185"/>
    </row>
    <row r="198" spans="2:3">
      <c r="B198" s="506"/>
      <c r="C198" s="185"/>
    </row>
    <row r="199" spans="2:3">
      <c r="B199" s="506"/>
      <c r="C199" s="185"/>
    </row>
    <row r="200" spans="2:3">
      <c r="B200" s="506"/>
      <c r="C200" s="185"/>
    </row>
    <row r="201" spans="2:3">
      <c r="B201" s="506"/>
      <c r="C201" s="185"/>
    </row>
    <row r="202" spans="2:3">
      <c r="B202" s="506"/>
      <c r="C202" s="185"/>
    </row>
    <row r="203" spans="2:3">
      <c r="B203" s="506"/>
      <c r="C203" s="185"/>
    </row>
    <row r="204" spans="2:3">
      <c r="B204" s="506"/>
      <c r="C204" s="185"/>
    </row>
    <row r="205" spans="2:3">
      <c r="B205" s="506"/>
      <c r="C205" s="185"/>
    </row>
    <row r="206" spans="2:3">
      <c r="B206" s="506"/>
      <c r="C206" s="185"/>
    </row>
    <row r="207" spans="2:3">
      <c r="B207" s="506"/>
      <c r="C207" s="185"/>
    </row>
    <row r="208" spans="2:3">
      <c r="B208" s="506"/>
      <c r="C208" s="185"/>
    </row>
    <row r="209" spans="2:3">
      <c r="B209" s="506"/>
      <c r="C209" s="185"/>
    </row>
    <row r="210" spans="2:3">
      <c r="B210" s="506"/>
      <c r="C210" s="185"/>
    </row>
    <row r="211" spans="2:3">
      <c r="B211" s="506"/>
      <c r="C211" s="185"/>
    </row>
    <row r="212" spans="2:3">
      <c r="B212" s="506"/>
      <c r="C212" s="185"/>
    </row>
    <row r="213" spans="2:3">
      <c r="B213" s="506"/>
      <c r="C213" s="185"/>
    </row>
    <row r="214" spans="2:3">
      <c r="B214" s="506"/>
      <c r="C214" s="185"/>
    </row>
    <row r="215" spans="2:3">
      <c r="B215" s="506"/>
      <c r="C215" s="185"/>
    </row>
    <row r="216" spans="2:3">
      <c r="B216" s="506"/>
      <c r="C216" s="185"/>
    </row>
    <row r="217" spans="2:3">
      <c r="B217" s="506"/>
      <c r="C217" s="185"/>
    </row>
    <row r="218" spans="2:3">
      <c r="B218" s="506"/>
      <c r="C218" s="185"/>
    </row>
    <row r="219" spans="2:3">
      <c r="B219" s="506"/>
      <c r="C219" s="185"/>
    </row>
    <row r="220" spans="2:3">
      <c r="B220" s="506"/>
      <c r="C220" s="185"/>
    </row>
    <row r="221" spans="2:3">
      <c r="B221" s="506"/>
      <c r="C221" s="185"/>
    </row>
    <row r="222" spans="2:3">
      <c r="B222" s="506"/>
      <c r="C222" s="185"/>
    </row>
    <row r="223" spans="2:3">
      <c r="B223" s="506"/>
      <c r="C223" s="185"/>
    </row>
    <row r="224" spans="2:3">
      <c r="B224" s="506"/>
      <c r="C224" s="185"/>
    </row>
    <row r="225" spans="2:3">
      <c r="B225" s="506"/>
      <c r="C225" s="185"/>
    </row>
    <row r="226" spans="2:3">
      <c r="B226" s="506"/>
      <c r="C226" s="185"/>
    </row>
    <row r="227" spans="2:3">
      <c r="B227" s="506"/>
      <c r="C227" s="185"/>
    </row>
    <row r="228" spans="2:3">
      <c r="B228" s="506"/>
      <c r="C228" s="185"/>
    </row>
    <row r="229" spans="2:3">
      <c r="B229" s="506"/>
      <c r="C229" s="185"/>
    </row>
    <row r="230" spans="2:3">
      <c r="B230" s="506"/>
      <c r="C230" s="185"/>
    </row>
    <row r="231" spans="2:3">
      <c r="B231" s="506"/>
      <c r="C231" s="185"/>
    </row>
    <row r="232" spans="2:3">
      <c r="B232" s="506"/>
      <c r="C232" s="185"/>
    </row>
    <row r="233" spans="2:3">
      <c r="B233" s="506"/>
      <c r="C233" s="185"/>
    </row>
    <row r="234" spans="2:3">
      <c r="B234" s="506"/>
      <c r="C234" s="185"/>
    </row>
    <row r="235" spans="2:3">
      <c r="B235" s="506"/>
      <c r="C235" s="185"/>
    </row>
    <row r="236" spans="2:3">
      <c r="B236" s="506"/>
      <c r="C236" s="185"/>
    </row>
    <row r="237" spans="2:3">
      <c r="B237" s="506"/>
      <c r="C237" s="185"/>
    </row>
    <row r="238" spans="2:3">
      <c r="B238" s="506"/>
      <c r="C238" s="185"/>
    </row>
    <row r="239" spans="2:3">
      <c r="B239" s="506"/>
      <c r="C239" s="185"/>
    </row>
    <row r="240" spans="2:3">
      <c r="B240" s="506"/>
      <c r="C240" s="185"/>
    </row>
    <row r="241" spans="2:3">
      <c r="B241" s="506"/>
      <c r="C241" s="185"/>
    </row>
    <row r="242" spans="2:3">
      <c r="B242" s="506"/>
      <c r="C242" s="185"/>
    </row>
    <row r="243" spans="2:3">
      <c r="B243" s="506"/>
      <c r="C243" s="185"/>
    </row>
    <row r="244" spans="2:3">
      <c r="B244" s="506"/>
      <c r="C244" s="185"/>
    </row>
    <row r="245" spans="2:3">
      <c r="B245" s="506"/>
      <c r="C245" s="185"/>
    </row>
    <row r="246" spans="2:3">
      <c r="B246" s="506"/>
      <c r="C246" s="185"/>
    </row>
    <row r="247" spans="2:3">
      <c r="B247" s="506"/>
      <c r="C247" s="185"/>
    </row>
    <row r="248" spans="2:3">
      <c r="B248" s="506"/>
      <c r="C248" s="185"/>
    </row>
    <row r="249" spans="2:3">
      <c r="B249" s="506"/>
      <c r="C249" s="185"/>
    </row>
    <row r="250" spans="2:3">
      <c r="B250" s="506"/>
      <c r="C250" s="185"/>
    </row>
    <row r="251" spans="2:3">
      <c r="B251" s="506"/>
      <c r="C251" s="185"/>
    </row>
    <row r="252" spans="2:3">
      <c r="B252" s="506"/>
      <c r="C252" s="185"/>
    </row>
    <row r="253" spans="2:3">
      <c r="B253" s="506"/>
      <c r="C253" s="185"/>
    </row>
    <row r="254" spans="2:3">
      <c r="B254" s="506"/>
      <c r="C254" s="185"/>
    </row>
    <row r="255" spans="2:3">
      <c r="B255" s="506"/>
      <c r="C255" s="185"/>
    </row>
    <row r="256" spans="2:3">
      <c r="B256" s="506"/>
      <c r="C256" s="185"/>
    </row>
    <row r="257" spans="2:3">
      <c r="B257" s="506"/>
      <c r="C257" s="185"/>
    </row>
    <row r="258" spans="2:3">
      <c r="B258" s="506"/>
      <c r="C258" s="185"/>
    </row>
    <row r="259" spans="2:3">
      <c r="B259" s="506"/>
      <c r="C259" s="185"/>
    </row>
    <row r="260" spans="2:3">
      <c r="B260" s="506"/>
      <c r="C260" s="185"/>
    </row>
    <row r="261" spans="2:3">
      <c r="B261" s="506"/>
      <c r="C261" s="185"/>
    </row>
    <row r="262" spans="2:3">
      <c r="B262" s="506"/>
      <c r="C262" s="185"/>
    </row>
    <row r="263" spans="2:3">
      <c r="B263" s="506"/>
      <c r="C263" s="185"/>
    </row>
    <row r="264" spans="2:3">
      <c r="B264" s="506"/>
      <c r="C264" s="185"/>
    </row>
    <row r="265" spans="2:3">
      <c r="B265" s="506"/>
      <c r="C265" s="185"/>
    </row>
    <row r="266" spans="2:3">
      <c r="B266" s="506"/>
      <c r="C266" s="185"/>
    </row>
    <row r="267" spans="2:3">
      <c r="B267" s="506"/>
      <c r="C267" s="185"/>
    </row>
    <row r="268" spans="2:3">
      <c r="B268" s="506"/>
      <c r="C268" s="185"/>
    </row>
    <row r="269" spans="2:3">
      <c r="B269" s="506"/>
      <c r="C269" s="185"/>
    </row>
    <row r="270" spans="2:3">
      <c r="B270" s="506"/>
      <c r="C270" s="185"/>
    </row>
    <row r="271" spans="2:3">
      <c r="B271" s="506"/>
      <c r="C271" s="185"/>
    </row>
    <row r="272" spans="2:3">
      <c r="B272" s="506"/>
      <c r="C272" s="185"/>
    </row>
    <row r="273" spans="2:3">
      <c r="B273" s="506"/>
      <c r="C273" s="185"/>
    </row>
    <row r="274" spans="2:3">
      <c r="B274" s="506"/>
      <c r="C274" s="185"/>
    </row>
    <row r="275" spans="2:3">
      <c r="B275" s="506"/>
      <c r="C275" s="185"/>
    </row>
    <row r="276" spans="2:3">
      <c r="B276" s="506"/>
      <c r="C276" s="185"/>
    </row>
    <row r="277" spans="2:3">
      <c r="B277" s="506"/>
      <c r="C277" s="185"/>
    </row>
    <row r="278" spans="2:3">
      <c r="B278" s="506"/>
      <c r="C278" s="185"/>
    </row>
    <row r="279" spans="2:3">
      <c r="B279" s="506"/>
      <c r="C279" s="185"/>
    </row>
    <row r="280" spans="2:3">
      <c r="B280" s="506"/>
      <c r="C280" s="185"/>
    </row>
    <row r="281" spans="2:3">
      <c r="B281" s="506"/>
      <c r="C281" s="185"/>
    </row>
    <row r="282" spans="2:3">
      <c r="B282" s="506"/>
      <c r="C282" s="185"/>
    </row>
    <row r="283" spans="2:3">
      <c r="B283" s="506"/>
      <c r="C283" s="185"/>
    </row>
    <row r="284" spans="2:3">
      <c r="B284" s="506"/>
      <c r="C284" s="185"/>
    </row>
    <row r="285" spans="2:3">
      <c r="B285" s="506"/>
      <c r="C285" s="185"/>
    </row>
    <row r="286" spans="2:3">
      <c r="B286" s="506"/>
      <c r="C286" s="185"/>
    </row>
    <row r="287" spans="2:3">
      <c r="B287" s="506"/>
      <c r="C287" s="185"/>
    </row>
    <row r="288" spans="2:3">
      <c r="B288" s="506"/>
      <c r="C288" s="185"/>
    </row>
    <row r="289" spans="2:3">
      <c r="B289" s="506"/>
      <c r="C289" s="185"/>
    </row>
    <row r="290" spans="2:3">
      <c r="B290" s="506"/>
      <c r="C290" s="185"/>
    </row>
    <row r="291" spans="2:3">
      <c r="B291" s="506"/>
      <c r="C291" s="185"/>
    </row>
    <row r="292" spans="2:3">
      <c r="B292" s="506"/>
      <c r="C292" s="185"/>
    </row>
    <row r="293" spans="2:3">
      <c r="B293" s="506"/>
      <c r="C293" s="185"/>
    </row>
    <row r="294" spans="2:3">
      <c r="B294" s="506"/>
      <c r="C294" s="185"/>
    </row>
    <row r="295" spans="2:3">
      <c r="B295" s="506"/>
      <c r="C295" s="185"/>
    </row>
    <row r="296" spans="2:3">
      <c r="B296" s="506"/>
      <c r="C296" s="185"/>
    </row>
    <row r="297" spans="2:3">
      <c r="B297" s="506"/>
      <c r="C297" s="185"/>
    </row>
    <row r="298" spans="2:3">
      <c r="B298" s="506"/>
      <c r="C298" s="185"/>
    </row>
    <row r="299" spans="2:3">
      <c r="B299" s="506"/>
      <c r="C299" s="185"/>
    </row>
    <row r="300" spans="2:3">
      <c r="B300" s="506"/>
      <c r="C300" s="185"/>
    </row>
    <row r="301" spans="2:3">
      <c r="B301" s="506"/>
      <c r="C301" s="185"/>
    </row>
    <row r="302" spans="2:3">
      <c r="B302" s="506"/>
      <c r="C302" s="185"/>
    </row>
    <row r="303" spans="2:3">
      <c r="B303" s="506"/>
      <c r="C303" s="185"/>
    </row>
    <row r="304" spans="2:3">
      <c r="B304" s="506"/>
      <c r="C304" s="185"/>
    </row>
    <row r="305" spans="2:3">
      <c r="B305" s="506"/>
      <c r="C305" s="185"/>
    </row>
    <row r="306" spans="2:3">
      <c r="B306" s="506"/>
      <c r="C306" s="185"/>
    </row>
    <row r="307" spans="2:3">
      <c r="B307" s="506"/>
      <c r="C307" s="185"/>
    </row>
    <row r="308" spans="2:3">
      <c r="B308" s="506"/>
      <c r="C308" s="185"/>
    </row>
    <row r="309" spans="2:3">
      <c r="B309" s="506"/>
      <c r="C309" s="185"/>
    </row>
    <row r="310" spans="2:3">
      <c r="B310" s="506"/>
      <c r="C310" s="185"/>
    </row>
    <row r="311" spans="2:3">
      <c r="B311" s="506"/>
      <c r="C311" s="185"/>
    </row>
    <row r="312" spans="2:3">
      <c r="B312" s="506"/>
      <c r="C312" s="185"/>
    </row>
    <row r="313" spans="2:3">
      <c r="B313" s="506"/>
      <c r="C313" s="185"/>
    </row>
    <row r="314" spans="2:3">
      <c r="B314" s="506"/>
      <c r="C314" s="185"/>
    </row>
    <row r="315" spans="2:3">
      <c r="B315" s="506"/>
      <c r="C315" s="185"/>
    </row>
    <row r="316" spans="2:3">
      <c r="B316" s="506"/>
      <c r="C316" s="185"/>
    </row>
    <row r="317" spans="2:3">
      <c r="B317" s="506"/>
      <c r="C317" s="185"/>
    </row>
    <row r="318" spans="2:3">
      <c r="B318" s="506"/>
      <c r="C318" s="185"/>
    </row>
    <row r="319" spans="2:3">
      <c r="B319" s="506"/>
      <c r="C319" s="185"/>
    </row>
    <row r="320" spans="2:3">
      <c r="B320" s="506"/>
      <c r="C320" s="185"/>
    </row>
    <row r="321" spans="2:3">
      <c r="B321" s="506"/>
      <c r="C321" s="185"/>
    </row>
    <row r="322" spans="2:3">
      <c r="B322" s="506"/>
      <c r="C322" s="185"/>
    </row>
    <row r="323" spans="2:3">
      <c r="B323" s="506"/>
      <c r="C323" s="185"/>
    </row>
    <row r="324" spans="2:3">
      <c r="B324" s="506"/>
      <c r="C324" s="185"/>
    </row>
    <row r="325" spans="2:3">
      <c r="B325" s="506"/>
      <c r="C325" s="185"/>
    </row>
    <row r="326" spans="2:3">
      <c r="B326" s="506"/>
      <c r="C326" s="185"/>
    </row>
    <row r="327" spans="2:3">
      <c r="B327" s="506"/>
      <c r="C327" s="185"/>
    </row>
    <row r="328" spans="2:3">
      <c r="B328" s="506"/>
      <c r="C328" s="185"/>
    </row>
    <row r="329" spans="2:3">
      <c r="B329" s="506"/>
      <c r="C329" s="185"/>
    </row>
    <row r="330" spans="2:3">
      <c r="B330" s="506"/>
      <c r="C330" s="185"/>
    </row>
    <row r="331" spans="2:3">
      <c r="B331" s="506"/>
      <c r="C331" s="185"/>
    </row>
    <row r="332" spans="2:3">
      <c r="B332" s="506"/>
      <c r="C332" s="185"/>
    </row>
    <row r="333" spans="2:3">
      <c r="B333" s="506"/>
      <c r="C333" s="185"/>
    </row>
    <row r="334" spans="2:3">
      <c r="B334" s="506"/>
      <c r="C334" s="185"/>
    </row>
    <row r="335" spans="2:3">
      <c r="B335" s="506"/>
      <c r="C335" s="185"/>
    </row>
    <row r="336" spans="2:3">
      <c r="B336" s="506"/>
      <c r="C336" s="185"/>
    </row>
    <row r="337" spans="2:3">
      <c r="B337" s="506"/>
      <c r="C337" s="185"/>
    </row>
    <row r="338" spans="2:3">
      <c r="B338" s="506"/>
      <c r="C338" s="185"/>
    </row>
    <row r="339" spans="2:3">
      <c r="B339" s="506"/>
      <c r="C339" s="185"/>
    </row>
    <row r="340" spans="2:3">
      <c r="B340" s="506"/>
      <c r="C340" s="185"/>
    </row>
    <row r="341" spans="2:3">
      <c r="B341" s="506"/>
      <c r="C341" s="185"/>
    </row>
    <row r="342" spans="2:3">
      <c r="B342" s="506"/>
      <c r="C342" s="185"/>
    </row>
    <row r="343" spans="2:3">
      <c r="B343" s="506"/>
      <c r="C343" s="185"/>
    </row>
    <row r="344" spans="2:3">
      <c r="B344" s="506"/>
      <c r="C344" s="185"/>
    </row>
    <row r="345" spans="2:3">
      <c r="B345" s="506"/>
      <c r="C345" s="185"/>
    </row>
    <row r="346" spans="2:3">
      <c r="B346" s="506"/>
      <c r="C346" s="185"/>
    </row>
    <row r="347" spans="2:3">
      <c r="B347" s="506"/>
      <c r="C347" s="185"/>
    </row>
    <row r="348" spans="2:3">
      <c r="B348" s="506"/>
      <c r="C348" s="185"/>
    </row>
    <row r="349" spans="2:3">
      <c r="B349" s="506"/>
      <c r="C349" s="185"/>
    </row>
    <row r="350" spans="2:3">
      <c r="B350" s="506"/>
      <c r="C350" s="185"/>
    </row>
    <row r="351" spans="2:3">
      <c r="B351" s="506"/>
      <c r="C351" s="185"/>
    </row>
    <row r="352" spans="2:3">
      <c r="B352" s="506"/>
      <c r="C352" s="185"/>
    </row>
    <row r="353" spans="2:3">
      <c r="B353" s="506"/>
      <c r="C353" s="185"/>
    </row>
    <row r="354" spans="2:3">
      <c r="B354" s="506"/>
      <c r="C354" s="185"/>
    </row>
    <row r="355" spans="2:3">
      <c r="B355" s="506"/>
      <c r="C355" s="185"/>
    </row>
    <row r="356" spans="2:3">
      <c r="B356" s="506"/>
      <c r="C356" s="185"/>
    </row>
    <row r="357" spans="2:3">
      <c r="B357" s="506"/>
      <c r="C357" s="185"/>
    </row>
    <row r="358" spans="2:3">
      <c r="B358" s="506"/>
      <c r="C358" s="185"/>
    </row>
    <row r="359" spans="2:3">
      <c r="B359" s="506"/>
      <c r="C359" s="185"/>
    </row>
    <row r="360" spans="2:3">
      <c r="B360" s="506"/>
      <c r="C360" s="185"/>
    </row>
    <row r="361" spans="2:3">
      <c r="B361" s="506"/>
      <c r="C361" s="185"/>
    </row>
    <row r="362" spans="2:3">
      <c r="B362" s="506"/>
      <c r="C362" s="185"/>
    </row>
    <row r="363" spans="2:3">
      <c r="B363" s="506"/>
      <c r="C363" s="185"/>
    </row>
    <row r="364" spans="2:3">
      <c r="B364" s="506"/>
      <c r="C364" s="185"/>
    </row>
    <row r="365" spans="2:3">
      <c r="B365" s="506"/>
      <c r="C365" s="185"/>
    </row>
    <row r="366" spans="2:3">
      <c r="B366" s="506"/>
      <c r="C366" s="185"/>
    </row>
    <row r="367" spans="2:3">
      <c r="B367" s="506"/>
      <c r="C367" s="185"/>
    </row>
    <row r="368" spans="2:3">
      <c r="B368" s="506"/>
      <c r="C368" s="185"/>
    </row>
    <row r="369" spans="2:3">
      <c r="B369" s="506"/>
      <c r="C369" s="185"/>
    </row>
    <row r="370" spans="2:3">
      <c r="B370" s="506"/>
      <c r="C370" s="185"/>
    </row>
    <row r="371" spans="2:3">
      <c r="B371" s="506"/>
      <c r="C371" s="185"/>
    </row>
    <row r="372" spans="2:3">
      <c r="B372" s="506"/>
      <c r="C372" s="185"/>
    </row>
    <row r="373" spans="2:3">
      <c r="B373" s="506"/>
      <c r="C373" s="185"/>
    </row>
    <row r="374" spans="2:3">
      <c r="B374" s="506"/>
      <c r="C374" s="185"/>
    </row>
    <row r="375" spans="2:3">
      <c r="B375" s="506"/>
      <c r="C375" s="185"/>
    </row>
    <row r="376" spans="2:3">
      <c r="B376" s="506"/>
      <c r="C376" s="185"/>
    </row>
    <row r="377" spans="2:3">
      <c r="B377" s="506"/>
      <c r="C377" s="185"/>
    </row>
    <row r="378" spans="2:3">
      <c r="B378" s="506"/>
      <c r="C378" s="185"/>
    </row>
    <row r="379" spans="2:3">
      <c r="B379" s="506"/>
      <c r="C379" s="185"/>
    </row>
    <row r="380" spans="2:3">
      <c r="B380" s="506"/>
      <c r="C380" s="185"/>
    </row>
    <row r="381" spans="2:3">
      <c r="B381" s="506"/>
      <c r="C381" s="185"/>
    </row>
    <row r="382" spans="2:3">
      <c r="B382" s="506"/>
      <c r="C382" s="185"/>
    </row>
    <row r="383" spans="2:3">
      <c r="B383" s="506"/>
      <c r="C383" s="185"/>
    </row>
    <row r="384" spans="2:3">
      <c r="B384" s="506"/>
      <c r="C384" s="185"/>
    </row>
    <row r="385" spans="2:3">
      <c r="B385" s="506"/>
      <c r="C385" s="185"/>
    </row>
    <row r="386" spans="2:3">
      <c r="B386" s="506"/>
      <c r="C386" s="185"/>
    </row>
    <row r="387" spans="2:3">
      <c r="B387" s="506"/>
      <c r="C387" s="185"/>
    </row>
    <row r="388" spans="2:3">
      <c r="B388" s="506"/>
      <c r="C388" s="185"/>
    </row>
    <row r="389" spans="2:3">
      <c r="B389" s="506"/>
      <c r="C389" s="185"/>
    </row>
    <row r="390" spans="2:3">
      <c r="B390" s="506"/>
      <c r="C390" s="185"/>
    </row>
    <row r="391" spans="2:3">
      <c r="B391" s="506"/>
      <c r="C391" s="185"/>
    </row>
    <row r="392" spans="2:3">
      <c r="B392" s="506"/>
      <c r="C392" s="185"/>
    </row>
    <row r="393" spans="2:3">
      <c r="B393" s="506"/>
      <c r="C393" s="185"/>
    </row>
    <row r="394" spans="2:3">
      <c r="B394" s="506"/>
      <c r="C394" s="185"/>
    </row>
    <row r="395" spans="2:3">
      <c r="B395" s="506"/>
      <c r="C395" s="185"/>
    </row>
    <row r="396" spans="2:3">
      <c r="B396" s="506"/>
      <c r="C396" s="185"/>
    </row>
    <row r="397" spans="2:3">
      <c r="B397" s="506"/>
      <c r="C397" s="185"/>
    </row>
    <row r="398" spans="2:3">
      <c r="B398" s="506"/>
      <c r="C398" s="185"/>
    </row>
    <row r="399" spans="2:3">
      <c r="B399" s="506"/>
      <c r="C399" s="185"/>
    </row>
    <row r="400" spans="2:3">
      <c r="B400" s="506"/>
      <c r="C400" s="185"/>
    </row>
    <row r="401" spans="2:3">
      <c r="B401" s="506"/>
      <c r="C401" s="185"/>
    </row>
    <row r="402" spans="2:3">
      <c r="B402" s="506"/>
      <c r="C402" s="185"/>
    </row>
    <row r="403" spans="2:3">
      <c r="B403" s="506"/>
      <c r="C403" s="185"/>
    </row>
    <row r="404" spans="2:3">
      <c r="B404" s="506"/>
      <c r="C404" s="185"/>
    </row>
    <row r="405" spans="2:3">
      <c r="B405" s="506"/>
      <c r="C405" s="185"/>
    </row>
    <row r="406" spans="2:3">
      <c r="B406" s="506"/>
      <c r="C406" s="185"/>
    </row>
    <row r="407" spans="2:3">
      <c r="B407" s="506"/>
      <c r="C407" s="185"/>
    </row>
    <row r="408" spans="2:3">
      <c r="B408" s="506"/>
      <c r="C408" s="185"/>
    </row>
    <row r="409" spans="2:3">
      <c r="B409" s="506"/>
      <c r="C409" s="185"/>
    </row>
    <row r="410" spans="2:3">
      <c r="B410" s="506"/>
      <c r="C410" s="185"/>
    </row>
    <row r="411" spans="2:3">
      <c r="B411" s="506"/>
      <c r="C411" s="185"/>
    </row>
    <row r="412" spans="2:3">
      <c r="B412" s="506"/>
      <c r="C412" s="185"/>
    </row>
    <row r="413" spans="2:3">
      <c r="B413" s="506"/>
      <c r="C413" s="185"/>
    </row>
    <row r="414" spans="2:3">
      <c r="B414" s="506"/>
      <c r="C414" s="185"/>
    </row>
    <row r="415" spans="2:3">
      <c r="B415" s="506"/>
      <c r="C415" s="185"/>
    </row>
    <row r="416" spans="2:3">
      <c r="B416" s="506"/>
      <c r="C416" s="185"/>
    </row>
    <row r="417" spans="2:3">
      <c r="B417" s="506"/>
      <c r="C417" s="185"/>
    </row>
    <row r="418" spans="2:3">
      <c r="B418" s="506"/>
      <c r="C418" s="185"/>
    </row>
    <row r="419" spans="2:3">
      <c r="B419" s="506"/>
      <c r="C419" s="185"/>
    </row>
    <row r="420" spans="2:3">
      <c r="B420" s="506"/>
      <c r="C420" s="185"/>
    </row>
    <row r="421" spans="2:3">
      <c r="B421" s="506"/>
      <c r="C421" s="185"/>
    </row>
    <row r="422" spans="2:3">
      <c r="B422" s="506"/>
      <c r="C422" s="185"/>
    </row>
    <row r="423" spans="2:3">
      <c r="B423" s="506"/>
      <c r="C423" s="185"/>
    </row>
    <row r="424" spans="2:3">
      <c r="B424" s="506"/>
      <c r="C424" s="185"/>
    </row>
    <row r="425" spans="2:3">
      <c r="B425" s="506"/>
      <c r="C425" s="185"/>
    </row>
    <row r="426" spans="2:3">
      <c r="B426" s="506"/>
      <c r="C426" s="185"/>
    </row>
    <row r="427" spans="2:3">
      <c r="B427" s="506"/>
      <c r="C427" s="185"/>
    </row>
    <row r="428" spans="2:3">
      <c r="B428" s="506"/>
      <c r="C428" s="185"/>
    </row>
    <row r="429" spans="2:3">
      <c r="B429" s="506"/>
      <c r="C429" s="185"/>
    </row>
    <row r="430" spans="2:3">
      <c r="B430" s="506"/>
      <c r="C430" s="185"/>
    </row>
    <row r="431" spans="2:3">
      <c r="B431" s="506"/>
      <c r="C431" s="185"/>
    </row>
    <row r="432" spans="2:3">
      <c r="B432" s="506"/>
      <c r="C432" s="185"/>
    </row>
    <row r="433" spans="2:3">
      <c r="B433" s="506"/>
      <c r="C433" s="185"/>
    </row>
    <row r="434" spans="2:3">
      <c r="B434" s="506"/>
      <c r="C434" s="185"/>
    </row>
    <row r="435" spans="2:3">
      <c r="B435" s="506"/>
      <c r="C435" s="185"/>
    </row>
    <row r="436" spans="2:3">
      <c r="B436" s="506"/>
      <c r="C436" s="185"/>
    </row>
    <row r="437" spans="2:3">
      <c r="B437" s="506"/>
      <c r="C437" s="185"/>
    </row>
    <row r="438" spans="2:3">
      <c r="B438" s="506"/>
      <c r="C438" s="185"/>
    </row>
    <row r="439" spans="2:3">
      <c r="B439" s="506"/>
      <c r="C439" s="185"/>
    </row>
    <row r="440" spans="2:3">
      <c r="B440" s="506"/>
      <c r="C440" s="185"/>
    </row>
    <row r="441" spans="2:3">
      <c r="B441" s="506"/>
      <c r="C441" s="185"/>
    </row>
    <row r="442" spans="2:3">
      <c r="B442" s="506"/>
      <c r="C442" s="185"/>
    </row>
    <row r="443" spans="2:3">
      <c r="B443" s="506"/>
      <c r="C443" s="185"/>
    </row>
    <row r="444" spans="2:3">
      <c r="B444" s="506"/>
      <c r="C444" s="185"/>
    </row>
    <row r="445" spans="2:3">
      <c r="B445" s="506"/>
      <c r="C445" s="185"/>
    </row>
    <row r="446" spans="2:3">
      <c r="B446" s="506"/>
      <c r="C446" s="185"/>
    </row>
    <row r="447" spans="2:3">
      <c r="B447" s="506"/>
      <c r="C447" s="185"/>
    </row>
    <row r="448" spans="2:3">
      <c r="B448" s="506"/>
      <c r="C448" s="185"/>
    </row>
    <row r="449" spans="2:3">
      <c r="B449" s="506"/>
      <c r="C449" s="185"/>
    </row>
    <row r="450" spans="2:3">
      <c r="B450" s="506"/>
      <c r="C450" s="185"/>
    </row>
    <row r="451" spans="2:3">
      <c r="B451" s="506"/>
      <c r="C451" s="185"/>
    </row>
    <row r="452" spans="2:3">
      <c r="B452" s="506"/>
      <c r="C452" s="185"/>
    </row>
    <row r="453" spans="2:3">
      <c r="B453" s="506"/>
      <c r="C453" s="185"/>
    </row>
    <row r="454" spans="2:3">
      <c r="B454" s="506"/>
      <c r="C454" s="185"/>
    </row>
    <row r="455" spans="2:3">
      <c r="B455" s="506"/>
      <c r="C455" s="185"/>
    </row>
    <row r="456" spans="2:3">
      <c r="B456" s="506"/>
      <c r="C456" s="185"/>
    </row>
    <row r="457" spans="2:3">
      <c r="B457" s="506"/>
      <c r="C457" s="185"/>
    </row>
    <row r="458" spans="2:3">
      <c r="B458" s="506"/>
      <c r="C458" s="185"/>
    </row>
    <row r="459" spans="2:3">
      <c r="B459" s="506"/>
      <c r="C459" s="185"/>
    </row>
    <row r="460" spans="2:3">
      <c r="B460" s="506"/>
      <c r="C460" s="185"/>
    </row>
    <row r="461" spans="2:3">
      <c r="B461" s="506"/>
      <c r="C461" s="185"/>
    </row>
    <row r="462" spans="2:3">
      <c r="B462" s="506"/>
      <c r="C462" s="185"/>
    </row>
    <row r="463" spans="2:3">
      <c r="B463" s="506"/>
      <c r="C463" s="185"/>
    </row>
    <row r="464" spans="2:3">
      <c r="B464" s="506"/>
      <c r="C464" s="185"/>
    </row>
    <row r="465" spans="2:3">
      <c r="B465" s="506"/>
      <c r="C465" s="185"/>
    </row>
    <row r="466" spans="2:3">
      <c r="B466" s="506"/>
      <c r="C466" s="185"/>
    </row>
    <row r="467" spans="2:3">
      <c r="B467" s="506"/>
      <c r="C467" s="185"/>
    </row>
    <row r="468" spans="2:3">
      <c r="B468" s="506"/>
      <c r="C468" s="185"/>
    </row>
    <row r="469" spans="2:3">
      <c r="B469" s="506"/>
      <c r="C469" s="185"/>
    </row>
    <row r="470" spans="2:3">
      <c r="B470" s="506"/>
      <c r="C470" s="185"/>
    </row>
    <row r="471" spans="2:3">
      <c r="B471" s="506"/>
      <c r="C471" s="185"/>
    </row>
    <row r="472" spans="2:3">
      <c r="B472" s="506"/>
      <c r="C472" s="185"/>
    </row>
    <row r="473" spans="2:3">
      <c r="B473" s="506"/>
      <c r="C473" s="185"/>
    </row>
    <row r="474" spans="2:3">
      <c r="B474" s="506"/>
      <c r="C474" s="185"/>
    </row>
    <row r="475" spans="2:3">
      <c r="B475" s="506"/>
      <c r="C475" s="185"/>
    </row>
    <row r="476" spans="2:3">
      <c r="B476" s="506"/>
      <c r="C476" s="185"/>
    </row>
    <row r="477" spans="2:3">
      <c r="B477" s="506"/>
      <c r="C477" s="185"/>
    </row>
    <row r="478" spans="2:3">
      <c r="B478" s="506"/>
      <c r="C478" s="185"/>
    </row>
    <row r="479" spans="2:3">
      <c r="B479" s="506"/>
      <c r="C479" s="185"/>
    </row>
    <row r="480" spans="2:3">
      <c r="B480" s="506"/>
      <c r="C480" s="185"/>
    </row>
    <row r="481" spans="2:3">
      <c r="B481" s="506"/>
      <c r="C481" s="185"/>
    </row>
    <row r="482" spans="2:3">
      <c r="B482" s="506"/>
      <c r="C482" s="185"/>
    </row>
    <row r="483" spans="2:3">
      <c r="B483" s="506"/>
      <c r="C483" s="185"/>
    </row>
    <row r="484" spans="2:3">
      <c r="B484" s="506"/>
      <c r="C484" s="185"/>
    </row>
    <row r="485" spans="2:3">
      <c r="B485" s="506"/>
      <c r="C485" s="185"/>
    </row>
    <row r="486" spans="2:3">
      <c r="B486" s="506"/>
      <c r="C486" s="185"/>
    </row>
    <row r="487" spans="2:3">
      <c r="B487" s="506"/>
      <c r="C487" s="185"/>
    </row>
    <row r="488" spans="2:3">
      <c r="B488" s="506"/>
      <c r="C488" s="185"/>
    </row>
    <row r="489" spans="2:3">
      <c r="B489" s="506"/>
      <c r="C489" s="185"/>
    </row>
    <row r="490" spans="2:3">
      <c r="B490" s="506"/>
      <c r="C490" s="185"/>
    </row>
    <row r="491" spans="2:3">
      <c r="B491" s="506"/>
      <c r="C491" s="185"/>
    </row>
    <row r="492" spans="2:3">
      <c r="B492" s="506"/>
      <c r="C492" s="185"/>
    </row>
    <row r="493" spans="2:3">
      <c r="B493" s="506"/>
      <c r="C493" s="185"/>
    </row>
    <row r="494" spans="2:3">
      <c r="B494" s="506"/>
      <c r="C494" s="185"/>
    </row>
    <row r="495" spans="2:3">
      <c r="B495" s="506"/>
      <c r="C495" s="185"/>
    </row>
    <row r="496" spans="2:3">
      <c r="B496" s="506"/>
      <c r="C496" s="185"/>
    </row>
    <row r="497" spans="2:3">
      <c r="B497" s="506"/>
      <c r="C497" s="185"/>
    </row>
    <row r="498" spans="2:3">
      <c r="B498" s="506"/>
      <c r="C498" s="185"/>
    </row>
    <row r="499" spans="2:3">
      <c r="B499" s="506"/>
      <c r="C499" s="185"/>
    </row>
    <row r="500" spans="2:3">
      <c r="B500" s="506"/>
      <c r="C500" s="185"/>
    </row>
    <row r="501" spans="2:3">
      <c r="B501" s="506"/>
      <c r="C501" s="185"/>
    </row>
    <row r="502" spans="2:3">
      <c r="B502" s="506"/>
      <c r="C502" s="185"/>
    </row>
    <row r="503" spans="2:3">
      <c r="B503" s="506"/>
      <c r="C503" s="185"/>
    </row>
    <row r="504" spans="2:3">
      <c r="B504" s="506"/>
      <c r="C504" s="185"/>
    </row>
    <row r="505" spans="2:3">
      <c r="B505" s="506"/>
      <c r="C505" s="185"/>
    </row>
    <row r="506" spans="2:3">
      <c r="B506" s="506"/>
      <c r="C506" s="185"/>
    </row>
    <row r="507" spans="2:3">
      <c r="B507" s="506"/>
      <c r="C507" s="185"/>
    </row>
    <row r="508" spans="2:3">
      <c r="B508" s="506"/>
      <c r="C508" s="185"/>
    </row>
    <row r="509" spans="2:3">
      <c r="B509" s="506"/>
      <c r="C509" s="185"/>
    </row>
    <row r="510" spans="2:3">
      <c r="B510" s="506"/>
      <c r="C510" s="185"/>
    </row>
    <row r="511" spans="2:3">
      <c r="B511" s="506"/>
      <c r="C511" s="185"/>
    </row>
    <row r="512" spans="2:3">
      <c r="B512" s="506"/>
      <c r="C512" s="185"/>
    </row>
    <row r="513" spans="2:3">
      <c r="B513" s="506"/>
      <c r="C513" s="185"/>
    </row>
    <row r="514" spans="2:3">
      <c r="B514" s="506"/>
      <c r="C514" s="185"/>
    </row>
    <row r="515" spans="2:3">
      <c r="B515" s="506"/>
      <c r="C515" s="185"/>
    </row>
    <row r="516" spans="2:3">
      <c r="B516" s="506"/>
      <c r="C516" s="185"/>
    </row>
    <row r="517" spans="2:3">
      <c r="B517" s="506"/>
      <c r="C517" s="185"/>
    </row>
    <row r="518" spans="2:3">
      <c r="B518" s="506"/>
      <c r="C518" s="185"/>
    </row>
    <row r="519" spans="2:3">
      <c r="B519" s="506"/>
      <c r="C519" s="185"/>
    </row>
    <row r="520" spans="2:3">
      <c r="B520" s="506"/>
      <c r="C520" s="185"/>
    </row>
    <row r="521" spans="2:3">
      <c r="B521" s="506"/>
      <c r="C521" s="185"/>
    </row>
    <row r="522" spans="2:3">
      <c r="B522" s="506"/>
      <c r="C522" s="185"/>
    </row>
    <row r="523" spans="2:3">
      <c r="B523" s="506"/>
      <c r="C523" s="185"/>
    </row>
    <row r="524" spans="2:3">
      <c r="B524" s="506"/>
      <c r="C524" s="185"/>
    </row>
    <row r="525" spans="2:3">
      <c r="B525" s="506"/>
      <c r="C525" s="185"/>
    </row>
    <row r="526" spans="2:3">
      <c r="B526" s="506"/>
      <c r="C526" s="185"/>
    </row>
    <row r="527" spans="2:3">
      <c r="B527" s="506"/>
      <c r="C527" s="185"/>
    </row>
    <row r="528" spans="2:3">
      <c r="B528" s="506"/>
      <c r="C528" s="185"/>
    </row>
    <row r="529" spans="2:3">
      <c r="B529" s="506"/>
      <c r="C529" s="185"/>
    </row>
    <row r="530" spans="2:3">
      <c r="B530" s="506"/>
      <c r="C530" s="185"/>
    </row>
    <row r="531" spans="2:3">
      <c r="B531" s="506"/>
      <c r="C531" s="185"/>
    </row>
    <row r="532" spans="2:3">
      <c r="B532" s="506"/>
      <c r="C532" s="185"/>
    </row>
    <row r="533" spans="2:3">
      <c r="B533" s="506"/>
      <c r="C533" s="185"/>
    </row>
    <row r="534" spans="2:3">
      <c r="B534" s="506"/>
      <c r="C534" s="185"/>
    </row>
    <row r="535" spans="2:3">
      <c r="B535" s="506"/>
      <c r="C535" s="185"/>
    </row>
    <row r="536" spans="2:3">
      <c r="B536" s="506"/>
      <c r="C536" s="185"/>
    </row>
    <row r="537" spans="2:3">
      <c r="B537" s="506"/>
      <c r="C537" s="185"/>
    </row>
    <row r="538" spans="2:3">
      <c r="B538" s="506"/>
      <c r="C538" s="185"/>
    </row>
    <row r="539" spans="2:3">
      <c r="B539" s="506"/>
      <c r="C539" s="185"/>
    </row>
    <row r="540" spans="2:3">
      <c r="B540" s="506"/>
      <c r="C540" s="185"/>
    </row>
    <row r="541" spans="2:3">
      <c r="B541" s="506"/>
      <c r="C541" s="185"/>
    </row>
    <row r="542" spans="2:3">
      <c r="B542" s="506"/>
      <c r="C542" s="185"/>
    </row>
    <row r="543" spans="2:3">
      <c r="B543" s="506"/>
      <c r="C543" s="185"/>
    </row>
    <row r="544" spans="2:3">
      <c r="B544" s="506"/>
      <c r="C544" s="185"/>
    </row>
    <row r="545" spans="2:3">
      <c r="B545" s="506"/>
      <c r="C545" s="185"/>
    </row>
    <row r="546" spans="2:3">
      <c r="B546" s="506"/>
      <c r="C546" s="185"/>
    </row>
    <row r="547" spans="2:3">
      <c r="B547" s="506"/>
      <c r="C547" s="185"/>
    </row>
    <row r="548" spans="2:3">
      <c r="B548" s="506"/>
      <c r="C548" s="185"/>
    </row>
    <row r="549" spans="2:3">
      <c r="B549" s="506"/>
      <c r="C549" s="185"/>
    </row>
    <row r="550" spans="2:3">
      <c r="B550" s="506"/>
      <c r="C550" s="185"/>
    </row>
    <row r="551" spans="2:3">
      <c r="B551" s="506"/>
      <c r="C551" s="185"/>
    </row>
    <row r="552" spans="2:3">
      <c r="B552" s="506"/>
      <c r="C552" s="185"/>
    </row>
    <row r="553" spans="2:3">
      <c r="B553" s="506"/>
      <c r="C553" s="185"/>
    </row>
    <row r="554" spans="2:3">
      <c r="B554" s="506"/>
      <c r="C554" s="185"/>
    </row>
    <row r="555" spans="2:3">
      <c r="B555" s="506"/>
      <c r="C555" s="185"/>
    </row>
    <row r="556" spans="2:3">
      <c r="B556" s="506"/>
      <c r="C556" s="185"/>
    </row>
    <row r="557" spans="2:3">
      <c r="B557" s="506"/>
      <c r="C557" s="185"/>
    </row>
    <row r="558" spans="2:3">
      <c r="B558" s="506"/>
      <c r="C558" s="185"/>
    </row>
    <row r="559" spans="2:3">
      <c r="B559" s="506"/>
      <c r="C559" s="185"/>
    </row>
    <row r="560" spans="2:3">
      <c r="B560" s="506"/>
      <c r="C560" s="185"/>
    </row>
    <row r="561" spans="2:3">
      <c r="B561" s="506"/>
      <c r="C561" s="185"/>
    </row>
    <row r="562" spans="2:3">
      <c r="B562" s="506"/>
      <c r="C562" s="185"/>
    </row>
    <row r="563" spans="2:3">
      <c r="B563" s="506"/>
      <c r="C563" s="185"/>
    </row>
    <row r="564" spans="2:3">
      <c r="B564" s="506"/>
      <c r="C564" s="185"/>
    </row>
    <row r="565" spans="2:3">
      <c r="B565" s="506"/>
      <c r="C565" s="185"/>
    </row>
    <row r="566" spans="2:3">
      <c r="B566" s="506"/>
      <c r="C566" s="185"/>
    </row>
    <row r="567" spans="2:3">
      <c r="B567" s="506"/>
      <c r="C567" s="185"/>
    </row>
    <row r="568" spans="2:3">
      <c r="B568" s="506"/>
      <c r="C568" s="185"/>
    </row>
    <row r="569" spans="2:3">
      <c r="B569" s="506"/>
      <c r="C569" s="185"/>
    </row>
    <row r="570" spans="2:3">
      <c r="B570" s="506"/>
      <c r="C570" s="185"/>
    </row>
    <row r="571" spans="2:3">
      <c r="B571" s="506"/>
      <c r="C571" s="185"/>
    </row>
    <row r="572" spans="2:3">
      <c r="B572" s="506"/>
      <c r="C572" s="185"/>
    </row>
    <row r="573" spans="2:3">
      <c r="B573" s="506"/>
      <c r="C573" s="185"/>
    </row>
    <row r="574" spans="2:3">
      <c r="B574" s="506"/>
      <c r="C574" s="185"/>
    </row>
    <row r="575" spans="2:3">
      <c r="B575" s="506"/>
      <c r="C575" s="185"/>
    </row>
    <row r="576" spans="2:3">
      <c r="B576" s="506"/>
      <c r="C576" s="185"/>
    </row>
    <row r="577" spans="2:3">
      <c r="B577" s="506"/>
      <c r="C577" s="185"/>
    </row>
    <row r="578" spans="2:3">
      <c r="B578" s="506"/>
      <c r="C578" s="185"/>
    </row>
    <row r="579" spans="2:3">
      <c r="B579" s="506"/>
      <c r="C579" s="185"/>
    </row>
    <row r="580" spans="2:3">
      <c r="B580" s="506"/>
      <c r="C580" s="185"/>
    </row>
    <row r="581" spans="2:3">
      <c r="B581" s="506"/>
      <c r="C581" s="185"/>
    </row>
    <row r="582" spans="2:3">
      <c r="B582" s="506"/>
      <c r="C582" s="185"/>
    </row>
    <row r="583" spans="2:3">
      <c r="B583" s="506"/>
      <c r="C583" s="185"/>
    </row>
    <row r="584" spans="2:3">
      <c r="B584" s="506"/>
      <c r="C584" s="185"/>
    </row>
    <row r="585" spans="2:3">
      <c r="B585" s="506"/>
      <c r="C585" s="185"/>
    </row>
    <row r="586" spans="2:3">
      <c r="B586" s="506"/>
      <c r="C586" s="185"/>
    </row>
    <row r="587" spans="2:3">
      <c r="B587" s="506"/>
      <c r="C587" s="185"/>
    </row>
    <row r="588" spans="2:3">
      <c r="B588" s="506"/>
      <c r="C588" s="185"/>
    </row>
    <row r="589" spans="2:3">
      <c r="B589" s="506"/>
      <c r="C589" s="185"/>
    </row>
    <row r="590" spans="2:3">
      <c r="B590" s="506"/>
      <c r="C590" s="185"/>
    </row>
    <row r="591" spans="2:3">
      <c r="B591" s="506"/>
      <c r="C591" s="185"/>
    </row>
    <row r="592" spans="2:3">
      <c r="B592" s="506"/>
      <c r="C592" s="185"/>
    </row>
    <row r="593" spans="2:3">
      <c r="B593" s="506"/>
      <c r="C593" s="185"/>
    </row>
    <row r="594" spans="2:3">
      <c r="B594" s="506"/>
      <c r="C594" s="185"/>
    </row>
    <row r="595" spans="2:3">
      <c r="B595" s="506"/>
      <c r="C595" s="185"/>
    </row>
    <row r="596" spans="2:3">
      <c r="B596" s="506"/>
      <c r="C596" s="185"/>
    </row>
    <row r="597" spans="2:3">
      <c r="B597" s="506"/>
      <c r="C597" s="185"/>
    </row>
    <row r="598" spans="2:3">
      <c r="B598" s="506"/>
      <c r="C598" s="185"/>
    </row>
    <row r="599" spans="2:3">
      <c r="B599" s="506"/>
      <c r="C599" s="185"/>
    </row>
    <row r="600" spans="2:3">
      <c r="B600" s="506"/>
      <c r="C600" s="185"/>
    </row>
    <row r="601" spans="2:3">
      <c r="B601" s="506"/>
      <c r="C601" s="185"/>
    </row>
    <row r="602" spans="2:3">
      <c r="B602" s="506"/>
      <c r="C602" s="185"/>
    </row>
    <row r="603" spans="2:3">
      <c r="B603" s="506"/>
      <c r="C603" s="185"/>
    </row>
    <row r="604" spans="2:3">
      <c r="B604" s="506"/>
      <c r="C604" s="185"/>
    </row>
    <row r="605" spans="2:3">
      <c r="B605" s="506"/>
      <c r="C605" s="185"/>
    </row>
    <row r="606" spans="2:3">
      <c r="B606" s="506"/>
      <c r="C606" s="185"/>
    </row>
    <row r="607" spans="2:3">
      <c r="B607" s="506"/>
      <c r="C607" s="185"/>
    </row>
    <row r="608" spans="2:3">
      <c r="B608" s="506"/>
      <c r="C608" s="185"/>
    </row>
    <row r="609" spans="2:3">
      <c r="B609" s="506"/>
      <c r="C609" s="185"/>
    </row>
    <row r="610" spans="2:3">
      <c r="B610" s="506"/>
      <c r="C610" s="185"/>
    </row>
    <row r="611" spans="2:3">
      <c r="B611" s="506"/>
      <c r="C611" s="185"/>
    </row>
    <row r="612" spans="2:3">
      <c r="B612" s="506"/>
      <c r="C612" s="185"/>
    </row>
    <row r="613" spans="2:3">
      <c r="B613" s="506"/>
      <c r="C613" s="185"/>
    </row>
    <row r="614" spans="2:3">
      <c r="B614" s="506"/>
      <c r="C614" s="185"/>
    </row>
    <row r="615" spans="2:3">
      <c r="B615" s="506"/>
      <c r="C615" s="185"/>
    </row>
    <row r="616" spans="2:3">
      <c r="B616" s="506"/>
      <c r="C616" s="185"/>
    </row>
    <row r="617" spans="2:3">
      <c r="B617" s="506"/>
      <c r="C617" s="185"/>
    </row>
    <row r="618" spans="2:3">
      <c r="B618" s="506"/>
      <c r="C618" s="185"/>
    </row>
    <row r="619" spans="2:3">
      <c r="B619" s="506"/>
      <c r="C619" s="185"/>
    </row>
    <row r="620" spans="2:3">
      <c r="B620" s="506"/>
      <c r="C620" s="185"/>
    </row>
    <row r="621" spans="2:3">
      <c r="B621" s="506"/>
      <c r="C621" s="185"/>
    </row>
    <row r="622" spans="2:3">
      <c r="B622" s="506"/>
      <c r="C622" s="185"/>
    </row>
    <row r="623" spans="2:3">
      <c r="B623" s="506"/>
      <c r="C623" s="185"/>
    </row>
    <row r="624" spans="2:3">
      <c r="B624" s="506"/>
      <c r="C624" s="185"/>
    </row>
    <row r="625" spans="2:3">
      <c r="B625" s="506"/>
      <c r="C625" s="185"/>
    </row>
    <row r="626" spans="2:3">
      <c r="B626" s="506"/>
      <c r="C626" s="185"/>
    </row>
    <row r="627" spans="2:3">
      <c r="B627" s="506"/>
      <c r="C627" s="185"/>
    </row>
    <row r="628" spans="2:3">
      <c r="B628" s="506"/>
      <c r="C628" s="185"/>
    </row>
    <row r="629" spans="2:3">
      <c r="B629" s="506"/>
      <c r="C629" s="185"/>
    </row>
    <row r="630" spans="2:3">
      <c r="B630" s="506"/>
      <c r="C630" s="185"/>
    </row>
    <row r="631" spans="2:3">
      <c r="B631" s="506"/>
      <c r="C631" s="185"/>
    </row>
    <row r="632" spans="2:3">
      <c r="B632" s="506"/>
      <c r="C632" s="185"/>
    </row>
    <row r="633" spans="2:3">
      <c r="B633" s="506"/>
      <c r="C633" s="185"/>
    </row>
    <row r="634" spans="2:3">
      <c r="B634" s="506"/>
      <c r="C634" s="185"/>
    </row>
    <row r="635" spans="2:3">
      <c r="B635" s="506"/>
      <c r="C635" s="185"/>
    </row>
    <row r="636" spans="2:3">
      <c r="B636" s="506"/>
      <c r="C636" s="185"/>
    </row>
    <row r="637" spans="2:3">
      <c r="B637" s="506"/>
      <c r="C637" s="185"/>
    </row>
    <row r="638" spans="2:3">
      <c r="B638" s="506"/>
      <c r="C638" s="185"/>
    </row>
    <row r="639" spans="2:3">
      <c r="B639" s="506"/>
      <c r="C639" s="185"/>
    </row>
    <row r="640" spans="2:3">
      <c r="B640" s="506"/>
      <c r="C640" s="185"/>
    </row>
    <row r="641" spans="2:3">
      <c r="B641" s="506"/>
      <c r="C641" s="185"/>
    </row>
    <row r="642" spans="2:3">
      <c r="B642" s="506"/>
      <c r="C642" s="185"/>
    </row>
    <row r="643" spans="2:3">
      <c r="B643" s="506"/>
      <c r="C643" s="185"/>
    </row>
    <row r="644" spans="2:3">
      <c r="B644" s="506"/>
      <c r="C644" s="185"/>
    </row>
    <row r="645" spans="2:3">
      <c r="B645" s="506"/>
      <c r="C645" s="185"/>
    </row>
    <row r="646" spans="2:3">
      <c r="B646" s="506"/>
      <c r="C646" s="185"/>
    </row>
    <row r="647" spans="2:3">
      <c r="B647" s="506"/>
      <c r="C647" s="185"/>
    </row>
    <row r="648" spans="2:3">
      <c r="B648" s="506"/>
      <c r="C648" s="185"/>
    </row>
    <row r="649" spans="2:3">
      <c r="B649" s="506"/>
      <c r="C649" s="185"/>
    </row>
    <row r="650" spans="2:3">
      <c r="B650" s="506"/>
      <c r="C650" s="185"/>
    </row>
    <row r="651" spans="2:3">
      <c r="B651" s="506"/>
      <c r="C651" s="185"/>
    </row>
    <row r="652" spans="2:3">
      <c r="B652" s="506"/>
      <c r="C652" s="185"/>
    </row>
    <row r="653" spans="2:3">
      <c r="B653" s="506"/>
      <c r="C653" s="185"/>
    </row>
    <row r="654" spans="2:3">
      <c r="B654" s="506"/>
      <c r="C654" s="185"/>
    </row>
    <row r="655" spans="2:3">
      <c r="B655" s="506"/>
      <c r="C655" s="185"/>
    </row>
    <row r="656" spans="2:3">
      <c r="B656" s="506"/>
      <c r="C656" s="185"/>
    </row>
    <row r="657" spans="2:3">
      <c r="B657" s="506"/>
      <c r="C657" s="185"/>
    </row>
    <row r="658" spans="2:3">
      <c r="B658" s="506"/>
      <c r="C658" s="185"/>
    </row>
    <row r="659" spans="2:3">
      <c r="B659" s="506"/>
      <c r="C659" s="185"/>
    </row>
    <row r="660" spans="2:3">
      <c r="B660" s="506"/>
      <c r="C660" s="185"/>
    </row>
    <row r="661" spans="2:3">
      <c r="B661" s="506"/>
      <c r="C661" s="185"/>
    </row>
    <row r="662" spans="2:3">
      <c r="B662" s="506"/>
      <c r="C662" s="185"/>
    </row>
    <row r="663" spans="2:3">
      <c r="B663" s="506"/>
      <c r="C663" s="185"/>
    </row>
    <row r="664" spans="2:3">
      <c r="B664" s="506"/>
      <c r="C664" s="185"/>
    </row>
    <row r="665" spans="2:3">
      <c r="B665" s="506"/>
      <c r="C665" s="185"/>
    </row>
    <row r="666" spans="2:3">
      <c r="B666" s="506"/>
      <c r="C666" s="185"/>
    </row>
    <row r="667" spans="2:3">
      <c r="B667" s="506"/>
      <c r="C667" s="185"/>
    </row>
    <row r="668" spans="2:3">
      <c r="B668" s="506"/>
      <c r="C668" s="185"/>
    </row>
    <row r="669" spans="2:3">
      <c r="B669" s="506"/>
      <c r="C669" s="185"/>
    </row>
    <row r="670" spans="2:3">
      <c r="B670" s="506"/>
      <c r="C670" s="185"/>
    </row>
    <row r="671" spans="2:3">
      <c r="B671" s="506"/>
      <c r="C671" s="185"/>
    </row>
    <row r="672" spans="2:3">
      <c r="B672" s="506"/>
      <c r="C672" s="185"/>
    </row>
    <row r="673" spans="2:3">
      <c r="B673" s="506"/>
      <c r="C673" s="185"/>
    </row>
    <row r="674" spans="2:3">
      <c r="B674" s="506"/>
      <c r="C674" s="185"/>
    </row>
    <row r="675" spans="2:3">
      <c r="B675" s="506"/>
      <c r="C675" s="185"/>
    </row>
    <row r="676" spans="2:3">
      <c r="B676" s="506"/>
      <c r="C676" s="185"/>
    </row>
    <row r="677" spans="2:3">
      <c r="B677" s="506"/>
      <c r="C677" s="185"/>
    </row>
    <row r="678" spans="2:3">
      <c r="B678" s="506"/>
      <c r="C678" s="185"/>
    </row>
    <row r="679" spans="2:3">
      <c r="B679" s="506"/>
      <c r="C679" s="185"/>
    </row>
    <row r="680" spans="2:3">
      <c r="B680" s="506"/>
      <c r="C680" s="185"/>
    </row>
    <row r="681" spans="2:3">
      <c r="B681" s="506"/>
      <c r="C681" s="185"/>
    </row>
    <row r="682" spans="2:3">
      <c r="B682" s="506"/>
      <c r="C682" s="185"/>
    </row>
    <row r="683" spans="2:3">
      <c r="B683" s="506"/>
      <c r="C683" s="185"/>
    </row>
    <row r="684" spans="2:3">
      <c r="B684" s="506"/>
      <c r="C684" s="185"/>
    </row>
    <row r="685" spans="2:3">
      <c r="B685" s="506"/>
      <c r="C685" s="185"/>
    </row>
    <row r="686" spans="2:3">
      <c r="B686" s="506"/>
      <c r="C686" s="185"/>
    </row>
    <row r="687" spans="2:3">
      <c r="B687" s="506"/>
      <c r="C687" s="185"/>
    </row>
    <row r="688" spans="2:3">
      <c r="B688" s="506"/>
      <c r="C688" s="185"/>
    </row>
    <row r="689" spans="2:3">
      <c r="B689" s="506"/>
      <c r="C689" s="185"/>
    </row>
    <row r="690" spans="2:3">
      <c r="B690" s="506"/>
      <c r="C690" s="185"/>
    </row>
    <row r="691" spans="2:3">
      <c r="B691" s="506"/>
      <c r="C691" s="185"/>
    </row>
    <row r="692" spans="2:3">
      <c r="B692" s="506"/>
      <c r="C692" s="185"/>
    </row>
    <row r="693" spans="2:3">
      <c r="B693" s="506"/>
      <c r="C693" s="185"/>
    </row>
    <row r="694" spans="2:3">
      <c r="B694" s="506"/>
      <c r="C694" s="185"/>
    </row>
    <row r="695" spans="2:3">
      <c r="B695" s="506"/>
      <c r="C695" s="185"/>
    </row>
    <row r="696" spans="2:3">
      <c r="B696" s="506"/>
      <c r="C696" s="185"/>
    </row>
    <row r="697" spans="2:3">
      <c r="B697" s="506"/>
      <c r="C697" s="185"/>
    </row>
    <row r="698" spans="2:3">
      <c r="B698" s="506"/>
      <c r="C698" s="185"/>
    </row>
    <row r="699" spans="2:3">
      <c r="B699" s="506"/>
      <c r="C699" s="185"/>
    </row>
    <row r="700" spans="2:3">
      <c r="B700" s="506"/>
      <c r="C700" s="185"/>
    </row>
    <row r="701" spans="2:3">
      <c r="B701" s="506"/>
      <c r="C701" s="185"/>
    </row>
    <row r="702" spans="2:3">
      <c r="B702" s="506"/>
      <c r="C702" s="185"/>
    </row>
    <row r="703" spans="2:3">
      <c r="B703" s="506"/>
      <c r="C703" s="185"/>
    </row>
    <row r="704" spans="2:3">
      <c r="B704" s="506"/>
      <c r="C704" s="185"/>
    </row>
    <row r="705" spans="2:3">
      <c r="B705" s="506"/>
      <c r="C705" s="185"/>
    </row>
    <row r="706" spans="2:3">
      <c r="B706" s="506"/>
      <c r="C706" s="185"/>
    </row>
    <row r="707" spans="2:3">
      <c r="B707" s="506"/>
      <c r="C707" s="185"/>
    </row>
    <row r="708" spans="2:3">
      <c r="B708" s="506"/>
      <c r="C708" s="185"/>
    </row>
    <row r="709" spans="2:3">
      <c r="B709" s="506"/>
      <c r="C709" s="185"/>
    </row>
    <row r="710" spans="2:3">
      <c r="B710" s="506"/>
      <c r="C710" s="185"/>
    </row>
    <row r="711" spans="2:3">
      <c r="B711" s="506"/>
      <c r="C711" s="185"/>
    </row>
    <row r="712" spans="2:3">
      <c r="B712" s="506"/>
      <c r="C712" s="185"/>
    </row>
    <row r="713" spans="2:3">
      <c r="B713" s="506"/>
      <c r="C713" s="185"/>
    </row>
    <row r="714" spans="2:3">
      <c r="B714" s="506"/>
      <c r="C714" s="185"/>
    </row>
    <row r="715" spans="2:3">
      <c r="B715" s="506"/>
      <c r="C715" s="185"/>
    </row>
    <row r="716" spans="2:3">
      <c r="B716" s="506"/>
      <c r="C716" s="185"/>
    </row>
    <row r="717" spans="2:3">
      <c r="B717" s="506"/>
      <c r="C717" s="185"/>
    </row>
    <row r="718" spans="2:3">
      <c r="B718" s="506"/>
      <c r="C718" s="185"/>
    </row>
    <row r="719" spans="2:3">
      <c r="B719" s="506"/>
      <c r="C719" s="185"/>
    </row>
    <row r="720" spans="2:3">
      <c r="B720" s="506"/>
      <c r="C720" s="185"/>
    </row>
    <row r="721" spans="2:3">
      <c r="B721" s="506"/>
      <c r="C721" s="185"/>
    </row>
    <row r="722" spans="2:3">
      <c r="B722" s="506"/>
      <c r="C722" s="185"/>
    </row>
    <row r="723" spans="2:3">
      <c r="B723" s="506"/>
      <c r="C723" s="185"/>
    </row>
    <row r="724" spans="2:3">
      <c r="B724" s="506"/>
      <c r="C724" s="185"/>
    </row>
    <row r="725" spans="2:3">
      <c r="B725" s="506"/>
      <c r="C725" s="185"/>
    </row>
    <row r="726" spans="2:3">
      <c r="B726" s="506"/>
      <c r="C726" s="185"/>
    </row>
    <row r="727" spans="2:3">
      <c r="B727" s="506"/>
      <c r="C727" s="185"/>
    </row>
    <row r="728" spans="2:3">
      <c r="B728" s="506"/>
      <c r="C728" s="185"/>
    </row>
    <row r="729" spans="2:3">
      <c r="B729" s="506"/>
      <c r="C729" s="185"/>
    </row>
    <row r="730" spans="2:3">
      <c r="B730" s="506"/>
      <c r="C730" s="185"/>
    </row>
    <row r="731" spans="2:3">
      <c r="B731" s="506"/>
      <c r="C731" s="185"/>
    </row>
    <row r="732" spans="2:3">
      <c r="B732" s="506"/>
      <c r="C732" s="185"/>
    </row>
    <row r="733" spans="2:3">
      <c r="B733" s="506"/>
      <c r="C733" s="185"/>
    </row>
    <row r="734" spans="2:3">
      <c r="B734" s="506"/>
      <c r="C734" s="185"/>
    </row>
    <row r="735" spans="2:3">
      <c r="B735" s="506"/>
      <c r="C735" s="185"/>
    </row>
    <row r="736" spans="2:3">
      <c r="B736" s="506"/>
      <c r="C736" s="185"/>
    </row>
    <row r="737" spans="2:3">
      <c r="B737" s="506"/>
      <c r="C737" s="185"/>
    </row>
    <row r="738" spans="2:3">
      <c r="B738" s="506"/>
      <c r="C738" s="185"/>
    </row>
    <row r="739" spans="2:3">
      <c r="B739" s="506"/>
      <c r="C739" s="185"/>
    </row>
    <row r="740" spans="2:3">
      <c r="B740" s="506"/>
      <c r="C740" s="185"/>
    </row>
    <row r="741" spans="2:3">
      <c r="B741" s="506"/>
      <c r="C741" s="185"/>
    </row>
    <row r="742" spans="2:3">
      <c r="B742" s="506"/>
      <c r="C742" s="185"/>
    </row>
    <row r="743" spans="2:3">
      <c r="B743" s="506"/>
      <c r="C743" s="185"/>
    </row>
    <row r="744" spans="2:3">
      <c r="B744" s="506"/>
      <c r="C744" s="185"/>
    </row>
    <row r="745" spans="2:3">
      <c r="B745" s="506"/>
      <c r="C745" s="185"/>
    </row>
    <row r="746" spans="2:3">
      <c r="B746" s="506"/>
      <c r="C746" s="185"/>
    </row>
    <row r="747" spans="2:3">
      <c r="B747" s="506"/>
      <c r="C747" s="185"/>
    </row>
    <row r="748" spans="2:3">
      <c r="B748" s="506"/>
      <c r="C748" s="185"/>
    </row>
    <row r="749" spans="2:3">
      <c r="B749" s="506"/>
      <c r="C749" s="185"/>
    </row>
    <row r="750" spans="2:3">
      <c r="B750" s="506"/>
      <c r="C750" s="185"/>
    </row>
    <row r="751" spans="2:3">
      <c r="B751" s="506"/>
      <c r="C751" s="185"/>
    </row>
    <row r="752" spans="2:3">
      <c r="B752" s="506"/>
      <c r="C752" s="185"/>
    </row>
    <row r="753" spans="2:3">
      <c r="B753" s="506"/>
      <c r="C753" s="185"/>
    </row>
    <row r="754" spans="2:3">
      <c r="B754" s="506"/>
      <c r="C754" s="185"/>
    </row>
    <row r="755" spans="2:3">
      <c r="B755" s="506"/>
      <c r="C755" s="185"/>
    </row>
    <row r="756" spans="2:3">
      <c r="B756" s="506"/>
      <c r="C756" s="185"/>
    </row>
    <row r="757" spans="2:3">
      <c r="B757" s="506"/>
      <c r="C757" s="185"/>
    </row>
    <row r="758" spans="2:3">
      <c r="B758" s="506"/>
      <c r="C758" s="185"/>
    </row>
    <row r="759" spans="2:3">
      <c r="B759" s="506"/>
      <c r="C759" s="185"/>
    </row>
    <row r="760" spans="2:3">
      <c r="B760" s="506"/>
      <c r="C760" s="185"/>
    </row>
    <row r="761" spans="2:3">
      <c r="B761" s="506"/>
      <c r="C761" s="185"/>
    </row>
    <row r="762" spans="2:3">
      <c r="B762" s="506"/>
      <c r="C762" s="185"/>
    </row>
    <row r="763" spans="2:3">
      <c r="B763" s="506"/>
      <c r="C763" s="185"/>
    </row>
    <row r="764" spans="2:3">
      <c r="B764" s="506"/>
      <c r="C764" s="185"/>
    </row>
    <row r="765" spans="2:3">
      <c r="B765" s="506"/>
      <c r="C765" s="185"/>
    </row>
    <row r="766" spans="2:3">
      <c r="B766" s="506"/>
      <c r="C766" s="185"/>
    </row>
    <row r="767" spans="2:3">
      <c r="B767" s="506"/>
      <c r="C767" s="185"/>
    </row>
    <row r="768" spans="2:3">
      <c r="B768" s="506"/>
      <c r="C768" s="185"/>
    </row>
    <row r="769" spans="2:3">
      <c r="B769" s="506"/>
      <c r="C769" s="185"/>
    </row>
    <row r="770" spans="2:3">
      <c r="B770" s="506"/>
      <c r="C770" s="185"/>
    </row>
    <row r="771" spans="2:3">
      <c r="B771" s="506"/>
      <c r="C771" s="185"/>
    </row>
    <row r="772" spans="2:3">
      <c r="B772" s="506"/>
      <c r="C772" s="185"/>
    </row>
    <row r="773" spans="2:3">
      <c r="B773" s="506"/>
      <c r="C773" s="185"/>
    </row>
    <row r="774" spans="2:3">
      <c r="B774" s="506"/>
      <c r="C774" s="185"/>
    </row>
    <row r="775" spans="2:3">
      <c r="B775" s="506"/>
      <c r="C775" s="185"/>
    </row>
    <row r="776" spans="2:3">
      <c r="B776" s="506"/>
      <c r="C776" s="185"/>
    </row>
    <row r="777" spans="2:3">
      <c r="B777" s="506"/>
      <c r="C777" s="185"/>
    </row>
    <row r="778" spans="2:3">
      <c r="B778" s="506"/>
      <c r="C778" s="185"/>
    </row>
    <row r="779" spans="2:3">
      <c r="B779" s="506"/>
      <c r="C779" s="185"/>
    </row>
    <row r="780" spans="2:3">
      <c r="B780" s="506"/>
      <c r="C780" s="185"/>
    </row>
    <row r="781" spans="2:3">
      <c r="B781" s="506"/>
      <c r="C781" s="185"/>
    </row>
    <row r="782" spans="2:3">
      <c r="B782" s="506"/>
      <c r="C782" s="185"/>
    </row>
    <row r="783" spans="2:3">
      <c r="B783" s="506"/>
      <c r="C783" s="185"/>
    </row>
    <row r="784" spans="2:3">
      <c r="B784" s="506"/>
      <c r="C784" s="185"/>
    </row>
    <row r="785" spans="2:3">
      <c r="B785" s="506"/>
      <c r="C785" s="185"/>
    </row>
    <row r="786" spans="2:3">
      <c r="B786" s="506"/>
      <c r="C786" s="185"/>
    </row>
    <row r="787" spans="2:3">
      <c r="B787" s="506"/>
      <c r="C787" s="185"/>
    </row>
    <row r="788" spans="2:3">
      <c r="B788" s="506"/>
      <c r="C788" s="185"/>
    </row>
    <row r="789" spans="2:3">
      <c r="B789" s="506"/>
      <c r="C789" s="185"/>
    </row>
    <row r="790" spans="2:3">
      <c r="B790" s="506"/>
      <c r="C790" s="185"/>
    </row>
    <row r="791" spans="2:3">
      <c r="B791" s="506"/>
      <c r="C791" s="185"/>
    </row>
    <row r="792" spans="2:3">
      <c r="B792" s="506"/>
      <c r="C792" s="185"/>
    </row>
    <row r="793" spans="2:3">
      <c r="B793" s="506"/>
      <c r="C793" s="185"/>
    </row>
    <row r="794" spans="2:3">
      <c r="B794" s="506"/>
      <c r="C794" s="185"/>
    </row>
    <row r="795" spans="2:3">
      <c r="B795" s="506"/>
      <c r="C795" s="185"/>
    </row>
    <row r="796" spans="2:3">
      <c r="B796" s="506"/>
      <c r="C796" s="185"/>
    </row>
    <row r="797" spans="2:3">
      <c r="B797" s="506"/>
      <c r="C797" s="185"/>
    </row>
    <row r="798" spans="2:3">
      <c r="B798" s="506"/>
      <c r="C798" s="185"/>
    </row>
    <row r="799" spans="2:3">
      <c r="B799" s="506"/>
      <c r="C799" s="185"/>
    </row>
    <row r="800" spans="2:3">
      <c r="B800" s="506"/>
      <c r="C800" s="185"/>
    </row>
    <row r="801" spans="2:3">
      <c r="B801" s="506"/>
      <c r="C801" s="185"/>
    </row>
    <row r="802" spans="2:3">
      <c r="B802" s="506"/>
      <c r="C802" s="185"/>
    </row>
    <row r="803" spans="2:3">
      <c r="B803" s="506"/>
      <c r="C803" s="185"/>
    </row>
    <row r="804" spans="2:3">
      <c r="B804" s="506"/>
      <c r="C804" s="185"/>
    </row>
    <row r="805" spans="2:3">
      <c r="B805" s="506"/>
      <c r="C805" s="185"/>
    </row>
    <row r="806" spans="2:3">
      <c r="B806" s="506"/>
      <c r="C806" s="185"/>
    </row>
    <row r="807" spans="2:3">
      <c r="B807" s="506"/>
      <c r="C807" s="185"/>
    </row>
    <row r="808" spans="2:3">
      <c r="B808" s="506"/>
      <c r="C808" s="185"/>
    </row>
    <row r="809" spans="2:3">
      <c r="B809" s="506"/>
      <c r="C809" s="185"/>
    </row>
    <row r="810" spans="2:3">
      <c r="B810" s="506"/>
      <c r="C810" s="185"/>
    </row>
    <row r="811" spans="2:3">
      <c r="B811" s="506"/>
      <c r="C811" s="185"/>
    </row>
    <row r="812" spans="2:3">
      <c r="B812" s="506"/>
      <c r="C812" s="185"/>
    </row>
    <row r="813" spans="2:3">
      <c r="B813" s="506"/>
      <c r="C813" s="185"/>
    </row>
    <row r="814" spans="2:3">
      <c r="B814" s="506"/>
      <c r="C814" s="185"/>
    </row>
    <row r="815" spans="2:3">
      <c r="B815" s="506"/>
      <c r="C815" s="185"/>
    </row>
    <row r="816" spans="2:3">
      <c r="B816" s="506"/>
      <c r="C816" s="185"/>
    </row>
    <row r="817" spans="2:3">
      <c r="B817" s="506"/>
      <c r="C817" s="185"/>
    </row>
    <row r="818" spans="2:3">
      <c r="B818" s="506"/>
      <c r="C818" s="185"/>
    </row>
    <row r="819" spans="2:3">
      <c r="B819" s="506"/>
      <c r="C819" s="185"/>
    </row>
    <row r="820" spans="2:3">
      <c r="B820" s="506"/>
      <c r="C820" s="185"/>
    </row>
    <row r="821" spans="2:3">
      <c r="B821" s="506"/>
      <c r="C821" s="185"/>
    </row>
    <row r="822" spans="2:3">
      <c r="B822" s="506"/>
      <c r="C822" s="185"/>
    </row>
    <row r="823" spans="2:3">
      <c r="B823" s="506"/>
      <c r="C823" s="185"/>
    </row>
    <row r="824" spans="2:3">
      <c r="B824" s="506"/>
      <c r="C824" s="185"/>
    </row>
    <row r="825" spans="2:3">
      <c r="B825" s="506"/>
      <c r="C825" s="185"/>
    </row>
    <row r="826" spans="2:3">
      <c r="B826" s="506"/>
      <c r="C826" s="185"/>
    </row>
    <row r="827" spans="2:3">
      <c r="B827" s="506"/>
      <c r="C827" s="185"/>
    </row>
    <row r="828" spans="2:3">
      <c r="B828" s="506"/>
      <c r="C828" s="185"/>
    </row>
    <row r="829" spans="2:3">
      <c r="B829" s="506"/>
      <c r="C829" s="185"/>
    </row>
    <row r="830" spans="2:3">
      <c r="B830" s="506"/>
      <c r="C830" s="185"/>
    </row>
    <row r="831" spans="2:3">
      <c r="B831" s="506"/>
      <c r="C831" s="185"/>
    </row>
    <row r="832" spans="2:3">
      <c r="B832" s="506"/>
      <c r="C832" s="185"/>
    </row>
    <row r="833" spans="2:3">
      <c r="B833" s="506"/>
      <c r="C833" s="185"/>
    </row>
    <row r="834" spans="2:3">
      <c r="B834" s="506"/>
      <c r="C834" s="185"/>
    </row>
    <row r="835" spans="2:3">
      <c r="B835" s="506"/>
      <c r="C835" s="185"/>
    </row>
    <row r="836" spans="2:3">
      <c r="B836" s="506"/>
      <c r="C836" s="185"/>
    </row>
    <row r="837" spans="2:3">
      <c r="B837" s="506"/>
      <c r="C837" s="185"/>
    </row>
    <row r="838" spans="2:3">
      <c r="B838" s="506"/>
      <c r="C838" s="185"/>
    </row>
    <row r="839" spans="2:3">
      <c r="B839" s="506"/>
      <c r="C839" s="185"/>
    </row>
    <row r="840" spans="2:3">
      <c r="B840" s="506"/>
      <c r="C840" s="185"/>
    </row>
    <row r="841" spans="2:3">
      <c r="B841" s="506"/>
      <c r="C841" s="185"/>
    </row>
    <row r="842" spans="2:3">
      <c r="B842" s="506"/>
      <c r="C842" s="185"/>
    </row>
    <row r="843" spans="2:3">
      <c r="B843" s="506"/>
      <c r="C843" s="185"/>
    </row>
    <row r="844" spans="2:3">
      <c r="B844" s="506"/>
      <c r="C844" s="185"/>
    </row>
    <row r="845" spans="2:3">
      <c r="B845" s="506"/>
      <c r="C845" s="185"/>
    </row>
    <row r="846" spans="2:3">
      <c r="B846" s="506"/>
      <c r="C846" s="185"/>
    </row>
    <row r="847" spans="2:3">
      <c r="B847" s="506"/>
      <c r="C847" s="185"/>
    </row>
    <row r="848" spans="2:3">
      <c r="B848" s="506"/>
      <c r="C848" s="185"/>
    </row>
    <row r="849" spans="2:3">
      <c r="B849" s="506"/>
      <c r="C849" s="185"/>
    </row>
    <row r="850" spans="2:3">
      <c r="B850" s="506"/>
      <c r="C850" s="185"/>
    </row>
    <row r="851" spans="2:3">
      <c r="B851" s="506"/>
      <c r="C851" s="185"/>
    </row>
    <row r="852" spans="2:3">
      <c r="B852" s="506"/>
      <c r="C852" s="185"/>
    </row>
    <row r="853" spans="2:3">
      <c r="B853" s="506"/>
      <c r="C853" s="185"/>
    </row>
    <row r="854" spans="2:3">
      <c r="B854" s="506"/>
      <c r="C854" s="185"/>
    </row>
    <row r="855" spans="2:3">
      <c r="B855" s="506"/>
      <c r="C855" s="185"/>
    </row>
    <row r="856" spans="2:3">
      <c r="B856" s="506"/>
      <c r="C856" s="185"/>
    </row>
    <row r="857" spans="2:3">
      <c r="B857" s="506"/>
      <c r="C857" s="185"/>
    </row>
    <row r="858" spans="2:3">
      <c r="B858" s="506"/>
      <c r="C858" s="185"/>
    </row>
    <row r="859" spans="2:3">
      <c r="B859" s="506"/>
      <c r="C859" s="185"/>
    </row>
    <row r="860" spans="2:3">
      <c r="B860" s="506"/>
      <c r="C860" s="185"/>
    </row>
    <row r="861" spans="2:3">
      <c r="B861" s="506"/>
      <c r="C861" s="185"/>
    </row>
    <row r="862" spans="2:3">
      <c r="B862" s="506"/>
      <c r="C862" s="185"/>
    </row>
    <row r="863" spans="2:3">
      <c r="B863" s="506"/>
      <c r="C863" s="185"/>
    </row>
    <row r="864" spans="2:3">
      <c r="B864" s="506"/>
      <c r="C864" s="185"/>
    </row>
    <row r="865" spans="2:3">
      <c r="B865" s="506"/>
      <c r="C865" s="185"/>
    </row>
    <row r="866" spans="2:3">
      <c r="B866" s="506"/>
      <c r="C866" s="185"/>
    </row>
    <row r="867" spans="2:3">
      <c r="B867" s="506"/>
      <c r="C867" s="185"/>
    </row>
    <row r="868" spans="2:3">
      <c r="B868" s="506"/>
      <c r="C868" s="185"/>
    </row>
    <row r="869" spans="2:3">
      <c r="B869" s="506"/>
      <c r="C869" s="185"/>
    </row>
    <row r="870" spans="2:3">
      <c r="B870" s="506"/>
      <c r="C870" s="185"/>
    </row>
    <row r="871" spans="2:3">
      <c r="B871" s="506"/>
      <c r="C871" s="185"/>
    </row>
    <row r="872" spans="2:3">
      <c r="B872" s="506"/>
      <c r="C872" s="185"/>
    </row>
    <row r="873" spans="2:3">
      <c r="B873" s="506"/>
      <c r="C873" s="185"/>
    </row>
    <row r="874" spans="2:3">
      <c r="B874" s="506"/>
      <c r="C874" s="185"/>
    </row>
    <row r="875" spans="2:3">
      <c r="B875" s="506"/>
      <c r="C875" s="185"/>
    </row>
    <row r="876" spans="2:3">
      <c r="B876" s="506"/>
      <c r="C876" s="185"/>
    </row>
    <row r="877" spans="2:3">
      <c r="B877" s="506"/>
      <c r="C877" s="185"/>
    </row>
    <row r="878" spans="2:3">
      <c r="B878" s="506"/>
      <c r="C878" s="185"/>
    </row>
    <row r="879" spans="2:3">
      <c r="B879" s="506"/>
      <c r="C879" s="185"/>
    </row>
    <row r="880" spans="2:3">
      <c r="B880" s="506"/>
      <c r="C880" s="185"/>
    </row>
    <row r="881" spans="2:3">
      <c r="B881" s="506"/>
      <c r="C881" s="185"/>
    </row>
    <row r="882" spans="2:3">
      <c r="B882" s="506"/>
      <c r="C882" s="185"/>
    </row>
    <row r="883" spans="2:3">
      <c r="B883" s="506"/>
      <c r="C883" s="185"/>
    </row>
    <row r="884" spans="2:3">
      <c r="B884" s="506"/>
      <c r="C884" s="185"/>
    </row>
    <row r="885" spans="2:3">
      <c r="B885" s="506"/>
      <c r="C885" s="185"/>
    </row>
    <row r="886" spans="2:3">
      <c r="B886" s="506"/>
      <c r="C886" s="185"/>
    </row>
    <row r="887" spans="2:3">
      <c r="B887" s="506"/>
      <c r="C887" s="185"/>
    </row>
    <row r="888" spans="2:3">
      <c r="B888" s="506"/>
      <c r="C888" s="185"/>
    </row>
    <row r="889" spans="2:3">
      <c r="B889" s="506"/>
      <c r="C889" s="185"/>
    </row>
    <row r="890" spans="2:3">
      <c r="B890" s="506"/>
      <c r="C890" s="185"/>
    </row>
    <row r="891" spans="2:3">
      <c r="B891" s="506"/>
      <c r="C891" s="185"/>
    </row>
    <row r="892" spans="2:3">
      <c r="B892" s="506"/>
      <c r="C892" s="185"/>
    </row>
    <row r="893" spans="2:3">
      <c r="B893" s="506"/>
      <c r="C893" s="185"/>
    </row>
    <row r="894" spans="2:3">
      <c r="B894" s="506"/>
      <c r="C894" s="185"/>
    </row>
    <row r="895" spans="2:3">
      <c r="B895" s="506"/>
      <c r="C895" s="185"/>
    </row>
    <row r="896" spans="2:3">
      <c r="B896" s="506"/>
      <c r="C896" s="185"/>
    </row>
    <row r="897" spans="2:3">
      <c r="B897" s="506"/>
      <c r="C897" s="185"/>
    </row>
    <row r="898" spans="2:3">
      <c r="B898" s="506"/>
      <c r="C898" s="185"/>
    </row>
    <row r="899" spans="2:3">
      <c r="B899" s="506"/>
      <c r="C899" s="185"/>
    </row>
    <row r="900" spans="2:3">
      <c r="B900" s="506"/>
      <c r="C900" s="185"/>
    </row>
    <row r="901" spans="2:3">
      <c r="B901" s="506"/>
      <c r="C901" s="185"/>
    </row>
    <row r="902" spans="2:3">
      <c r="B902" s="506"/>
      <c r="C902" s="185"/>
    </row>
    <row r="903" spans="2:3">
      <c r="B903" s="506"/>
      <c r="C903" s="185"/>
    </row>
    <row r="904" spans="2:3">
      <c r="B904" s="506"/>
      <c r="C904" s="185"/>
    </row>
    <row r="905" spans="2:3">
      <c r="B905" s="506"/>
      <c r="C905" s="185"/>
    </row>
    <row r="906" spans="2:3">
      <c r="B906" s="506"/>
      <c r="C906" s="185"/>
    </row>
    <row r="907" spans="2:3">
      <c r="B907" s="506"/>
      <c r="C907" s="185"/>
    </row>
    <row r="908" spans="2:3">
      <c r="B908" s="506"/>
      <c r="C908" s="185"/>
    </row>
    <row r="909" spans="2:3">
      <c r="B909" s="506"/>
      <c r="C909" s="185"/>
    </row>
    <row r="910" spans="2:3">
      <c r="B910" s="506"/>
      <c r="C910" s="185"/>
    </row>
    <row r="911" spans="2:3">
      <c r="B911" s="506"/>
      <c r="C911" s="185"/>
    </row>
    <row r="912" spans="2:3">
      <c r="B912" s="506"/>
      <c r="C912" s="185"/>
    </row>
    <row r="913" spans="2:3">
      <c r="B913" s="506"/>
      <c r="C913" s="185"/>
    </row>
    <row r="914" spans="2:3">
      <c r="B914" s="506"/>
      <c r="C914" s="185"/>
    </row>
    <row r="915" spans="2:3">
      <c r="B915" s="506"/>
      <c r="C915" s="185"/>
    </row>
    <row r="916" spans="2:3">
      <c r="B916" s="506"/>
      <c r="C916" s="185"/>
    </row>
    <row r="917" spans="2:3">
      <c r="B917" s="506"/>
      <c r="C917" s="185"/>
    </row>
    <row r="918" spans="2:3">
      <c r="B918" s="506"/>
      <c r="C918" s="185"/>
    </row>
    <row r="919" spans="2:3">
      <c r="B919" s="506"/>
      <c r="C919" s="185"/>
    </row>
    <row r="920" spans="2:3">
      <c r="B920" s="506"/>
      <c r="C920" s="185"/>
    </row>
    <row r="921" spans="2:3">
      <c r="B921" s="506"/>
      <c r="C921" s="185"/>
    </row>
    <row r="922" spans="2:3">
      <c r="B922" s="506"/>
      <c r="C922" s="185"/>
    </row>
    <row r="923" spans="2:3">
      <c r="B923" s="506"/>
      <c r="C923" s="185"/>
    </row>
    <row r="924" spans="2:3">
      <c r="B924" s="506"/>
      <c r="C924" s="185"/>
    </row>
    <row r="925" spans="2:3">
      <c r="B925" s="506"/>
      <c r="C925" s="185"/>
    </row>
    <row r="926" spans="2:3">
      <c r="B926" s="506"/>
      <c r="C926" s="185"/>
    </row>
    <row r="927" spans="2:3">
      <c r="B927" s="506"/>
      <c r="C927" s="185"/>
    </row>
    <row r="928" spans="2:3">
      <c r="B928" s="506"/>
      <c r="C928" s="185"/>
    </row>
    <row r="929" spans="2:3">
      <c r="B929" s="506"/>
      <c r="C929" s="185"/>
    </row>
    <row r="930" spans="2:3">
      <c r="B930" s="506"/>
      <c r="C930" s="185"/>
    </row>
    <row r="931" spans="2:3">
      <c r="B931" s="506"/>
      <c r="C931" s="185"/>
    </row>
    <row r="932" spans="2:3">
      <c r="B932" s="506"/>
      <c r="C932" s="185"/>
    </row>
    <row r="933" spans="2:3">
      <c r="B933" s="506"/>
      <c r="C933" s="185"/>
    </row>
    <row r="934" spans="2:3">
      <c r="B934" s="506"/>
      <c r="C934" s="185"/>
    </row>
    <row r="935" spans="2:3">
      <c r="B935" s="506"/>
      <c r="C935" s="185"/>
    </row>
    <row r="936" spans="2:3">
      <c r="B936" s="506"/>
      <c r="C936" s="185"/>
    </row>
    <row r="937" spans="2:3">
      <c r="B937" s="506"/>
      <c r="C937" s="185"/>
    </row>
    <row r="938" spans="2:3">
      <c r="B938" s="506"/>
      <c r="C938" s="185"/>
    </row>
    <row r="939" spans="2:3">
      <c r="B939" s="506"/>
      <c r="C939" s="185"/>
    </row>
    <row r="940" spans="2:3">
      <c r="B940" s="506"/>
      <c r="C940" s="185"/>
    </row>
    <row r="941" spans="2:3">
      <c r="B941" s="506"/>
      <c r="C941" s="185"/>
    </row>
    <row r="942" spans="2:3">
      <c r="B942" s="506"/>
      <c r="C942" s="185"/>
    </row>
    <row r="943" spans="2:3">
      <c r="B943" s="506"/>
      <c r="C943" s="185"/>
    </row>
    <row r="944" spans="2:3">
      <c r="B944" s="506"/>
      <c r="C944" s="185"/>
    </row>
    <row r="945" spans="2:3">
      <c r="B945" s="506"/>
      <c r="C945" s="185"/>
    </row>
    <row r="946" spans="2:3">
      <c r="B946" s="506"/>
      <c r="C946" s="185"/>
    </row>
    <row r="947" spans="2:3">
      <c r="B947" s="506"/>
      <c r="C947" s="185"/>
    </row>
    <row r="948" spans="2:3">
      <c r="B948" s="506"/>
      <c r="C948" s="185"/>
    </row>
    <row r="949" spans="2:3">
      <c r="B949" s="506"/>
      <c r="C949" s="185"/>
    </row>
    <row r="950" spans="2:3">
      <c r="B950" s="506"/>
      <c r="C950" s="185"/>
    </row>
    <row r="951" spans="2:3">
      <c r="B951" s="506"/>
      <c r="C951" s="185"/>
    </row>
    <row r="952" spans="2:3">
      <c r="B952" s="506"/>
      <c r="C952" s="185"/>
    </row>
    <row r="953" spans="2:3">
      <c r="B953" s="506"/>
      <c r="C953" s="185"/>
    </row>
    <row r="954" spans="2:3">
      <c r="B954" s="506"/>
      <c r="C954" s="185"/>
    </row>
    <row r="955" spans="2:3">
      <c r="B955" s="506"/>
      <c r="C955" s="185"/>
    </row>
    <row r="956" spans="2:3">
      <c r="B956" s="506"/>
      <c r="C956" s="185"/>
    </row>
    <row r="957" spans="2:3">
      <c r="B957" s="506"/>
      <c r="C957" s="185"/>
    </row>
    <row r="958" spans="2:3">
      <c r="B958" s="506"/>
      <c r="C958" s="185"/>
    </row>
    <row r="959" spans="2:3">
      <c r="B959" s="506"/>
      <c r="C959" s="185"/>
    </row>
    <row r="960" spans="2:3">
      <c r="B960" s="506"/>
      <c r="C960" s="185"/>
    </row>
    <row r="961" spans="2:3">
      <c r="B961" s="506"/>
      <c r="C961" s="185"/>
    </row>
    <row r="962" spans="2:3">
      <c r="B962" s="506"/>
      <c r="C962" s="185"/>
    </row>
    <row r="963" spans="2:3">
      <c r="B963" s="506"/>
      <c r="C963" s="185"/>
    </row>
    <row r="964" spans="2:3">
      <c r="B964" s="506"/>
      <c r="C964" s="185"/>
    </row>
    <row r="965" spans="2:3">
      <c r="B965" s="506"/>
      <c r="C965" s="185"/>
    </row>
    <row r="966" spans="2:3">
      <c r="B966" s="506"/>
      <c r="C966" s="185"/>
    </row>
    <row r="967" spans="2:3">
      <c r="B967" s="506"/>
      <c r="C967" s="185"/>
    </row>
    <row r="968" spans="2:3">
      <c r="B968" s="506"/>
      <c r="C968" s="185"/>
    </row>
    <row r="969" spans="2:3">
      <c r="B969" s="506"/>
      <c r="C969" s="185"/>
    </row>
    <row r="970" spans="2:3">
      <c r="B970" s="506"/>
      <c r="C970" s="185"/>
    </row>
    <row r="971" spans="2:3">
      <c r="B971" s="506"/>
      <c r="C971" s="185"/>
    </row>
    <row r="972" spans="2:3">
      <c r="B972" s="506"/>
      <c r="C972" s="185"/>
    </row>
    <row r="973" spans="2:3">
      <c r="B973" s="506"/>
      <c r="C973" s="185"/>
    </row>
    <row r="974" spans="2:3">
      <c r="B974" s="506"/>
      <c r="C974" s="185"/>
    </row>
    <row r="975" spans="2:3">
      <c r="B975" s="506"/>
      <c r="C975" s="185"/>
    </row>
    <row r="976" spans="2:3">
      <c r="B976" s="506"/>
      <c r="C976" s="185"/>
    </row>
    <row r="977" spans="2:3">
      <c r="B977" s="506"/>
      <c r="C977" s="185"/>
    </row>
    <row r="978" spans="2:3">
      <c r="B978" s="506"/>
      <c r="C978" s="185"/>
    </row>
    <row r="979" spans="2:3">
      <c r="B979" s="506"/>
      <c r="C979" s="185"/>
    </row>
    <row r="980" spans="2:3">
      <c r="B980" s="506"/>
      <c r="C980" s="185"/>
    </row>
    <row r="981" spans="2:3">
      <c r="B981" s="506"/>
      <c r="C981" s="185"/>
    </row>
    <row r="982" spans="2:3">
      <c r="B982" s="506"/>
      <c r="C982" s="185"/>
    </row>
    <row r="983" spans="2:3">
      <c r="B983" s="506"/>
      <c r="C983" s="185"/>
    </row>
    <row r="984" spans="2:3">
      <c r="B984" s="506"/>
      <c r="C984" s="185"/>
    </row>
    <row r="985" spans="2:3">
      <c r="B985" s="506"/>
      <c r="C985" s="185"/>
    </row>
    <row r="986" spans="2:3">
      <c r="B986" s="506"/>
      <c r="C986" s="185"/>
    </row>
    <row r="987" spans="2:3">
      <c r="B987" s="506"/>
      <c r="C987" s="185"/>
    </row>
    <row r="988" spans="2:3">
      <c r="B988" s="506"/>
      <c r="C988" s="185"/>
    </row>
    <row r="989" spans="2:3">
      <c r="B989" s="506"/>
      <c r="C989" s="185"/>
    </row>
    <row r="990" spans="2:3">
      <c r="B990" s="506"/>
      <c r="C990" s="185"/>
    </row>
    <row r="991" spans="2:3">
      <c r="B991" s="506"/>
      <c r="C991" s="185"/>
    </row>
    <row r="992" spans="2:3">
      <c r="B992" s="506"/>
      <c r="C992" s="185"/>
    </row>
    <row r="993" spans="2:3">
      <c r="B993" s="506"/>
      <c r="C993" s="185"/>
    </row>
    <row r="994" spans="2:3">
      <c r="B994" s="506"/>
      <c r="C994" s="185"/>
    </row>
    <row r="995" spans="2:3">
      <c r="B995" s="506"/>
      <c r="C995" s="185"/>
    </row>
    <row r="996" spans="2:3">
      <c r="B996" s="506"/>
      <c r="C996" s="185"/>
    </row>
    <row r="997" spans="2:3">
      <c r="B997" s="506"/>
      <c r="C997" s="185"/>
    </row>
    <row r="998" spans="2:3">
      <c r="B998" s="506"/>
      <c r="C998" s="185"/>
    </row>
    <row r="999" spans="2:3">
      <c r="B999" s="506"/>
      <c r="C999" s="185"/>
    </row>
    <row r="1000" spans="2:3">
      <c r="B1000" s="506"/>
      <c r="C1000" s="185"/>
    </row>
  </sheetData>
  <hyperlinks>
    <hyperlink ref="A1" r:id="rId1" location="data/FBS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5"/>
  <sheetViews>
    <sheetView workbookViewId="0">
      <pane ySplit="1" topLeftCell="A2" activePane="bottomLeft" state="frozen"/>
      <selection pane="bottomLeft" activeCell="A2" sqref="A2:B13"/>
    </sheetView>
  </sheetViews>
  <sheetFormatPr defaultColWidth="14.42578125" defaultRowHeight="15.75" customHeight="1"/>
  <cols>
    <col min="1" max="1" width="18.5703125" customWidth="1"/>
    <col min="2" max="2" width="10.5703125" customWidth="1"/>
    <col min="3" max="3" width="9.85546875" customWidth="1"/>
    <col min="4" max="4" width="8.140625" customWidth="1"/>
    <col min="5" max="5" width="9.42578125" customWidth="1"/>
    <col min="6" max="6" width="9.28515625" customWidth="1"/>
    <col min="7" max="7" width="10.7109375" customWidth="1"/>
    <col min="8" max="8" width="12.28515625" customWidth="1"/>
    <col min="9" max="9" width="11.140625" customWidth="1"/>
    <col min="13" max="13" width="9.28515625" customWidth="1"/>
  </cols>
  <sheetData>
    <row r="1" spans="1:12" ht="12.75">
      <c r="B1" s="287"/>
      <c r="C1" s="287" t="s">
        <v>1156</v>
      </c>
    </row>
    <row r="2" spans="1:12" ht="25.5">
      <c r="A2" t="s">
        <v>2822</v>
      </c>
      <c r="B2" s="287" t="s">
        <v>1157</v>
      </c>
      <c r="C2" s="507" t="s">
        <v>101</v>
      </c>
      <c r="D2" s="507" t="s">
        <v>1158</v>
      </c>
      <c r="E2" s="507" t="s">
        <v>1159</v>
      </c>
      <c r="F2" s="507" t="s">
        <v>404</v>
      </c>
      <c r="G2" s="507" t="s">
        <v>1160</v>
      </c>
      <c r="H2" s="507" t="s">
        <v>1161</v>
      </c>
      <c r="I2" s="507" t="s">
        <v>1162</v>
      </c>
    </row>
    <row r="3" spans="1:12" ht="12.75">
      <c r="A3" s="222" t="s">
        <v>123</v>
      </c>
      <c r="B3" s="508">
        <v>2.88</v>
      </c>
      <c r="C3" s="508">
        <v>3.55</v>
      </c>
      <c r="D3" s="508">
        <v>0.46</v>
      </c>
      <c r="E3" s="508">
        <v>1</v>
      </c>
      <c r="F3" s="508">
        <v>4.3</v>
      </c>
      <c r="G3" s="508">
        <v>1.21</v>
      </c>
      <c r="H3" s="508">
        <v>4.33</v>
      </c>
      <c r="I3" s="508">
        <v>6.38</v>
      </c>
    </row>
    <row r="4" spans="1:12" ht="12.75">
      <c r="A4" s="222" t="s">
        <v>137</v>
      </c>
      <c r="B4" s="508">
        <v>2.93</v>
      </c>
      <c r="C4" s="508">
        <v>1.24</v>
      </c>
      <c r="D4" s="508">
        <v>1.25</v>
      </c>
      <c r="E4" s="508">
        <v>7.29</v>
      </c>
      <c r="F4" s="508">
        <v>4.22</v>
      </c>
      <c r="G4" s="508">
        <v>1.61</v>
      </c>
      <c r="H4" s="508">
        <v>4.0599999999999996</v>
      </c>
      <c r="I4" s="508">
        <v>1.71</v>
      </c>
    </row>
    <row r="5" spans="1:12" ht="12.75">
      <c r="A5" s="222" t="s">
        <v>140</v>
      </c>
      <c r="B5" s="508">
        <v>1.53</v>
      </c>
      <c r="C5" s="508">
        <v>1.98</v>
      </c>
      <c r="D5" s="508">
        <v>0.41</v>
      </c>
      <c r="E5" s="508">
        <v>0.42</v>
      </c>
      <c r="F5" s="508">
        <v>1.9</v>
      </c>
      <c r="G5" s="508">
        <v>1.2</v>
      </c>
      <c r="H5" s="508">
        <v>2.1800000000000002</v>
      </c>
      <c r="I5" s="508">
        <v>2.68</v>
      </c>
    </row>
    <row r="6" spans="1:12" ht="12.75">
      <c r="A6" s="222" t="s">
        <v>71</v>
      </c>
      <c r="B6" s="508">
        <v>0.89</v>
      </c>
      <c r="C6" s="508">
        <v>0.8</v>
      </c>
      <c r="D6" s="508">
        <v>0.14000000000000001</v>
      </c>
      <c r="E6" s="508">
        <v>0.3</v>
      </c>
      <c r="F6" s="508">
        <v>1.87</v>
      </c>
      <c r="G6" s="508">
        <v>1.21</v>
      </c>
      <c r="H6" s="508">
        <v>1.22</v>
      </c>
      <c r="I6" s="508">
        <v>2.34</v>
      </c>
    </row>
    <row r="7" spans="1:12" ht="12.75">
      <c r="A7" s="222" t="s">
        <v>1163</v>
      </c>
      <c r="B7" s="508">
        <v>0.51</v>
      </c>
      <c r="C7" s="508">
        <v>0.25</v>
      </c>
      <c r="D7" s="508">
        <v>0.35</v>
      </c>
      <c r="E7" s="508">
        <v>0.17</v>
      </c>
      <c r="F7" s="508">
        <v>0.62</v>
      </c>
      <c r="G7" s="508">
        <v>0.42</v>
      </c>
      <c r="H7" s="508">
        <v>1.22</v>
      </c>
      <c r="I7" s="508">
        <v>1.45</v>
      </c>
    </row>
    <row r="8" spans="1:12" ht="12.75">
      <c r="A8" s="222" t="s">
        <v>347</v>
      </c>
      <c r="B8" s="508">
        <v>0.95</v>
      </c>
      <c r="C8" s="508">
        <v>1.52</v>
      </c>
      <c r="D8" s="508">
        <v>0.48</v>
      </c>
      <c r="E8" s="508">
        <v>0.52</v>
      </c>
      <c r="F8" s="508">
        <v>0.53</v>
      </c>
      <c r="G8" s="508">
        <v>0.57999999999999996</v>
      </c>
      <c r="H8" s="508">
        <v>0.92</v>
      </c>
      <c r="I8" s="508">
        <v>0.85</v>
      </c>
    </row>
    <row r="9" spans="1:12" ht="12.75">
      <c r="A9" s="222" t="s">
        <v>66</v>
      </c>
      <c r="B9" s="508">
        <v>0.65</v>
      </c>
      <c r="C9" s="508">
        <v>0.8</v>
      </c>
      <c r="D9" s="508">
        <v>0.56999999999999995</v>
      </c>
      <c r="E9" s="508">
        <v>0.27</v>
      </c>
      <c r="F9" s="508">
        <v>0.36</v>
      </c>
      <c r="G9" s="508">
        <v>0.97</v>
      </c>
      <c r="H9" s="508">
        <v>0.7</v>
      </c>
      <c r="I9" s="508">
        <v>0.56999999999999995</v>
      </c>
    </row>
    <row r="10" spans="1:12" ht="12.75">
      <c r="A10" s="222" t="s">
        <v>67</v>
      </c>
      <c r="B10" s="508">
        <v>0.51</v>
      </c>
      <c r="C10" s="508">
        <v>0.54</v>
      </c>
      <c r="D10" s="508">
        <v>0.36</v>
      </c>
      <c r="E10" s="508">
        <v>0.36</v>
      </c>
      <c r="F10" s="508">
        <v>0.72</v>
      </c>
      <c r="G10" s="508">
        <v>0.7</v>
      </c>
      <c r="H10" s="508">
        <v>0.52</v>
      </c>
      <c r="I10" s="508">
        <v>0.59</v>
      </c>
    </row>
    <row r="11" spans="1:12" ht="12.75">
      <c r="A11" s="222" t="s">
        <v>75</v>
      </c>
      <c r="B11" s="508">
        <v>0.36</v>
      </c>
      <c r="C11" s="508">
        <v>0.2</v>
      </c>
      <c r="D11" s="508">
        <v>0.73</v>
      </c>
      <c r="E11" s="508">
        <v>0.54</v>
      </c>
      <c r="F11" s="508">
        <v>0.42</v>
      </c>
      <c r="G11" s="508">
        <v>0.34</v>
      </c>
      <c r="H11" s="508">
        <v>0.14000000000000001</v>
      </c>
      <c r="I11" s="508">
        <v>0.16</v>
      </c>
    </row>
    <row r="12" spans="1:12" ht="12.75">
      <c r="A12" s="222" t="s">
        <v>138</v>
      </c>
      <c r="B12" s="508">
        <v>0.2</v>
      </c>
      <c r="C12" s="508">
        <v>0.11</v>
      </c>
      <c r="D12" s="508">
        <v>0.36</v>
      </c>
      <c r="E12" s="508">
        <v>0.09</v>
      </c>
      <c r="F12" s="508">
        <v>0.3</v>
      </c>
      <c r="G12" s="508">
        <v>0.14000000000000001</v>
      </c>
      <c r="H12" s="508">
        <v>0.08</v>
      </c>
      <c r="I12" s="508">
        <v>0.08</v>
      </c>
    </row>
    <row r="13" spans="1:12" ht="12.75">
      <c r="A13" s="222" t="s">
        <v>76</v>
      </c>
      <c r="B13" s="508">
        <v>0.05</v>
      </c>
      <c r="C13" s="508">
        <v>0.03</v>
      </c>
      <c r="D13" s="508">
        <v>0.03</v>
      </c>
      <c r="E13" s="508">
        <v>0.04</v>
      </c>
      <c r="F13" s="508">
        <v>0.02</v>
      </c>
      <c r="G13" s="508">
        <v>7.0000000000000007E-2</v>
      </c>
      <c r="H13" s="508">
        <v>0.06</v>
      </c>
      <c r="I13" s="508">
        <v>0.2</v>
      </c>
    </row>
    <row r="15" spans="1:12" ht="12.75">
      <c r="A15" s="465" t="s">
        <v>2821</v>
      </c>
      <c r="B15" s="287" t="s">
        <v>123</v>
      </c>
      <c r="C15" s="287" t="s">
        <v>1164</v>
      </c>
      <c r="D15" s="287" t="s">
        <v>140</v>
      </c>
      <c r="E15" s="287" t="s">
        <v>71</v>
      </c>
      <c r="F15" s="287" t="s">
        <v>346</v>
      </c>
      <c r="G15" s="287" t="s">
        <v>347</v>
      </c>
      <c r="H15" s="287" t="s">
        <v>1165</v>
      </c>
      <c r="I15" s="287" t="s">
        <v>67</v>
      </c>
      <c r="J15" s="287" t="s">
        <v>75</v>
      </c>
      <c r="K15" s="287" t="s">
        <v>138</v>
      </c>
      <c r="L15" s="287" t="s">
        <v>76</v>
      </c>
    </row>
    <row r="16" spans="1:12" ht="12.75">
      <c r="A16" s="287" t="s">
        <v>403</v>
      </c>
      <c r="B16" s="472">
        <f>C$3</f>
        <v>3.55</v>
      </c>
      <c r="C16" s="472">
        <f>C4</f>
        <v>1.24</v>
      </c>
      <c r="D16" s="472">
        <f>C5</f>
        <v>1.98</v>
      </c>
      <c r="E16" s="472">
        <f>C6</f>
        <v>0.8</v>
      </c>
      <c r="F16" s="472">
        <f>C7</f>
        <v>0.25</v>
      </c>
      <c r="G16" s="472">
        <f>C8</f>
        <v>1.52</v>
      </c>
      <c r="H16" s="472">
        <f>C9</f>
        <v>0.8</v>
      </c>
      <c r="I16" s="472">
        <f>C10</f>
        <v>0.54</v>
      </c>
      <c r="J16" s="472">
        <f>C11</f>
        <v>0.2</v>
      </c>
      <c r="K16" s="472">
        <f>C12</f>
        <v>0.11</v>
      </c>
      <c r="L16" s="472">
        <f>C13</f>
        <v>0.03</v>
      </c>
    </row>
    <row r="17" spans="1:12" ht="12.75">
      <c r="A17" s="287" t="s">
        <v>116</v>
      </c>
      <c r="B17" s="472">
        <f>D$3</f>
        <v>0.46</v>
      </c>
      <c r="C17" s="472">
        <f>D4</f>
        <v>1.25</v>
      </c>
      <c r="D17" s="472">
        <f>D5</f>
        <v>0.41</v>
      </c>
      <c r="E17" s="472">
        <f>D6</f>
        <v>0.14000000000000001</v>
      </c>
      <c r="F17" s="472">
        <f>D7</f>
        <v>0.35</v>
      </c>
      <c r="G17" s="472">
        <f>D8</f>
        <v>0.48</v>
      </c>
      <c r="H17" s="472">
        <f>D9</f>
        <v>0.56999999999999995</v>
      </c>
      <c r="I17" s="472">
        <f>D10</f>
        <v>0.36</v>
      </c>
      <c r="J17" s="472">
        <f>D11</f>
        <v>0.73</v>
      </c>
      <c r="K17" s="472">
        <f>D12</f>
        <v>0.36</v>
      </c>
      <c r="L17" s="472">
        <f>D13</f>
        <v>0.03</v>
      </c>
    </row>
    <row r="18" spans="1:12" ht="12.75">
      <c r="A18" s="287" t="s">
        <v>1159</v>
      </c>
      <c r="B18" s="472">
        <f>E$3</f>
        <v>1</v>
      </c>
      <c r="C18" s="472">
        <f>E4</f>
        <v>7.29</v>
      </c>
      <c r="D18" s="472">
        <f>E5</f>
        <v>0.42</v>
      </c>
      <c r="E18" s="472">
        <f>E6</f>
        <v>0.3</v>
      </c>
      <c r="F18" s="472">
        <f>E7</f>
        <v>0.17</v>
      </c>
      <c r="G18" s="472">
        <f>E8</f>
        <v>0.52</v>
      </c>
      <c r="H18" s="472">
        <f>E9</f>
        <v>0.27</v>
      </c>
      <c r="I18" s="472">
        <f>E10</f>
        <v>0.36</v>
      </c>
      <c r="J18" s="472">
        <f>E11</f>
        <v>0.54</v>
      </c>
      <c r="K18" s="472">
        <f>E12</f>
        <v>0.09</v>
      </c>
      <c r="L18" s="472">
        <f>E13</f>
        <v>0.04</v>
      </c>
    </row>
    <row r="19" spans="1:12" ht="12.75">
      <c r="A19" s="287" t="s">
        <v>404</v>
      </c>
      <c r="B19" s="472">
        <f>F$3</f>
        <v>4.3</v>
      </c>
      <c r="C19" s="472">
        <f>F4</f>
        <v>4.22</v>
      </c>
      <c r="D19" s="472">
        <f>F5</f>
        <v>1.9</v>
      </c>
      <c r="E19" s="472">
        <f>F6</f>
        <v>1.87</v>
      </c>
      <c r="F19" s="472">
        <f>F7</f>
        <v>0.62</v>
      </c>
      <c r="G19" s="472">
        <f>F8</f>
        <v>0.53</v>
      </c>
      <c r="H19" s="472">
        <f>F9</f>
        <v>0.36</v>
      </c>
      <c r="I19" s="472">
        <f>F10</f>
        <v>0.72</v>
      </c>
      <c r="J19" s="472">
        <f>F11</f>
        <v>0.42</v>
      </c>
      <c r="K19" s="472">
        <f>F12</f>
        <v>0.3</v>
      </c>
      <c r="L19" s="472">
        <f>F13</f>
        <v>0.02</v>
      </c>
    </row>
    <row r="20" spans="1:12" ht="12.75">
      <c r="A20" s="287" t="s">
        <v>1166</v>
      </c>
      <c r="B20" s="472">
        <f>G3</f>
        <v>1.21</v>
      </c>
      <c r="C20" s="472">
        <f>G4</f>
        <v>1.61</v>
      </c>
      <c r="D20" s="472">
        <f>G5</f>
        <v>1.2</v>
      </c>
      <c r="E20" s="472">
        <f>G6</f>
        <v>1.21</v>
      </c>
      <c r="F20" s="472">
        <f>G7</f>
        <v>0.42</v>
      </c>
      <c r="G20" s="472">
        <f>G8</f>
        <v>0.57999999999999996</v>
      </c>
      <c r="H20" s="472">
        <f>G9</f>
        <v>0.97</v>
      </c>
      <c r="I20" s="472">
        <f>G10</f>
        <v>0.7</v>
      </c>
      <c r="J20" s="472">
        <f>G11</f>
        <v>0.34</v>
      </c>
      <c r="K20" s="472">
        <f>G12</f>
        <v>0.14000000000000001</v>
      </c>
      <c r="L20" s="472">
        <f>G13</f>
        <v>7.0000000000000007E-2</v>
      </c>
    </row>
    <row r="21" spans="1:12" ht="12.75">
      <c r="A21" s="287" t="s">
        <v>1167</v>
      </c>
      <c r="B21" s="472">
        <f>H3</f>
        <v>4.33</v>
      </c>
      <c r="C21" s="472">
        <f>H4</f>
        <v>4.0599999999999996</v>
      </c>
      <c r="D21" s="472">
        <f>H5</f>
        <v>2.1800000000000002</v>
      </c>
      <c r="E21" s="472">
        <f>H6</f>
        <v>1.22</v>
      </c>
      <c r="F21" s="472">
        <f>H7</f>
        <v>1.22</v>
      </c>
      <c r="G21" s="472">
        <f>H8</f>
        <v>0.92</v>
      </c>
      <c r="H21" s="472">
        <f>H9</f>
        <v>0.7</v>
      </c>
      <c r="I21" s="472">
        <f>H10</f>
        <v>0.52</v>
      </c>
      <c r="J21" s="472">
        <f>H11</f>
        <v>0.14000000000000001</v>
      </c>
      <c r="K21" s="472">
        <f>H12</f>
        <v>0.08</v>
      </c>
      <c r="L21" s="472">
        <f>H13</f>
        <v>0.06</v>
      </c>
    </row>
    <row r="22" spans="1:12" ht="12.75">
      <c r="A22" s="287" t="s">
        <v>1168</v>
      </c>
      <c r="B22" s="472">
        <f>I3</f>
        <v>6.38</v>
      </c>
      <c r="C22" s="472">
        <f>I4</f>
        <v>1.71</v>
      </c>
      <c r="D22" s="472">
        <f>I5</f>
        <v>2.68</v>
      </c>
      <c r="E22" s="472">
        <f>I6</f>
        <v>2.34</v>
      </c>
      <c r="F22" s="472">
        <f>I7</f>
        <v>1.45</v>
      </c>
      <c r="G22" s="472">
        <f>I8</f>
        <v>0.85</v>
      </c>
      <c r="H22" s="472">
        <f>I9</f>
        <v>0.56999999999999995</v>
      </c>
      <c r="I22" s="472">
        <f>I10</f>
        <v>0.59</v>
      </c>
      <c r="J22" s="472">
        <f>I11</f>
        <v>0.16</v>
      </c>
      <c r="K22" s="472">
        <f>I12</f>
        <v>0.08</v>
      </c>
      <c r="L22" s="472">
        <f>I13</f>
        <v>0.2</v>
      </c>
    </row>
    <row r="24" spans="1:12" ht="15.75" customHeight="1">
      <c r="A24" s="255"/>
      <c r="B24" s="524" t="s">
        <v>1157</v>
      </c>
    </row>
    <row r="25" spans="1:12" ht="15.75" customHeight="1">
      <c r="A25" s="465" t="s">
        <v>123</v>
      </c>
      <c r="B25" s="508">
        <v>2.88</v>
      </c>
    </row>
    <row r="26" spans="1:12" ht="15.75" customHeight="1">
      <c r="A26" s="465" t="s">
        <v>137</v>
      </c>
      <c r="B26" s="508">
        <v>2.93</v>
      </c>
    </row>
    <row r="27" spans="1:12" ht="15.75" customHeight="1">
      <c r="A27" s="465" t="s">
        <v>140</v>
      </c>
      <c r="B27" s="508">
        <v>1.53</v>
      </c>
    </row>
    <row r="28" spans="1:12" ht="15.75" customHeight="1">
      <c r="A28" s="465" t="s">
        <v>71</v>
      </c>
      <c r="B28" s="508">
        <v>0.89</v>
      </c>
    </row>
    <row r="29" spans="1:12" ht="15.75" customHeight="1">
      <c r="A29" s="465" t="s">
        <v>1163</v>
      </c>
      <c r="B29" s="508">
        <v>0.51</v>
      </c>
    </row>
    <row r="30" spans="1:12" ht="15.75" customHeight="1">
      <c r="A30" s="465" t="s">
        <v>347</v>
      </c>
      <c r="B30" s="508">
        <v>0.95</v>
      </c>
    </row>
    <row r="31" spans="1:12" ht="15.75" customHeight="1">
      <c r="A31" s="465" t="s">
        <v>66</v>
      </c>
      <c r="B31" s="508">
        <v>0.65</v>
      </c>
    </row>
    <row r="32" spans="1:12" ht="15.75" customHeight="1">
      <c r="A32" s="465" t="s">
        <v>67</v>
      </c>
      <c r="B32" s="508">
        <v>0.51</v>
      </c>
    </row>
    <row r="33" spans="1:2" ht="15.75" customHeight="1">
      <c r="A33" s="465" t="s">
        <v>75</v>
      </c>
      <c r="B33" s="508">
        <v>0.36</v>
      </c>
    </row>
    <row r="34" spans="1:2" ht="15.75" customHeight="1">
      <c r="A34" s="465" t="s">
        <v>138</v>
      </c>
      <c r="B34" s="508">
        <v>0.2</v>
      </c>
    </row>
    <row r="35" spans="1:2" ht="15.75" customHeight="1">
      <c r="A35" s="465" t="s">
        <v>76</v>
      </c>
      <c r="B35" s="508">
        <v>0.05</v>
      </c>
    </row>
  </sheetData>
  <conditionalFormatting sqref="B3:I13">
    <cfRule type="colorScale" priority="3">
      <colorScale>
        <cfvo type="min"/>
        <cfvo type="percentile" val="50"/>
        <cfvo type="max"/>
        <color rgb="FFDD7E6B"/>
        <color rgb="FFD9EAD3"/>
        <color rgb="FFE67C73"/>
      </colorScale>
    </cfRule>
  </conditionalFormatting>
  <conditionalFormatting sqref="B25:B35">
    <cfRule type="colorScale" priority="1">
      <colorScale>
        <cfvo type="min"/>
        <cfvo type="percentile" val="50"/>
        <cfvo type="max"/>
        <color rgb="FFDD7E6B"/>
        <color rgb="FFD9EAD3"/>
        <color rgb="FFE67C7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24"/>
  <sheetViews>
    <sheetView workbookViewId="0"/>
  </sheetViews>
  <sheetFormatPr defaultColWidth="14.42578125" defaultRowHeight="15.75" customHeight="1"/>
  <sheetData>
    <row r="1" spans="1:4">
      <c r="A1" s="287" t="s">
        <v>1169</v>
      </c>
      <c r="B1" s="287">
        <v>346</v>
      </c>
      <c r="C1" s="222">
        <v>2018</v>
      </c>
      <c r="D1" s="484" t="s">
        <v>341</v>
      </c>
    </row>
    <row r="2" spans="1:4">
      <c r="A2" s="222" t="s">
        <v>1170</v>
      </c>
      <c r="B2" s="222">
        <v>2.1</v>
      </c>
      <c r="C2" s="222">
        <v>2018</v>
      </c>
      <c r="D2" s="484" t="s">
        <v>341</v>
      </c>
    </row>
    <row r="3" spans="1:4">
      <c r="A3" s="222" t="s">
        <v>1171</v>
      </c>
      <c r="B3" s="222">
        <v>4.5</v>
      </c>
      <c r="C3" s="222">
        <v>2018</v>
      </c>
      <c r="D3" s="484" t="s">
        <v>341</v>
      </c>
    </row>
    <row r="4" spans="1:4">
      <c r="A4" s="222" t="s">
        <v>1172</v>
      </c>
      <c r="B4" s="222">
        <v>0.8</v>
      </c>
      <c r="C4" s="222">
        <v>2018</v>
      </c>
      <c r="D4" s="484" t="s">
        <v>341</v>
      </c>
    </row>
    <row r="5" spans="1:4">
      <c r="A5" s="222" t="s">
        <v>1173</v>
      </c>
      <c r="B5" s="222">
        <v>0.6</v>
      </c>
      <c r="C5" s="222">
        <v>2018</v>
      </c>
      <c r="D5" s="484" t="s">
        <v>341</v>
      </c>
    </row>
    <row r="6" spans="1:4">
      <c r="A6" s="222" t="s">
        <v>1174</v>
      </c>
      <c r="B6" s="222">
        <v>2.6</v>
      </c>
      <c r="C6" s="222">
        <v>2018</v>
      </c>
      <c r="D6" s="484" t="s">
        <v>341</v>
      </c>
    </row>
    <row r="7" spans="1:4">
      <c r="A7" s="222" t="s">
        <v>1175</v>
      </c>
      <c r="B7" s="222">
        <v>15.8</v>
      </c>
      <c r="C7" s="222">
        <v>2018</v>
      </c>
      <c r="D7" s="484" t="s">
        <v>341</v>
      </c>
    </row>
    <row r="8" spans="1:4">
      <c r="A8" s="222" t="s">
        <v>1176</v>
      </c>
      <c r="B8" s="222">
        <v>72</v>
      </c>
      <c r="C8" s="222">
        <v>2018</v>
      </c>
      <c r="D8" s="484" t="s">
        <v>341</v>
      </c>
    </row>
    <row r="9" spans="1:4">
      <c r="A9" s="222" t="s">
        <v>1177</v>
      </c>
      <c r="B9" s="222">
        <v>121</v>
      </c>
      <c r="C9" s="222">
        <v>2018</v>
      </c>
      <c r="D9" s="484" t="s">
        <v>341</v>
      </c>
    </row>
    <row r="10" spans="1:4">
      <c r="A10" s="222" t="s">
        <v>1178</v>
      </c>
      <c r="B10" s="222">
        <v>127</v>
      </c>
      <c r="C10" s="222">
        <v>2018</v>
      </c>
      <c r="D10" s="484" t="s">
        <v>341</v>
      </c>
    </row>
    <row r="13" spans="1:4">
      <c r="A13" s="287" t="s">
        <v>69</v>
      </c>
      <c r="B13" s="466">
        <f>SUM(B14:B19)</f>
        <v>212.3</v>
      </c>
      <c r="C13" s="222">
        <v>2018</v>
      </c>
      <c r="D13" s="484" t="s">
        <v>341</v>
      </c>
    </row>
    <row r="14" spans="1:4">
      <c r="A14" s="222" t="s">
        <v>1170</v>
      </c>
      <c r="B14" s="222">
        <v>2.1</v>
      </c>
      <c r="C14" s="222">
        <v>2018</v>
      </c>
      <c r="D14" s="484" t="s">
        <v>341</v>
      </c>
    </row>
    <row r="15" spans="1:4">
      <c r="A15" s="222" t="s">
        <v>1172</v>
      </c>
      <c r="B15" s="222">
        <v>0.8</v>
      </c>
      <c r="C15" s="222">
        <v>2018</v>
      </c>
      <c r="D15" s="484" t="s">
        <v>341</v>
      </c>
    </row>
    <row r="16" spans="1:4">
      <c r="A16" s="222" t="s">
        <v>1173</v>
      </c>
      <c r="B16" s="222">
        <v>0.6</v>
      </c>
      <c r="C16" s="222">
        <v>2018</v>
      </c>
      <c r="D16" s="484" t="s">
        <v>341</v>
      </c>
    </row>
    <row r="17" spans="1:4">
      <c r="A17" s="222" t="s">
        <v>1175</v>
      </c>
      <c r="B17" s="222">
        <v>15.8</v>
      </c>
      <c r="C17" s="222">
        <v>2018</v>
      </c>
      <c r="D17" s="484" t="s">
        <v>341</v>
      </c>
    </row>
    <row r="18" spans="1:4">
      <c r="A18" s="222" t="s">
        <v>1176</v>
      </c>
      <c r="B18" s="222">
        <v>72</v>
      </c>
      <c r="C18" s="222">
        <v>2018</v>
      </c>
      <c r="D18" s="484" t="s">
        <v>341</v>
      </c>
    </row>
    <row r="19" spans="1:4">
      <c r="A19" s="222" t="s">
        <v>1177</v>
      </c>
      <c r="B19" s="222">
        <v>121</v>
      </c>
      <c r="C19" s="222">
        <v>2018</v>
      </c>
      <c r="D19" s="484" t="s">
        <v>341</v>
      </c>
    </row>
    <row r="20" spans="1:4">
      <c r="A20" s="222"/>
      <c r="B20" s="222"/>
      <c r="C20" s="222"/>
      <c r="D20" s="222"/>
    </row>
    <row r="21" spans="1:4">
      <c r="A21" s="287" t="s">
        <v>1155</v>
      </c>
      <c r="B21" s="466">
        <f>SUM(B22:B24)</f>
        <v>134.1</v>
      </c>
      <c r="C21" s="222"/>
      <c r="D21" s="222"/>
    </row>
    <row r="22" spans="1:4">
      <c r="A22" s="222" t="s">
        <v>1178</v>
      </c>
      <c r="B22" s="222">
        <v>127</v>
      </c>
      <c r="C22" s="222">
        <v>2018</v>
      </c>
      <c r="D22" s="484" t="s">
        <v>341</v>
      </c>
    </row>
    <row r="23" spans="1:4">
      <c r="A23" s="222" t="s">
        <v>1171</v>
      </c>
      <c r="B23" s="222">
        <v>4.5</v>
      </c>
      <c r="C23" s="222">
        <v>2018</v>
      </c>
      <c r="D23" s="484" t="s">
        <v>341</v>
      </c>
    </row>
    <row r="24" spans="1:4">
      <c r="A24" s="222" t="s">
        <v>1174</v>
      </c>
      <c r="B24" s="222">
        <v>2.6</v>
      </c>
      <c r="C24" s="222">
        <v>2018</v>
      </c>
      <c r="D24" s="484" t="s">
        <v>341</v>
      </c>
    </row>
  </sheetData>
  <hyperlinks>
    <hyperlink ref="D1" r:id="rId1"/>
    <hyperlink ref="D2" r:id="rId2"/>
    <hyperlink ref="D3" r:id="rId3"/>
    <hyperlink ref="D4" r:id="rId4"/>
    <hyperlink ref="D5" r:id="rId5"/>
    <hyperlink ref="D6" r:id="rId6"/>
    <hyperlink ref="D7" r:id="rId7"/>
    <hyperlink ref="D8" r:id="rId8"/>
    <hyperlink ref="D9" r:id="rId9"/>
    <hyperlink ref="D10" r:id="rId10"/>
    <hyperlink ref="D13" r:id="rId11"/>
    <hyperlink ref="D14" r:id="rId12"/>
    <hyperlink ref="D15" r:id="rId13"/>
    <hyperlink ref="D16" r:id="rId14"/>
    <hyperlink ref="D17" r:id="rId15"/>
    <hyperlink ref="D18" r:id="rId16"/>
    <hyperlink ref="D19" r:id="rId17"/>
    <hyperlink ref="D22" r:id="rId18"/>
    <hyperlink ref="D23" r:id="rId19"/>
    <hyperlink ref="D24" r:id="rId20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D25"/>
  <sheetViews>
    <sheetView workbookViewId="0"/>
  </sheetViews>
  <sheetFormatPr defaultColWidth="14.42578125" defaultRowHeight="15.75" customHeight="1"/>
  <sheetData>
    <row r="2" spans="1:4">
      <c r="A2" s="287" t="s">
        <v>1179</v>
      </c>
      <c r="B2" s="222" t="s">
        <v>1180</v>
      </c>
    </row>
    <row r="3" spans="1:4">
      <c r="A3" s="222" t="s">
        <v>728</v>
      </c>
      <c r="B3" s="222">
        <v>43.2</v>
      </c>
      <c r="C3" s="222">
        <v>2013</v>
      </c>
      <c r="D3" s="484" t="s">
        <v>345</v>
      </c>
    </row>
    <row r="4" spans="1:4">
      <c r="A4" s="222" t="s">
        <v>117</v>
      </c>
      <c r="B4" s="222">
        <v>112.7</v>
      </c>
      <c r="C4" s="222">
        <v>2013</v>
      </c>
      <c r="D4" s="484" t="s">
        <v>345</v>
      </c>
    </row>
    <row r="5" spans="1:4">
      <c r="A5" s="222" t="s">
        <v>1181</v>
      </c>
      <c r="B5" s="222">
        <v>81.5</v>
      </c>
      <c r="C5" s="222">
        <v>2013</v>
      </c>
      <c r="D5" s="484" t="s">
        <v>345</v>
      </c>
    </row>
    <row r="8" spans="1:4">
      <c r="A8" s="222" t="s">
        <v>643</v>
      </c>
      <c r="B8" s="222">
        <v>80.2</v>
      </c>
      <c r="C8" s="222">
        <v>2013</v>
      </c>
      <c r="D8" s="484" t="s">
        <v>345</v>
      </c>
    </row>
    <row r="9" spans="1:4">
      <c r="A9" s="222" t="s">
        <v>1182</v>
      </c>
      <c r="B9" s="222">
        <v>85.3</v>
      </c>
      <c r="C9" s="222">
        <v>2013</v>
      </c>
      <c r="D9" s="484" t="s">
        <v>345</v>
      </c>
    </row>
    <row r="10" spans="1:4">
      <c r="A10" s="222" t="s">
        <v>688</v>
      </c>
      <c r="B10" s="222">
        <v>81.900000000000006</v>
      </c>
      <c r="C10" s="222">
        <v>2013</v>
      </c>
      <c r="D10" s="484" t="s">
        <v>345</v>
      </c>
    </row>
    <row r="11" spans="1:4">
      <c r="A11" s="222" t="s">
        <v>103</v>
      </c>
      <c r="B11" s="222">
        <v>77.34</v>
      </c>
      <c r="C11" s="222">
        <v>2013</v>
      </c>
      <c r="D11" s="484" t="s">
        <v>345</v>
      </c>
    </row>
    <row r="12" spans="1:4">
      <c r="A12" s="222" t="s">
        <v>537</v>
      </c>
      <c r="B12" s="222">
        <v>68.75</v>
      </c>
      <c r="C12" s="222">
        <v>2013</v>
      </c>
      <c r="D12" s="484" t="s">
        <v>345</v>
      </c>
    </row>
    <row r="14" spans="1:4">
      <c r="A14" s="222" t="s">
        <v>1183</v>
      </c>
      <c r="B14" s="222">
        <v>29.4</v>
      </c>
      <c r="C14" s="222">
        <v>2013</v>
      </c>
      <c r="D14" s="484" t="s">
        <v>345</v>
      </c>
    </row>
    <row r="15" spans="1:4">
      <c r="A15" s="222" t="s">
        <v>535</v>
      </c>
      <c r="B15" s="222">
        <v>60.2</v>
      </c>
      <c r="C15" s="222">
        <v>2013</v>
      </c>
      <c r="D15" s="484" t="s">
        <v>345</v>
      </c>
    </row>
    <row r="16" spans="1:4">
      <c r="A16" s="222" t="s">
        <v>1184</v>
      </c>
      <c r="B16" s="222">
        <v>45.17</v>
      </c>
      <c r="C16" s="222">
        <v>2013</v>
      </c>
      <c r="D16" s="484" t="s">
        <v>345</v>
      </c>
    </row>
    <row r="17" spans="1:4">
      <c r="A17" s="222" t="s">
        <v>726</v>
      </c>
      <c r="B17" s="222">
        <v>39.700000000000003</v>
      </c>
      <c r="C17" s="222">
        <v>2013</v>
      </c>
      <c r="D17" s="484" t="s">
        <v>345</v>
      </c>
    </row>
    <row r="18" spans="1:4">
      <c r="A18" s="222" t="s">
        <v>686</v>
      </c>
      <c r="B18" s="222">
        <v>6.67</v>
      </c>
      <c r="C18" s="222">
        <v>2013</v>
      </c>
      <c r="D18" s="484" t="s">
        <v>345</v>
      </c>
    </row>
    <row r="19" spans="1:4">
      <c r="A19" s="222" t="s">
        <v>478</v>
      </c>
      <c r="B19" s="222">
        <v>32.549999999999997</v>
      </c>
      <c r="C19" s="222">
        <v>2013</v>
      </c>
      <c r="D19" s="484" t="s">
        <v>345</v>
      </c>
    </row>
    <row r="20" spans="1:4">
      <c r="A20" s="222"/>
      <c r="B20" s="222"/>
    </row>
    <row r="21" spans="1:4">
      <c r="A21" s="222" t="s">
        <v>684</v>
      </c>
      <c r="B21" s="222">
        <v>60</v>
      </c>
      <c r="C21" s="222">
        <v>2013</v>
      </c>
      <c r="D21" s="484" t="s">
        <v>345</v>
      </c>
    </row>
    <row r="22" spans="1:4">
      <c r="A22" s="222" t="s">
        <v>639</v>
      </c>
      <c r="B22" s="222">
        <v>28.75</v>
      </c>
      <c r="C22" s="222">
        <v>2013</v>
      </c>
      <c r="D22" s="484" t="s">
        <v>345</v>
      </c>
    </row>
    <row r="23" spans="1:4">
      <c r="A23" s="222" t="s">
        <v>616</v>
      </c>
      <c r="B23" s="222">
        <v>23.93</v>
      </c>
      <c r="C23" s="222">
        <v>2013</v>
      </c>
      <c r="D23" s="484" t="s">
        <v>345</v>
      </c>
    </row>
    <row r="24" spans="1:4">
      <c r="A24" s="222" t="s">
        <v>724</v>
      </c>
      <c r="B24" s="222">
        <v>12.79</v>
      </c>
      <c r="C24" s="222">
        <v>2013</v>
      </c>
      <c r="D24" s="484" t="s">
        <v>345</v>
      </c>
    </row>
    <row r="25" spans="1:4">
      <c r="A25" s="222" t="s">
        <v>533</v>
      </c>
      <c r="B25" s="222">
        <v>10.81</v>
      </c>
      <c r="C25" s="222">
        <v>2013</v>
      </c>
      <c r="D25" s="484" t="s">
        <v>345</v>
      </c>
    </row>
  </sheetData>
  <hyperlinks>
    <hyperlink ref="D3" r:id="rId1" location="global-meat-production"/>
    <hyperlink ref="D4" r:id="rId2" location="global-meat-production"/>
    <hyperlink ref="D5" r:id="rId3" location="global-meat-production"/>
    <hyperlink ref="D8" r:id="rId4" location="global-meat-production"/>
    <hyperlink ref="D9" r:id="rId5" location="global-meat-production"/>
    <hyperlink ref="D10" r:id="rId6" location="global-meat-production"/>
    <hyperlink ref="D11" r:id="rId7" location="global-meat-production"/>
    <hyperlink ref="D12" r:id="rId8" location="global-meat-production"/>
    <hyperlink ref="D14" r:id="rId9" location="global-meat-production"/>
    <hyperlink ref="D15" r:id="rId10" location="global-meat-production"/>
    <hyperlink ref="D16" r:id="rId11" location="global-meat-production"/>
    <hyperlink ref="D17" r:id="rId12" location="global-meat-production"/>
    <hyperlink ref="D18" r:id="rId13" location="global-meat-production"/>
    <hyperlink ref="D19" r:id="rId14" location="global-meat-production"/>
    <hyperlink ref="D21" r:id="rId15" location="global-meat-production"/>
    <hyperlink ref="D22" r:id="rId16" location="global-meat-production"/>
    <hyperlink ref="D23" r:id="rId17" location="global-meat-production"/>
    <hyperlink ref="D24" r:id="rId18" location="global-meat-production"/>
    <hyperlink ref="D25" r:id="rId19" location="global-meat-production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3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1" max="1" width="23.28515625" customWidth="1"/>
  </cols>
  <sheetData>
    <row r="1" spans="1:2">
      <c r="A1" s="287" t="s">
        <v>1185</v>
      </c>
      <c r="B1" s="287" t="s">
        <v>1186</v>
      </c>
    </row>
    <row r="2" spans="1:2">
      <c r="A2" s="222" t="s">
        <v>1187</v>
      </c>
      <c r="B2" s="222" t="s">
        <v>133</v>
      </c>
    </row>
    <row r="3" spans="1:2">
      <c r="A3" s="222" t="s">
        <v>1188</v>
      </c>
      <c r="B3" s="509" t="s">
        <v>97</v>
      </c>
    </row>
    <row r="4" spans="1:2">
      <c r="A4" s="222" t="s">
        <v>478</v>
      </c>
      <c r="B4" s="222" t="s">
        <v>98</v>
      </c>
    </row>
    <row r="5" spans="1:2">
      <c r="A5" s="222" t="s">
        <v>103</v>
      </c>
      <c r="B5" s="222" t="s">
        <v>99</v>
      </c>
    </row>
    <row r="6" spans="1:2">
      <c r="A6" s="222" t="s">
        <v>117</v>
      </c>
      <c r="B6" s="222" t="s">
        <v>100</v>
      </c>
    </row>
    <row r="7" spans="1:2">
      <c r="A7" s="222" t="s">
        <v>646</v>
      </c>
      <c r="B7" s="222" t="s">
        <v>101</v>
      </c>
    </row>
    <row r="8" spans="1:2">
      <c r="A8" s="222" t="s">
        <v>1181</v>
      </c>
      <c r="B8" s="222" t="s">
        <v>102</v>
      </c>
    </row>
    <row r="12" spans="1:2">
      <c r="A12" s="287" t="s">
        <v>401</v>
      </c>
    </row>
    <row r="13" spans="1:2">
      <c r="A13" s="222" t="s">
        <v>1189</v>
      </c>
    </row>
    <row r="14" spans="1:2">
      <c r="A14" s="222" t="s">
        <v>224</v>
      </c>
    </row>
    <row r="15" spans="1:2">
      <c r="A15" s="222" t="s">
        <v>225</v>
      </c>
    </row>
    <row r="16" spans="1:2">
      <c r="A16" s="222" t="s">
        <v>226</v>
      </c>
    </row>
    <row r="17" spans="1:1">
      <c r="A17" s="222" t="s">
        <v>227</v>
      </c>
    </row>
    <row r="18" spans="1:1">
      <c r="A18" s="222" t="s">
        <v>228</v>
      </c>
    </row>
    <row r="19" spans="1:1">
      <c r="A19" s="222" t="s">
        <v>229</v>
      </c>
    </row>
    <row r="20" spans="1:1">
      <c r="A20" s="222" t="s">
        <v>230</v>
      </c>
    </row>
    <row r="21" spans="1:1">
      <c r="A21" s="222" t="s">
        <v>231</v>
      </c>
    </row>
    <row r="22" spans="1:1">
      <c r="A22" s="222" t="s">
        <v>1190</v>
      </c>
    </row>
    <row r="23" spans="1:1">
      <c r="A23" s="222" t="s">
        <v>1191</v>
      </c>
    </row>
    <row r="24" spans="1:1">
      <c r="A24" s="222" t="s">
        <v>232</v>
      </c>
    </row>
    <row r="25" spans="1:1">
      <c r="A25" s="222" t="s">
        <v>233</v>
      </c>
    </row>
    <row r="26" spans="1:1">
      <c r="A26" s="222" t="s">
        <v>234</v>
      </c>
    </row>
    <row r="27" spans="1:1">
      <c r="A27" s="222" t="s">
        <v>235</v>
      </c>
    </row>
    <row r="29" spans="1:1">
      <c r="A29" s="287" t="s">
        <v>1184</v>
      </c>
    </row>
    <row r="30" spans="1:1">
      <c r="A30" s="222" t="s">
        <v>659</v>
      </c>
    </row>
    <row r="31" spans="1:1">
      <c r="A31" s="222" t="s">
        <v>283</v>
      </c>
    </row>
    <row r="32" spans="1:1">
      <c r="A32" s="222" t="s">
        <v>284</v>
      </c>
    </row>
    <row r="33" spans="1:1">
      <c r="A33" s="222" t="s">
        <v>286</v>
      </c>
    </row>
    <row r="34" spans="1:1">
      <c r="A34" s="222" t="s">
        <v>287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1"/>
  <sheetViews>
    <sheetView workbookViewId="0"/>
  </sheetViews>
  <sheetFormatPr defaultColWidth="14.42578125" defaultRowHeight="15.75" customHeight="1"/>
  <sheetData>
    <row r="1" spans="1:1">
      <c r="A1" s="222" t="s">
        <v>140</v>
      </c>
    </row>
    <row r="2" spans="1:1">
      <c r="A2" s="222" t="s">
        <v>67</v>
      </c>
    </row>
    <row r="3" spans="1:1">
      <c r="A3" s="222" t="s">
        <v>1192</v>
      </c>
    </row>
    <row r="4" spans="1:1">
      <c r="A4" s="222" t="s">
        <v>125</v>
      </c>
    </row>
    <row r="5" spans="1:1">
      <c r="A5" s="222" t="s">
        <v>76</v>
      </c>
    </row>
    <row r="6" spans="1:1">
      <c r="A6" s="222" t="s">
        <v>71</v>
      </c>
    </row>
    <row r="7" spans="1:1">
      <c r="A7" s="222" t="s">
        <v>123</v>
      </c>
    </row>
    <row r="8" spans="1:1">
      <c r="A8" s="222" t="s">
        <v>1193</v>
      </c>
    </row>
    <row r="9" spans="1:1">
      <c r="A9" s="222" t="s">
        <v>114</v>
      </c>
    </row>
    <row r="10" spans="1:1">
      <c r="A10" s="222" t="s">
        <v>66</v>
      </c>
    </row>
    <row r="11" spans="1:1">
      <c r="A11" s="222" t="s">
        <v>138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4"/>
  <sheetViews>
    <sheetView workbookViewId="0"/>
  </sheetViews>
  <sheetFormatPr defaultColWidth="14.42578125" defaultRowHeight="15.75" customHeight="1"/>
  <cols>
    <col min="2" max="2" width="9.42578125" customWidth="1"/>
    <col min="3" max="3" width="11.42578125" customWidth="1"/>
    <col min="5" max="5" width="9.7109375" customWidth="1"/>
  </cols>
  <sheetData>
    <row r="1" spans="1:5">
      <c r="A1" s="222" t="s">
        <v>1194</v>
      </c>
    </row>
    <row r="3" spans="1:5">
      <c r="B3" s="287" t="s">
        <v>146</v>
      </c>
      <c r="D3" s="287" t="s">
        <v>150</v>
      </c>
    </row>
    <row r="4" spans="1:5">
      <c r="A4" s="222"/>
      <c r="B4" s="222" t="s">
        <v>1195</v>
      </c>
      <c r="C4" s="222" t="s">
        <v>29</v>
      </c>
    </row>
    <row r="5" spans="1:5">
      <c r="A5" s="222" t="s">
        <v>468</v>
      </c>
      <c r="B5" s="222">
        <v>2.65</v>
      </c>
      <c r="C5" s="510">
        <f t="shared" ref="C5:C10" si="0">SUM(B5/$B$12)</f>
        <v>4.638543672326273E-2</v>
      </c>
      <c r="D5" s="222">
        <v>10.77</v>
      </c>
      <c r="E5" s="510">
        <f t="shared" ref="E5:E10" si="1">SUM(D5/D$12)</f>
        <v>9.5444877702942216E-2</v>
      </c>
    </row>
    <row r="6" spans="1:5">
      <c r="A6" s="222" t="s">
        <v>478</v>
      </c>
      <c r="B6" s="222">
        <v>9.39</v>
      </c>
      <c r="C6" s="510">
        <f t="shared" si="0"/>
        <v>0.16436198144582531</v>
      </c>
      <c r="D6" s="222">
        <v>21.43</v>
      </c>
      <c r="E6" s="510">
        <f t="shared" si="1"/>
        <v>0.18991492378589153</v>
      </c>
    </row>
    <row r="7" spans="1:5">
      <c r="A7" s="222" t="s">
        <v>103</v>
      </c>
      <c r="B7" s="222">
        <v>12.99</v>
      </c>
      <c r="C7" s="510">
        <f t="shared" si="0"/>
        <v>0.22737615963591806</v>
      </c>
      <c r="D7" s="222">
        <v>21.85</v>
      </c>
      <c r="E7" s="510">
        <f t="shared" si="1"/>
        <v>0.1936370081531372</v>
      </c>
    </row>
    <row r="8" spans="1:5">
      <c r="A8" s="222" t="s">
        <v>117</v>
      </c>
      <c r="B8" s="222">
        <v>14.42</v>
      </c>
      <c r="C8" s="510">
        <f t="shared" si="0"/>
        <v>0.25240679152809381</v>
      </c>
      <c r="D8" s="222">
        <v>21.61</v>
      </c>
      <c r="E8" s="510">
        <f t="shared" si="1"/>
        <v>0.19151010280042538</v>
      </c>
    </row>
    <row r="9" spans="1:5">
      <c r="A9" s="222" t="s">
        <v>1181</v>
      </c>
      <c r="B9" s="222">
        <v>9.26</v>
      </c>
      <c r="C9" s="510">
        <f t="shared" si="0"/>
        <v>0.16208646945562752</v>
      </c>
      <c r="D9" s="222">
        <v>10.31</v>
      </c>
      <c r="E9" s="510">
        <f t="shared" si="1"/>
        <v>9.13683091102446E-2</v>
      </c>
    </row>
    <row r="10" spans="1:5">
      <c r="A10" s="222" t="s">
        <v>646</v>
      </c>
      <c r="B10" s="222">
        <v>8.42</v>
      </c>
      <c r="C10" s="510">
        <f t="shared" si="0"/>
        <v>0.14738316121127254</v>
      </c>
      <c r="D10" s="222">
        <v>26.87</v>
      </c>
      <c r="E10" s="510">
        <f t="shared" si="1"/>
        <v>0.2381247784473591</v>
      </c>
    </row>
    <row r="12" spans="1:5">
      <c r="A12" s="222" t="s">
        <v>4</v>
      </c>
      <c r="B12" s="185">
        <f>SUM(B5:B10)</f>
        <v>57.13</v>
      </c>
      <c r="D12" s="185">
        <f>SUM(D5:D10)</f>
        <v>112.84</v>
      </c>
    </row>
    <row r="14" spans="1:5">
      <c r="B14" s="468" t="s">
        <v>345</v>
      </c>
      <c r="C14" s="464"/>
      <c r="D14" s="468" t="s">
        <v>348</v>
      </c>
    </row>
  </sheetData>
  <hyperlinks>
    <hyperlink ref="B14" r:id="rId1" location="global-meat-production"/>
    <hyperlink ref="D14" r:id="rId2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A1" s="222" t="s">
        <v>1196</v>
      </c>
      <c r="C1" s="287">
        <v>2017</v>
      </c>
    </row>
    <row r="2" spans="1:5">
      <c r="A2" s="486" t="s">
        <v>279</v>
      </c>
      <c r="B2" s="492" t="s">
        <v>1197</v>
      </c>
      <c r="C2" s="487" t="s">
        <v>1198</v>
      </c>
      <c r="D2" s="492" t="s">
        <v>1199</v>
      </c>
      <c r="E2" s="496">
        <v>-0.09</v>
      </c>
    </row>
    <row r="3" spans="1:5">
      <c r="A3" s="488" t="s">
        <v>468</v>
      </c>
      <c r="B3" s="494" t="s">
        <v>1200</v>
      </c>
      <c r="C3" s="489" t="s">
        <v>1201</v>
      </c>
      <c r="D3" s="495" t="s">
        <v>2820</v>
      </c>
      <c r="E3" s="495">
        <f>46%</f>
        <v>0.46</v>
      </c>
    </row>
    <row r="4" spans="1:5">
      <c r="A4" s="486" t="s">
        <v>240</v>
      </c>
      <c r="B4" s="492" t="s">
        <v>1202</v>
      </c>
      <c r="C4" s="487" t="s">
        <v>1203</v>
      </c>
      <c r="D4" s="493" t="s">
        <v>2820</v>
      </c>
      <c r="E4" s="493">
        <f>307%</f>
        <v>3.07</v>
      </c>
    </row>
    <row r="5" spans="1:5">
      <c r="A5" s="488" t="s">
        <v>219</v>
      </c>
      <c r="B5" s="494" t="s">
        <v>1204</v>
      </c>
      <c r="C5" s="489" t="s">
        <v>1205</v>
      </c>
      <c r="D5" s="495" t="s">
        <v>2820</v>
      </c>
      <c r="E5" s="495">
        <f>169%</f>
        <v>1.69</v>
      </c>
    </row>
    <row r="6" spans="1:5">
      <c r="A6" s="486" t="s">
        <v>472</v>
      </c>
      <c r="B6" s="492" t="s">
        <v>1206</v>
      </c>
      <c r="C6" s="487" t="s">
        <v>1207</v>
      </c>
      <c r="D6" s="493" t="s">
        <v>2820</v>
      </c>
      <c r="E6" s="493">
        <f>2%</f>
        <v>0.02</v>
      </c>
    </row>
    <row r="7" spans="1:5">
      <c r="A7" s="488" t="s">
        <v>173</v>
      </c>
      <c r="B7" s="494" t="s">
        <v>1208</v>
      </c>
      <c r="C7" s="489" t="s">
        <v>1209</v>
      </c>
      <c r="D7" s="494" t="s">
        <v>1210</v>
      </c>
      <c r="E7" s="497">
        <v>-0.63</v>
      </c>
    </row>
    <row r="8" spans="1:5">
      <c r="A8" s="486" t="s">
        <v>405</v>
      </c>
      <c r="B8" s="492" t="s">
        <v>1211</v>
      </c>
      <c r="C8" s="487" t="s">
        <v>1212</v>
      </c>
      <c r="D8" s="492" t="s">
        <v>1213</v>
      </c>
      <c r="E8" s="496">
        <v>-0.27</v>
      </c>
    </row>
    <row r="9" spans="1:5">
      <c r="A9" s="488" t="s">
        <v>307</v>
      </c>
      <c r="B9" s="494" t="s">
        <v>1214</v>
      </c>
      <c r="C9" s="489" t="s">
        <v>1215</v>
      </c>
      <c r="D9" s="495" t="s">
        <v>2820</v>
      </c>
      <c r="E9" s="495">
        <f>19%</f>
        <v>0.19</v>
      </c>
    </row>
    <row r="10" spans="1:5">
      <c r="A10" s="486" t="s">
        <v>280</v>
      </c>
      <c r="B10" s="492" t="s">
        <v>1216</v>
      </c>
      <c r="C10" s="487" t="s">
        <v>1217</v>
      </c>
      <c r="D10" s="493" t="s">
        <v>2820</v>
      </c>
      <c r="E10" s="493">
        <f>84%</f>
        <v>0.84</v>
      </c>
    </row>
    <row r="11" spans="1:5">
      <c r="A11" s="488" t="s">
        <v>478</v>
      </c>
      <c r="B11" s="494" t="s">
        <v>1218</v>
      </c>
      <c r="C11" s="489" t="s">
        <v>1219</v>
      </c>
      <c r="D11" s="495" t="s">
        <v>2820</v>
      </c>
      <c r="E11" s="495">
        <f>172%</f>
        <v>1.72</v>
      </c>
    </row>
    <row r="12" spans="1:5">
      <c r="A12" s="486" t="s">
        <v>480</v>
      </c>
      <c r="B12" s="492" t="s">
        <v>1220</v>
      </c>
      <c r="C12" s="487" t="s">
        <v>1221</v>
      </c>
      <c r="D12" s="493" t="s">
        <v>2820</v>
      </c>
      <c r="E12" s="493">
        <f>20%</f>
        <v>0.2</v>
      </c>
    </row>
    <row r="13" spans="1:5">
      <c r="A13" s="488" t="s">
        <v>292</v>
      </c>
      <c r="B13" s="494" t="s">
        <v>1222</v>
      </c>
      <c r="C13" s="489" t="s">
        <v>1223</v>
      </c>
      <c r="D13" s="494" t="s">
        <v>1224</v>
      </c>
      <c r="E13" s="497">
        <v>-0.1</v>
      </c>
    </row>
    <row r="14" spans="1:5">
      <c r="A14" s="486" t="s">
        <v>483</v>
      </c>
      <c r="B14" s="492" t="s">
        <v>1225</v>
      </c>
      <c r="C14" s="487" t="s">
        <v>1226</v>
      </c>
      <c r="D14" s="492" t="s">
        <v>1227</v>
      </c>
      <c r="E14" s="496">
        <v>-0.06</v>
      </c>
    </row>
    <row r="15" spans="1:5">
      <c r="A15" s="488" t="s">
        <v>241</v>
      </c>
      <c r="B15" s="494" t="s">
        <v>1228</v>
      </c>
      <c r="C15" s="489" t="s">
        <v>1229</v>
      </c>
      <c r="D15" s="495" t="s">
        <v>2820</v>
      </c>
      <c r="E15" s="495">
        <f>5%</f>
        <v>0.05</v>
      </c>
    </row>
    <row r="16" spans="1:5">
      <c r="A16" s="486" t="s">
        <v>406</v>
      </c>
      <c r="B16" s="492" t="s">
        <v>1230</v>
      </c>
      <c r="C16" s="487" t="s">
        <v>1231</v>
      </c>
      <c r="D16" s="493" t="s">
        <v>2820</v>
      </c>
      <c r="E16" s="493">
        <f>30%</f>
        <v>0.3</v>
      </c>
    </row>
    <row r="17" spans="1:5">
      <c r="A17" s="488" t="s">
        <v>407</v>
      </c>
      <c r="B17" s="494" t="s">
        <v>1232</v>
      </c>
      <c r="C17" s="489" t="s">
        <v>1233</v>
      </c>
      <c r="D17" s="494" t="s">
        <v>1234</v>
      </c>
      <c r="E17" s="497">
        <v>-0.71</v>
      </c>
    </row>
    <row r="18" spans="1:5">
      <c r="A18" s="486" t="s">
        <v>236</v>
      </c>
      <c r="B18" s="492" t="s">
        <v>1235</v>
      </c>
      <c r="C18" s="487" t="s">
        <v>1236</v>
      </c>
      <c r="D18" s="493" t="s">
        <v>2820</v>
      </c>
      <c r="E18" s="493">
        <f>47%</f>
        <v>0.47</v>
      </c>
    </row>
    <row r="19" spans="1:5">
      <c r="A19" s="488" t="s">
        <v>408</v>
      </c>
      <c r="B19" s="494" t="s">
        <v>1237</v>
      </c>
      <c r="C19" s="489" t="s">
        <v>1238</v>
      </c>
      <c r="D19" s="494" t="s">
        <v>1239</v>
      </c>
      <c r="E19" s="497">
        <v>-0.68</v>
      </c>
    </row>
    <row r="20" spans="1:5">
      <c r="A20" s="486" t="s">
        <v>242</v>
      </c>
      <c r="B20" s="492" t="s">
        <v>1240</v>
      </c>
      <c r="C20" s="487" t="s">
        <v>1241</v>
      </c>
      <c r="D20" s="492" t="s">
        <v>1242</v>
      </c>
      <c r="E20" s="496">
        <v>-0.41</v>
      </c>
    </row>
    <row r="21" spans="1:5">
      <c r="A21" s="488" t="s">
        <v>243</v>
      </c>
      <c r="B21" s="494" t="s">
        <v>1243</v>
      </c>
      <c r="C21" s="489" t="s">
        <v>1244</v>
      </c>
      <c r="D21" s="494" t="s">
        <v>1245</v>
      </c>
      <c r="E21" s="497">
        <v>-0.01</v>
      </c>
    </row>
    <row r="22" spans="1:5">
      <c r="A22" s="486" t="s">
        <v>492</v>
      </c>
      <c r="B22" s="492" t="s">
        <v>1246</v>
      </c>
      <c r="C22" s="487" t="s">
        <v>493</v>
      </c>
      <c r="D22" s="493" t="s">
        <v>2820</v>
      </c>
      <c r="E22" s="493">
        <f>26%</f>
        <v>0.26</v>
      </c>
    </row>
    <row r="23" spans="1:5">
      <c r="A23" s="488" t="s">
        <v>308</v>
      </c>
      <c r="B23" s="494" t="s">
        <v>1247</v>
      </c>
      <c r="C23" s="489" t="s">
        <v>1248</v>
      </c>
      <c r="D23" s="494" t="s">
        <v>1249</v>
      </c>
      <c r="E23" s="497">
        <v>-0.67</v>
      </c>
    </row>
    <row r="24" spans="1:5">
      <c r="A24" s="486" t="s">
        <v>174</v>
      </c>
      <c r="B24" s="492" t="s">
        <v>1250</v>
      </c>
      <c r="C24" s="487" t="s">
        <v>1251</v>
      </c>
      <c r="D24" s="493" t="s">
        <v>2820</v>
      </c>
      <c r="E24" s="493">
        <f>294%</f>
        <v>2.94</v>
      </c>
    </row>
    <row r="25" spans="1:5">
      <c r="A25" s="488" t="s">
        <v>496</v>
      </c>
      <c r="B25" s="494" t="s">
        <v>1252</v>
      </c>
      <c r="C25" s="489" t="s">
        <v>1253</v>
      </c>
      <c r="D25" s="494" t="s">
        <v>1254</v>
      </c>
      <c r="E25" s="497">
        <v>-0.47</v>
      </c>
    </row>
    <row r="26" spans="1:5">
      <c r="A26" s="486" t="s">
        <v>498</v>
      </c>
      <c r="B26" s="492" t="s">
        <v>1255</v>
      </c>
      <c r="C26" s="487" t="s">
        <v>1256</v>
      </c>
      <c r="D26" s="493" t="s">
        <v>2820</v>
      </c>
      <c r="E26" s="493">
        <f>147%</f>
        <v>1.47</v>
      </c>
    </row>
    <row r="27" spans="1:5">
      <c r="A27" s="488" t="s">
        <v>244</v>
      </c>
      <c r="B27" s="494" t="s">
        <v>1257</v>
      </c>
      <c r="C27" s="489" t="s">
        <v>1258</v>
      </c>
      <c r="D27" s="495" t="s">
        <v>2820</v>
      </c>
      <c r="E27" s="495">
        <f>86%</f>
        <v>0.86</v>
      </c>
    </row>
    <row r="28" spans="1:5">
      <c r="A28" s="486" t="s">
        <v>175</v>
      </c>
      <c r="B28" s="492" t="s">
        <v>1259</v>
      </c>
      <c r="C28" s="487" t="s">
        <v>1260</v>
      </c>
      <c r="D28" s="493" t="s">
        <v>2820</v>
      </c>
      <c r="E28" s="493">
        <f>44%</f>
        <v>0.44</v>
      </c>
    </row>
    <row r="29" spans="1:5">
      <c r="A29" s="488" t="s">
        <v>310</v>
      </c>
      <c r="B29" s="494" t="s">
        <v>1261</v>
      </c>
      <c r="C29" s="489" t="s">
        <v>1262</v>
      </c>
      <c r="D29" s="495" t="s">
        <v>2820</v>
      </c>
      <c r="E29" s="495">
        <f>130%</f>
        <v>1.3</v>
      </c>
    </row>
    <row r="30" spans="1:5">
      <c r="A30" s="486" t="s">
        <v>293</v>
      </c>
      <c r="B30" s="492" t="s">
        <v>1263</v>
      </c>
      <c r="C30" s="487" t="s">
        <v>1264</v>
      </c>
      <c r="D30" s="493" t="s">
        <v>2820</v>
      </c>
      <c r="E30" s="493">
        <f>284%</f>
        <v>2.84</v>
      </c>
    </row>
    <row r="31" spans="1:5">
      <c r="A31" s="488" t="s">
        <v>245</v>
      </c>
      <c r="B31" s="494" t="s">
        <v>1265</v>
      </c>
      <c r="C31" s="489" t="s">
        <v>1266</v>
      </c>
      <c r="D31" s="495" t="s">
        <v>2820</v>
      </c>
      <c r="E31" s="495">
        <f>51%</f>
        <v>0.51</v>
      </c>
    </row>
    <row r="32" spans="1:5">
      <c r="A32" s="486" t="s">
        <v>176</v>
      </c>
      <c r="B32" s="492" t="s">
        <v>1067</v>
      </c>
      <c r="C32" s="487" t="s">
        <v>1267</v>
      </c>
      <c r="D32" s="493" t="s">
        <v>2820</v>
      </c>
      <c r="E32" s="493">
        <f>79%</f>
        <v>0.79</v>
      </c>
    </row>
    <row r="33" spans="1:5">
      <c r="A33" s="488" t="s">
        <v>294</v>
      </c>
      <c r="B33" s="494" t="s">
        <v>1268</v>
      </c>
      <c r="C33" s="489" t="s">
        <v>1269</v>
      </c>
      <c r="D33" s="494" t="s">
        <v>817</v>
      </c>
      <c r="E33" s="497">
        <v>-7.0000000000000007E-2</v>
      </c>
    </row>
    <row r="34" spans="1:5">
      <c r="A34" s="486" t="s">
        <v>178</v>
      </c>
      <c r="B34" s="492" t="s">
        <v>1270</v>
      </c>
      <c r="C34" s="487" t="s">
        <v>892</v>
      </c>
      <c r="D34" s="493" t="s">
        <v>2820</v>
      </c>
      <c r="E34" s="493">
        <f>26%</f>
        <v>0.26</v>
      </c>
    </row>
    <row r="35" spans="1:5">
      <c r="A35" s="488" t="s">
        <v>290</v>
      </c>
      <c r="B35" s="494" t="s">
        <v>1271</v>
      </c>
      <c r="C35" s="489" t="s">
        <v>1272</v>
      </c>
      <c r="D35" s="494" t="s">
        <v>1273</v>
      </c>
      <c r="E35" s="497">
        <v>-0.36</v>
      </c>
    </row>
    <row r="36" spans="1:5">
      <c r="A36" s="486" t="s">
        <v>179</v>
      </c>
      <c r="B36" s="492" t="s">
        <v>1274</v>
      </c>
      <c r="C36" s="487" t="s">
        <v>1275</v>
      </c>
      <c r="D36" s="493" t="s">
        <v>2820</v>
      </c>
      <c r="E36" s="493">
        <f>314%</f>
        <v>3.14</v>
      </c>
    </row>
    <row r="37" spans="1:5">
      <c r="A37" s="488" t="s">
        <v>510</v>
      </c>
      <c r="B37" s="494" t="s">
        <v>1276</v>
      </c>
      <c r="C37" s="489" t="s">
        <v>1277</v>
      </c>
      <c r="D37" s="495" t="s">
        <v>2820</v>
      </c>
      <c r="E37" s="495">
        <f>45%</f>
        <v>0.45</v>
      </c>
    </row>
    <row r="38" spans="1:5">
      <c r="A38" s="486" t="s">
        <v>180</v>
      </c>
      <c r="B38" s="492" t="s">
        <v>1269</v>
      </c>
      <c r="C38" s="487" t="s">
        <v>1278</v>
      </c>
      <c r="D38" s="493" t="s">
        <v>2820</v>
      </c>
      <c r="E38" s="493">
        <f>411%</f>
        <v>4.1100000000000003</v>
      </c>
    </row>
    <row r="39" spans="1:5">
      <c r="A39" s="488" t="s">
        <v>513</v>
      </c>
      <c r="B39" s="494" t="s">
        <v>1279</v>
      </c>
      <c r="C39" s="489" t="s">
        <v>1280</v>
      </c>
      <c r="D39" s="495" t="s">
        <v>2820</v>
      </c>
      <c r="E39" s="495">
        <f>81%</f>
        <v>0.81</v>
      </c>
    </row>
    <row r="40" spans="1:5">
      <c r="A40" s="486" t="s">
        <v>181</v>
      </c>
      <c r="B40" s="492" t="s">
        <v>1281</v>
      </c>
      <c r="C40" s="487" t="s">
        <v>1282</v>
      </c>
      <c r="D40" s="492" t="s">
        <v>1283</v>
      </c>
      <c r="E40" s="496">
        <v>-0.05</v>
      </c>
    </row>
    <row r="41" spans="1:5">
      <c r="A41" s="488" t="s">
        <v>311</v>
      </c>
      <c r="B41" s="494" t="s">
        <v>1284</v>
      </c>
      <c r="C41" s="489" t="s">
        <v>1285</v>
      </c>
      <c r="D41" s="495" t="s">
        <v>2820</v>
      </c>
      <c r="E41" s="495">
        <f>27%</f>
        <v>0.27</v>
      </c>
    </row>
    <row r="42" spans="1:5">
      <c r="A42" s="486" t="s">
        <v>295</v>
      </c>
      <c r="B42" s="492" t="s">
        <v>812</v>
      </c>
      <c r="C42" s="487" t="s">
        <v>1286</v>
      </c>
      <c r="D42" s="493" t="s">
        <v>2820</v>
      </c>
      <c r="E42" s="493">
        <f>923%</f>
        <v>9.23</v>
      </c>
    </row>
    <row r="43" spans="1:5">
      <c r="A43" s="488" t="s">
        <v>312</v>
      </c>
      <c r="B43" s="494" t="s">
        <v>1287</v>
      </c>
      <c r="C43" s="489" t="s">
        <v>1288</v>
      </c>
      <c r="D43" s="495" t="s">
        <v>2820</v>
      </c>
      <c r="E43" s="495">
        <f>31%</f>
        <v>0.31</v>
      </c>
    </row>
    <row r="44" spans="1:5">
      <c r="A44" s="486" t="s">
        <v>415</v>
      </c>
      <c r="B44" s="492" t="s">
        <v>1289</v>
      </c>
      <c r="C44" s="487" t="s">
        <v>742</v>
      </c>
      <c r="D44" s="492" t="s">
        <v>1290</v>
      </c>
      <c r="E44" s="496">
        <v>-0.76</v>
      </c>
    </row>
    <row r="45" spans="1:5">
      <c r="A45" s="488" t="s">
        <v>313</v>
      </c>
      <c r="B45" s="494" t="s">
        <v>1291</v>
      </c>
      <c r="C45" s="489" t="s">
        <v>1292</v>
      </c>
      <c r="D45" s="495" t="s">
        <v>2820</v>
      </c>
      <c r="E45" s="495">
        <f>106%</f>
        <v>1.06</v>
      </c>
    </row>
    <row r="46" spans="1:5">
      <c r="A46" s="486" t="s">
        <v>521</v>
      </c>
      <c r="B46" s="492" t="s">
        <v>1293</v>
      </c>
      <c r="C46" s="487" t="s">
        <v>1294</v>
      </c>
      <c r="D46" s="492" t="s">
        <v>1295</v>
      </c>
      <c r="E46" s="496">
        <v>-0.73</v>
      </c>
    </row>
    <row r="47" spans="1:5">
      <c r="A47" s="488" t="s">
        <v>246</v>
      </c>
      <c r="B47" s="494" t="s">
        <v>1296</v>
      </c>
      <c r="C47" s="489" t="s">
        <v>1297</v>
      </c>
      <c r="D47" s="495" t="s">
        <v>2820</v>
      </c>
      <c r="E47" s="495">
        <f>49%</f>
        <v>0.49</v>
      </c>
    </row>
    <row r="48" spans="1:5">
      <c r="A48" s="486" t="s">
        <v>416</v>
      </c>
      <c r="B48" s="492" t="s">
        <v>1298</v>
      </c>
      <c r="C48" s="487" t="s">
        <v>1299</v>
      </c>
      <c r="D48" s="493" t="s">
        <v>2820</v>
      </c>
      <c r="E48" s="493">
        <f>60%</f>
        <v>0.6</v>
      </c>
    </row>
    <row r="49" spans="1:5">
      <c r="A49" s="488" t="s">
        <v>417</v>
      </c>
      <c r="B49" s="494" t="s">
        <v>1300</v>
      </c>
      <c r="C49" s="489" t="s">
        <v>1301</v>
      </c>
      <c r="D49" s="495" t="s">
        <v>2820</v>
      </c>
      <c r="E49" s="495">
        <f>75%</f>
        <v>0.75</v>
      </c>
    </row>
    <row r="50" spans="1:5">
      <c r="A50" s="486" t="s">
        <v>247</v>
      </c>
      <c r="B50" s="492" t="s">
        <v>1302</v>
      </c>
      <c r="C50" s="487" t="s">
        <v>1303</v>
      </c>
      <c r="D50" s="492" t="s">
        <v>1304</v>
      </c>
      <c r="E50" s="496">
        <v>-0.13</v>
      </c>
    </row>
    <row r="51" spans="1:5">
      <c r="A51" s="488" t="s">
        <v>527</v>
      </c>
      <c r="B51" s="494" t="s">
        <v>1305</v>
      </c>
      <c r="C51" s="489" t="s">
        <v>528</v>
      </c>
      <c r="D51" s="494" t="s">
        <v>1306</v>
      </c>
      <c r="E51" s="497">
        <v>-0.18</v>
      </c>
    </row>
    <row r="52" spans="1:5">
      <c r="A52" s="486" t="s">
        <v>248</v>
      </c>
      <c r="B52" s="492" t="s">
        <v>1307</v>
      </c>
      <c r="C52" s="487" t="s">
        <v>1308</v>
      </c>
      <c r="D52" s="493" t="s">
        <v>2820</v>
      </c>
      <c r="E52" s="493">
        <f>37%</f>
        <v>0.37</v>
      </c>
    </row>
    <row r="53" spans="1:5">
      <c r="A53" s="488" t="s">
        <v>184</v>
      </c>
      <c r="B53" s="494" t="s">
        <v>1309</v>
      </c>
      <c r="C53" s="489" t="s">
        <v>1310</v>
      </c>
      <c r="D53" s="494" t="s">
        <v>1311</v>
      </c>
      <c r="E53" s="497">
        <v>-0.14000000000000001</v>
      </c>
    </row>
    <row r="54" spans="1:5">
      <c r="A54" s="486" t="s">
        <v>419</v>
      </c>
      <c r="B54" s="492" t="s">
        <v>1312</v>
      </c>
      <c r="C54" s="487" t="s">
        <v>1313</v>
      </c>
      <c r="D54" s="493" t="s">
        <v>2820</v>
      </c>
      <c r="E54" s="493">
        <f>148%</f>
        <v>1.48</v>
      </c>
    </row>
    <row r="55" spans="1:5">
      <c r="A55" s="488" t="s">
        <v>420</v>
      </c>
      <c r="B55" s="494" t="s">
        <v>1314</v>
      </c>
      <c r="C55" s="489" t="s">
        <v>1315</v>
      </c>
      <c r="D55" s="495" t="s">
        <v>2820</v>
      </c>
      <c r="E55" s="495">
        <f>91%</f>
        <v>0.91</v>
      </c>
    </row>
    <row r="56" spans="1:5">
      <c r="A56" s="486" t="s">
        <v>533</v>
      </c>
      <c r="B56" s="492" t="s">
        <v>1316</v>
      </c>
      <c r="C56" s="487" t="s">
        <v>1317</v>
      </c>
      <c r="D56" s="493" t="s">
        <v>2820</v>
      </c>
      <c r="E56" s="493">
        <f>29%</f>
        <v>0.28999999999999998</v>
      </c>
    </row>
    <row r="57" spans="1:5">
      <c r="A57" s="488" t="s">
        <v>535</v>
      </c>
      <c r="B57" s="494" t="s">
        <v>1318</v>
      </c>
      <c r="C57" s="489" t="s">
        <v>1319</v>
      </c>
      <c r="D57" s="495" t="s">
        <v>2820</v>
      </c>
      <c r="E57" s="495">
        <f>610%</f>
        <v>6.1</v>
      </c>
    </row>
    <row r="58" spans="1:5">
      <c r="A58" s="486" t="s">
        <v>537</v>
      </c>
      <c r="B58" s="492" t="s">
        <v>1320</v>
      </c>
      <c r="C58" s="487" t="s">
        <v>1321</v>
      </c>
      <c r="D58" s="493" t="s">
        <v>2820</v>
      </c>
      <c r="E58" s="493">
        <f>9%</f>
        <v>0.09</v>
      </c>
    </row>
    <row r="59" spans="1:5">
      <c r="A59" s="488" t="s">
        <v>314</v>
      </c>
      <c r="B59" s="494" t="s">
        <v>1322</v>
      </c>
      <c r="C59" s="489" t="s">
        <v>1323</v>
      </c>
      <c r="D59" s="495" t="s">
        <v>2820</v>
      </c>
      <c r="E59" s="495">
        <f>5%</f>
        <v>0.05</v>
      </c>
    </row>
    <row r="60" spans="1:5">
      <c r="A60" s="486" t="s">
        <v>224</v>
      </c>
      <c r="B60" s="492" t="s">
        <v>1324</v>
      </c>
      <c r="C60" s="487" t="s">
        <v>1325</v>
      </c>
      <c r="D60" s="493" t="s">
        <v>2820</v>
      </c>
      <c r="E60" s="493">
        <f>35%</f>
        <v>0.35</v>
      </c>
    </row>
    <row r="61" spans="1:5">
      <c r="A61" s="488" t="s">
        <v>315</v>
      </c>
      <c r="B61" s="494" t="s">
        <v>1326</v>
      </c>
      <c r="C61" s="489" t="s">
        <v>1327</v>
      </c>
      <c r="D61" s="495" t="s">
        <v>2820</v>
      </c>
      <c r="E61" s="495">
        <f>66%</f>
        <v>0.66</v>
      </c>
    </row>
    <row r="62" spans="1:5">
      <c r="A62" s="486" t="s">
        <v>249</v>
      </c>
      <c r="B62" s="492" t="s">
        <v>1328</v>
      </c>
      <c r="C62" s="487" t="s">
        <v>1329</v>
      </c>
      <c r="D62" s="492" t="s">
        <v>1330</v>
      </c>
      <c r="E62" s="496">
        <v>-0.01</v>
      </c>
    </row>
    <row r="63" spans="1:5">
      <c r="A63" s="488" t="s">
        <v>421</v>
      </c>
      <c r="B63" s="494" t="s">
        <v>1331</v>
      </c>
      <c r="C63" s="489" t="s">
        <v>1332</v>
      </c>
      <c r="D63" s="494" t="s">
        <v>1333</v>
      </c>
      <c r="E63" s="497">
        <v>-0.27</v>
      </c>
    </row>
    <row r="64" spans="1:5">
      <c r="A64" s="486" t="s">
        <v>187</v>
      </c>
      <c r="B64" s="492" t="s">
        <v>1334</v>
      </c>
      <c r="C64" s="487" t="s">
        <v>1335</v>
      </c>
      <c r="D64" s="493" t="s">
        <v>2820</v>
      </c>
      <c r="E64" s="493">
        <f>107%</f>
        <v>1.07</v>
      </c>
    </row>
    <row r="65" spans="1:5">
      <c r="A65" s="488" t="s">
        <v>545</v>
      </c>
      <c r="B65" s="494" t="s">
        <v>1336</v>
      </c>
      <c r="C65" s="489" t="s">
        <v>546</v>
      </c>
      <c r="D65" s="494" t="s">
        <v>1337</v>
      </c>
      <c r="E65" s="497">
        <v>-0.32</v>
      </c>
    </row>
    <row r="66" spans="1:5">
      <c r="A66" s="486" t="s">
        <v>103</v>
      </c>
      <c r="B66" s="492" t="s">
        <v>1338</v>
      </c>
      <c r="C66" s="487" t="s">
        <v>1339</v>
      </c>
      <c r="D66" s="493" t="s">
        <v>2820</v>
      </c>
      <c r="E66" s="493">
        <f>26%</f>
        <v>0.26</v>
      </c>
    </row>
    <row r="67" spans="1:5">
      <c r="A67" s="488" t="s">
        <v>548</v>
      </c>
      <c r="B67" s="494" t="s">
        <v>1340</v>
      </c>
      <c r="C67" s="489" t="s">
        <v>1341</v>
      </c>
      <c r="D67" s="495" t="s">
        <v>2820</v>
      </c>
      <c r="E67" s="495">
        <f>29%</f>
        <v>0.28999999999999998</v>
      </c>
    </row>
    <row r="68" spans="1:5">
      <c r="A68" s="486" t="s">
        <v>550</v>
      </c>
      <c r="B68" s="492" t="s">
        <v>1342</v>
      </c>
      <c r="C68" s="487" t="s">
        <v>1343</v>
      </c>
      <c r="D68" s="493" t="s">
        <v>2820</v>
      </c>
      <c r="E68" s="493">
        <f>32%</f>
        <v>0.32</v>
      </c>
    </row>
    <row r="69" spans="1:5">
      <c r="A69" s="488" t="s">
        <v>422</v>
      </c>
      <c r="B69" s="494" t="s">
        <v>1344</v>
      </c>
      <c r="C69" s="489" t="s">
        <v>1345</v>
      </c>
      <c r="D69" s="494" t="s">
        <v>1346</v>
      </c>
      <c r="E69" s="497">
        <v>-0.28999999999999998</v>
      </c>
    </row>
    <row r="70" spans="1:5">
      <c r="A70" s="486" t="s">
        <v>250</v>
      </c>
      <c r="B70" s="492" t="s">
        <v>1347</v>
      </c>
      <c r="C70" s="487" t="s">
        <v>1348</v>
      </c>
      <c r="D70" s="493" t="s">
        <v>2820</v>
      </c>
      <c r="E70" s="493">
        <f>28%</f>
        <v>0.28000000000000003</v>
      </c>
    </row>
    <row r="71" spans="1:5">
      <c r="A71" s="488" t="s">
        <v>251</v>
      </c>
      <c r="B71" s="494" t="s">
        <v>1349</v>
      </c>
      <c r="C71" s="489" t="s">
        <v>1350</v>
      </c>
      <c r="D71" s="495" t="s">
        <v>2820</v>
      </c>
      <c r="E71" s="495">
        <f>19%</f>
        <v>0.19</v>
      </c>
    </row>
    <row r="72" spans="1:5">
      <c r="A72" s="486" t="s">
        <v>423</v>
      </c>
      <c r="B72" s="492" t="s">
        <v>1351</v>
      </c>
      <c r="C72" s="487" t="s">
        <v>1352</v>
      </c>
      <c r="D72" s="493" t="s">
        <v>2820</v>
      </c>
      <c r="E72" s="493">
        <f>25%</f>
        <v>0.25</v>
      </c>
    </row>
    <row r="73" spans="1:5">
      <c r="A73" s="488" t="s">
        <v>188</v>
      </c>
      <c r="B73" s="494" t="s">
        <v>1353</v>
      </c>
      <c r="C73" s="489" t="s">
        <v>1354</v>
      </c>
      <c r="D73" s="495" t="s">
        <v>2820</v>
      </c>
      <c r="E73" s="495">
        <f>167%</f>
        <v>1.67</v>
      </c>
    </row>
    <row r="74" spans="1:5">
      <c r="A74" s="486" t="s">
        <v>424</v>
      </c>
      <c r="B74" s="492" t="s">
        <v>1355</v>
      </c>
      <c r="C74" s="487" t="s">
        <v>1356</v>
      </c>
      <c r="D74" s="493" t="s">
        <v>2820</v>
      </c>
      <c r="E74" s="493">
        <f>175%</f>
        <v>1.75</v>
      </c>
    </row>
    <row r="75" spans="1:5">
      <c r="A75" s="488" t="s">
        <v>282</v>
      </c>
      <c r="B75" s="494" t="s">
        <v>1357</v>
      </c>
      <c r="C75" s="489" t="s">
        <v>1358</v>
      </c>
      <c r="D75" s="495" t="s">
        <v>2820</v>
      </c>
      <c r="E75" s="495">
        <f>99%</f>
        <v>0.99</v>
      </c>
    </row>
    <row r="76" spans="1:5">
      <c r="A76" s="486" t="s">
        <v>252</v>
      </c>
      <c r="B76" s="492" t="s">
        <v>1359</v>
      </c>
      <c r="C76" s="487" t="s">
        <v>1360</v>
      </c>
      <c r="D76" s="493" t="s">
        <v>2820</v>
      </c>
      <c r="E76" s="493">
        <f>56%</f>
        <v>0.56000000000000005</v>
      </c>
    </row>
    <row r="77" spans="1:5">
      <c r="A77" s="488" t="s">
        <v>190</v>
      </c>
      <c r="B77" s="494" t="s">
        <v>1361</v>
      </c>
      <c r="C77" s="489" t="s">
        <v>1362</v>
      </c>
      <c r="D77" s="494" t="s">
        <v>1363</v>
      </c>
      <c r="E77" s="497">
        <v>-7.0000000000000007E-2</v>
      </c>
    </row>
    <row r="78" spans="1:5">
      <c r="A78" s="486" t="s">
        <v>253</v>
      </c>
      <c r="B78" s="492" t="s">
        <v>1364</v>
      </c>
      <c r="C78" s="487" t="s">
        <v>1365</v>
      </c>
      <c r="D78" s="493" t="s">
        <v>2820</v>
      </c>
      <c r="E78" s="493">
        <f>126%</f>
        <v>1.26</v>
      </c>
    </row>
    <row r="79" spans="1:5">
      <c r="A79" s="488" t="s">
        <v>425</v>
      </c>
      <c r="B79" s="494" t="s">
        <v>1366</v>
      </c>
      <c r="C79" s="489" t="s">
        <v>1367</v>
      </c>
      <c r="D79" s="494" t="s">
        <v>1368</v>
      </c>
      <c r="E79" s="497">
        <v>-0.06</v>
      </c>
    </row>
    <row r="80" spans="1:5">
      <c r="A80" s="486" t="s">
        <v>316</v>
      </c>
      <c r="B80" s="492" t="s">
        <v>1369</v>
      </c>
      <c r="C80" s="487" t="s">
        <v>1370</v>
      </c>
      <c r="D80" s="493" t="s">
        <v>2820</v>
      </c>
      <c r="E80" s="493">
        <f>8%</f>
        <v>0.08</v>
      </c>
    </row>
    <row r="81" spans="1:5">
      <c r="A81" s="488" t="s">
        <v>191</v>
      </c>
      <c r="B81" s="494" t="s">
        <v>1371</v>
      </c>
      <c r="C81" s="489" t="s">
        <v>1372</v>
      </c>
      <c r="D81" s="495" t="s">
        <v>2820</v>
      </c>
      <c r="E81" s="495">
        <f>89%</f>
        <v>0.89</v>
      </c>
    </row>
    <row r="82" spans="1:5">
      <c r="A82" s="486" t="s">
        <v>192</v>
      </c>
      <c r="B82" s="492" t="s">
        <v>1373</v>
      </c>
      <c r="C82" s="487" t="s">
        <v>1374</v>
      </c>
      <c r="D82" s="493" t="s">
        <v>2820</v>
      </c>
      <c r="E82" s="493">
        <f>22%</f>
        <v>0.22</v>
      </c>
    </row>
    <row r="83" spans="1:5">
      <c r="A83" s="488" t="s">
        <v>317</v>
      </c>
      <c r="B83" s="494" t="s">
        <v>1375</v>
      </c>
      <c r="C83" s="489" t="s">
        <v>1376</v>
      </c>
      <c r="D83" s="495" t="s">
        <v>2820</v>
      </c>
      <c r="E83" s="495">
        <f>27%</f>
        <v>0.27</v>
      </c>
    </row>
    <row r="84" spans="1:5">
      <c r="A84" s="486" t="s">
        <v>426</v>
      </c>
      <c r="B84" s="492" t="s">
        <v>1377</v>
      </c>
      <c r="C84" s="487" t="s">
        <v>1378</v>
      </c>
      <c r="D84" s="492" t="s">
        <v>1379</v>
      </c>
      <c r="E84" s="496">
        <v>-0.37</v>
      </c>
    </row>
    <row r="85" spans="1:5">
      <c r="A85" s="488" t="s">
        <v>318</v>
      </c>
      <c r="B85" s="494" t="s">
        <v>1380</v>
      </c>
      <c r="C85" s="489" t="s">
        <v>1381</v>
      </c>
      <c r="D85" s="495" t="s">
        <v>2820</v>
      </c>
      <c r="E85" s="495">
        <f>31%</f>
        <v>0.31</v>
      </c>
    </row>
    <row r="86" spans="1:5">
      <c r="A86" s="486" t="s">
        <v>569</v>
      </c>
      <c r="B86" s="492" t="s">
        <v>1382</v>
      </c>
      <c r="C86" s="487" t="s">
        <v>1383</v>
      </c>
      <c r="D86" s="493" t="s">
        <v>2820</v>
      </c>
      <c r="E86" s="493">
        <f>34%</f>
        <v>0.34</v>
      </c>
    </row>
    <row r="87" spans="1:5">
      <c r="A87" s="488" t="s">
        <v>254</v>
      </c>
      <c r="B87" s="494" t="s">
        <v>1384</v>
      </c>
      <c r="C87" s="489" t="s">
        <v>1385</v>
      </c>
      <c r="D87" s="495" t="s">
        <v>2820</v>
      </c>
      <c r="E87" s="495">
        <f>57%</f>
        <v>0.56999999999999995</v>
      </c>
    </row>
    <row r="88" spans="1:5">
      <c r="A88" s="486" t="s">
        <v>255</v>
      </c>
      <c r="B88" s="492" t="s">
        <v>1386</v>
      </c>
      <c r="C88" s="487" t="s">
        <v>1387</v>
      </c>
      <c r="D88" s="492" t="s">
        <v>1388</v>
      </c>
      <c r="E88" s="496">
        <v>-0.34</v>
      </c>
    </row>
    <row r="89" spans="1:5">
      <c r="A89" s="488" t="s">
        <v>237</v>
      </c>
      <c r="B89" s="494" t="s">
        <v>1389</v>
      </c>
      <c r="C89" s="489" t="s">
        <v>1390</v>
      </c>
      <c r="D89" s="495" t="s">
        <v>2820</v>
      </c>
      <c r="E89" s="495">
        <f>178%</f>
        <v>1.78</v>
      </c>
    </row>
    <row r="90" spans="1:5">
      <c r="A90" s="486" t="s">
        <v>296</v>
      </c>
      <c r="B90" s="492" t="s">
        <v>818</v>
      </c>
      <c r="C90" s="487" t="s">
        <v>1391</v>
      </c>
      <c r="D90" s="493" t="s">
        <v>2820</v>
      </c>
      <c r="E90" s="493">
        <f>95%</f>
        <v>0.95</v>
      </c>
    </row>
    <row r="91" spans="1:5">
      <c r="A91" s="488" t="s">
        <v>225</v>
      </c>
      <c r="B91" s="494" t="s">
        <v>1392</v>
      </c>
      <c r="C91" s="489" t="s">
        <v>1393</v>
      </c>
      <c r="D91" s="495" t="s">
        <v>2820</v>
      </c>
      <c r="E91" s="495">
        <f>5%</f>
        <v>0.05</v>
      </c>
    </row>
    <row r="92" spans="1:5">
      <c r="A92" s="486" t="s">
        <v>226</v>
      </c>
      <c r="B92" s="492" t="s">
        <v>1394</v>
      </c>
      <c r="C92" s="487" t="s">
        <v>1395</v>
      </c>
      <c r="D92" s="492" t="s">
        <v>1396</v>
      </c>
      <c r="E92" s="496">
        <v>-0.77</v>
      </c>
    </row>
    <row r="93" spans="1:5">
      <c r="A93" s="488" t="s">
        <v>256</v>
      </c>
      <c r="B93" s="494" t="s">
        <v>1397</v>
      </c>
      <c r="C93" s="489" t="s">
        <v>1398</v>
      </c>
      <c r="D93" s="494" t="s">
        <v>1399</v>
      </c>
      <c r="E93" s="497">
        <v>-0.17</v>
      </c>
    </row>
    <row r="94" spans="1:5">
      <c r="A94" s="486" t="s">
        <v>227</v>
      </c>
      <c r="B94" s="492" t="s">
        <v>1400</v>
      </c>
      <c r="C94" s="487" t="s">
        <v>1401</v>
      </c>
      <c r="D94" s="493" t="s">
        <v>2820</v>
      </c>
      <c r="E94" s="493">
        <f>24%</f>
        <v>0.24</v>
      </c>
    </row>
    <row r="95" spans="1:5">
      <c r="A95" s="488" t="s">
        <v>257</v>
      </c>
      <c r="B95" s="494" t="s">
        <v>1402</v>
      </c>
      <c r="C95" s="489" t="s">
        <v>1403</v>
      </c>
      <c r="D95" s="495" t="s">
        <v>2820</v>
      </c>
      <c r="E95" s="495">
        <f>56%</f>
        <v>0.56000000000000005</v>
      </c>
    </row>
    <row r="96" spans="1:5">
      <c r="A96" s="486" t="s">
        <v>428</v>
      </c>
      <c r="B96" s="492" t="s">
        <v>1404</v>
      </c>
      <c r="C96" s="487" t="s">
        <v>1405</v>
      </c>
      <c r="D96" s="493" t="s">
        <v>2820</v>
      </c>
      <c r="E96" s="493">
        <f>66%</f>
        <v>0.66</v>
      </c>
    </row>
    <row r="97" spans="1:5">
      <c r="A97" s="488" t="s">
        <v>297</v>
      </c>
      <c r="B97" s="494" t="s">
        <v>1406</v>
      </c>
      <c r="C97" s="489" t="s">
        <v>1407</v>
      </c>
      <c r="D97" s="495" t="s">
        <v>2820</v>
      </c>
      <c r="E97" s="495">
        <f>136%</f>
        <v>1.36</v>
      </c>
    </row>
    <row r="98" spans="1:5">
      <c r="A98" s="486" t="s">
        <v>228</v>
      </c>
      <c r="B98" s="492" t="s">
        <v>1408</v>
      </c>
      <c r="C98" s="487" t="s">
        <v>1409</v>
      </c>
      <c r="D98" s="493" t="s">
        <v>2820</v>
      </c>
      <c r="E98" s="493">
        <f>18%</f>
        <v>0.18</v>
      </c>
    </row>
    <row r="99" spans="1:5">
      <c r="A99" s="488" t="s">
        <v>283</v>
      </c>
      <c r="B99" s="494" t="s">
        <v>1410</v>
      </c>
      <c r="C99" s="489" t="s">
        <v>1411</v>
      </c>
      <c r="D99" s="495" t="s">
        <v>2820</v>
      </c>
      <c r="E99" s="495">
        <f>79%</f>
        <v>0.79</v>
      </c>
    </row>
    <row r="100" spans="1:5">
      <c r="A100" s="486" t="s">
        <v>193</v>
      </c>
      <c r="B100" s="492" t="s">
        <v>1412</v>
      </c>
      <c r="C100" s="487" t="s">
        <v>1413</v>
      </c>
      <c r="D100" s="493" t="s">
        <v>2820</v>
      </c>
      <c r="E100" s="493">
        <f>13%</f>
        <v>0.13</v>
      </c>
    </row>
    <row r="101" spans="1:5">
      <c r="A101" s="488" t="s">
        <v>429</v>
      </c>
      <c r="B101" s="494" t="s">
        <v>842</v>
      </c>
      <c r="C101" s="489" t="s">
        <v>1414</v>
      </c>
      <c r="D101" s="495" t="s">
        <v>2820</v>
      </c>
      <c r="E101" s="495"/>
    </row>
    <row r="102" spans="1:5">
      <c r="A102" s="486" t="s">
        <v>229</v>
      </c>
      <c r="B102" s="492" t="s">
        <v>1415</v>
      </c>
      <c r="C102" s="487" t="s">
        <v>1416</v>
      </c>
      <c r="D102" s="492" t="s">
        <v>1417</v>
      </c>
      <c r="E102" s="496">
        <v>-0.59</v>
      </c>
    </row>
    <row r="103" spans="1:5">
      <c r="A103" s="488" t="s">
        <v>430</v>
      </c>
      <c r="B103" s="494" t="s">
        <v>1418</v>
      </c>
      <c r="C103" s="489" t="s">
        <v>1419</v>
      </c>
      <c r="D103" s="495" t="s">
        <v>2820</v>
      </c>
      <c r="E103" s="495">
        <f>26%</f>
        <v>0.26</v>
      </c>
    </row>
    <row r="104" spans="1:5">
      <c r="A104" s="486" t="s">
        <v>588</v>
      </c>
      <c r="B104" s="492" t="s">
        <v>1420</v>
      </c>
      <c r="C104" s="487" t="s">
        <v>1421</v>
      </c>
      <c r="D104" s="493" t="s">
        <v>2820</v>
      </c>
      <c r="E104" s="493">
        <f>82%</f>
        <v>0.82</v>
      </c>
    </row>
    <row r="105" spans="1:5">
      <c r="A105" s="488" t="s">
        <v>590</v>
      </c>
      <c r="B105" s="494" t="s">
        <v>1422</v>
      </c>
      <c r="C105" s="489" t="s">
        <v>1423</v>
      </c>
      <c r="D105" s="495" t="s">
        <v>2820</v>
      </c>
      <c r="E105" s="495">
        <f>58%</f>
        <v>0.57999999999999996</v>
      </c>
    </row>
    <row r="106" spans="1:5">
      <c r="A106" s="486" t="s">
        <v>258</v>
      </c>
      <c r="B106" s="492" t="s">
        <v>1424</v>
      </c>
      <c r="C106" s="487" t="s">
        <v>1425</v>
      </c>
      <c r="D106" s="492" t="s">
        <v>1426</v>
      </c>
      <c r="E106" s="496">
        <v>-0.05</v>
      </c>
    </row>
    <row r="107" spans="1:5">
      <c r="A107" s="488" t="s">
        <v>593</v>
      </c>
      <c r="B107" s="494" t="s">
        <v>1427</v>
      </c>
      <c r="C107" s="489" t="s">
        <v>1428</v>
      </c>
      <c r="D107" s="495" t="s">
        <v>2820</v>
      </c>
      <c r="E107" s="495">
        <f>46%</f>
        <v>0.46</v>
      </c>
    </row>
    <row r="108" spans="1:5">
      <c r="A108" s="486" t="s">
        <v>230</v>
      </c>
      <c r="B108" s="492" t="s">
        <v>1429</v>
      </c>
      <c r="C108" s="487" t="s">
        <v>1430</v>
      </c>
      <c r="D108" s="492" t="s">
        <v>1431</v>
      </c>
      <c r="E108" s="496">
        <v>-0.05</v>
      </c>
    </row>
    <row r="109" spans="1:5">
      <c r="A109" s="488" t="s">
        <v>194</v>
      </c>
      <c r="B109" s="494" t="s">
        <v>1432</v>
      </c>
      <c r="C109" s="489" t="s">
        <v>1433</v>
      </c>
      <c r="D109" s="495" t="s">
        <v>2820</v>
      </c>
      <c r="E109" s="495">
        <f>2%</f>
        <v>0.02</v>
      </c>
    </row>
    <row r="110" spans="1:5">
      <c r="A110" s="486" t="s">
        <v>195</v>
      </c>
      <c r="B110" s="492" t="s">
        <v>1031</v>
      </c>
      <c r="C110" s="487" t="s">
        <v>1434</v>
      </c>
      <c r="D110" s="492" t="s">
        <v>1435</v>
      </c>
      <c r="E110" s="496">
        <v>-0.86</v>
      </c>
    </row>
    <row r="111" spans="1:5">
      <c r="A111" s="488" t="s">
        <v>259</v>
      </c>
      <c r="B111" s="494" t="s">
        <v>1436</v>
      </c>
      <c r="C111" s="489" t="s">
        <v>1437</v>
      </c>
      <c r="D111" s="495" t="s">
        <v>2820</v>
      </c>
      <c r="E111" s="495">
        <f>138%</f>
        <v>1.38</v>
      </c>
    </row>
    <row r="112" spans="1:5">
      <c r="A112" s="486" t="s">
        <v>599</v>
      </c>
      <c r="B112" s="492" t="s">
        <v>603</v>
      </c>
      <c r="C112" s="487" t="s">
        <v>1438</v>
      </c>
      <c r="D112" s="493" t="s">
        <v>2820</v>
      </c>
      <c r="E112" s="493">
        <f>92%</f>
        <v>0.92</v>
      </c>
    </row>
    <row r="113" spans="1:5">
      <c r="A113" s="488" t="s">
        <v>260</v>
      </c>
      <c r="B113" s="494" t="s">
        <v>1439</v>
      </c>
      <c r="C113" s="489" t="s">
        <v>1440</v>
      </c>
      <c r="D113" s="494" t="s">
        <v>1441</v>
      </c>
      <c r="E113" s="497">
        <v>-0.39</v>
      </c>
    </row>
    <row r="114" spans="1:5">
      <c r="A114" s="486" t="s">
        <v>602</v>
      </c>
      <c r="B114" s="492" t="s">
        <v>1442</v>
      </c>
      <c r="C114" s="487" t="s">
        <v>1443</v>
      </c>
      <c r="D114" s="493" t="s">
        <v>2820</v>
      </c>
      <c r="E114" s="493">
        <f>355%</f>
        <v>3.55</v>
      </c>
    </row>
    <row r="115" spans="1:5">
      <c r="A115" s="488" t="s">
        <v>196</v>
      </c>
      <c r="B115" s="494" t="s">
        <v>1444</v>
      </c>
      <c r="C115" s="489" t="s">
        <v>1445</v>
      </c>
      <c r="D115" s="494" t="s">
        <v>1446</v>
      </c>
      <c r="E115" s="497">
        <v>-0.63</v>
      </c>
    </row>
    <row r="116" spans="1:5">
      <c r="A116" s="486" t="s">
        <v>197</v>
      </c>
      <c r="B116" s="492" t="s">
        <v>1133</v>
      </c>
      <c r="C116" s="487" t="s">
        <v>1250</v>
      </c>
      <c r="D116" s="492" t="s">
        <v>1447</v>
      </c>
      <c r="E116" s="496">
        <v>-0.05</v>
      </c>
    </row>
    <row r="117" spans="1:5">
      <c r="A117" s="488" t="s">
        <v>298</v>
      </c>
      <c r="B117" s="494" t="s">
        <v>1448</v>
      </c>
      <c r="C117" s="489" t="s">
        <v>1449</v>
      </c>
      <c r="D117" s="494" t="s">
        <v>1450</v>
      </c>
      <c r="E117" s="497">
        <v>-0.81</v>
      </c>
    </row>
    <row r="118" spans="1:5">
      <c r="A118" s="486" t="s">
        <v>432</v>
      </c>
      <c r="B118" s="492" t="s">
        <v>842</v>
      </c>
      <c r="C118" s="487" t="s">
        <v>1451</v>
      </c>
      <c r="D118" s="493" t="s">
        <v>2820</v>
      </c>
      <c r="E118" s="493"/>
    </row>
    <row r="119" spans="1:5">
      <c r="A119" s="488" t="s">
        <v>198</v>
      </c>
      <c r="B119" s="494" t="s">
        <v>1452</v>
      </c>
      <c r="C119" s="489" t="s">
        <v>1453</v>
      </c>
      <c r="D119" s="495" t="s">
        <v>2820</v>
      </c>
      <c r="E119" s="495">
        <f>78%</f>
        <v>0.78</v>
      </c>
    </row>
    <row r="120" spans="1:5">
      <c r="A120" s="486" t="s">
        <v>261</v>
      </c>
      <c r="B120" s="492" t="s">
        <v>1454</v>
      </c>
      <c r="C120" s="487" t="s">
        <v>1455</v>
      </c>
      <c r="D120" s="492" t="s">
        <v>1456</v>
      </c>
      <c r="E120" s="496">
        <v>-0.23</v>
      </c>
    </row>
    <row r="121" spans="1:5">
      <c r="A121" s="488" t="s">
        <v>199</v>
      </c>
      <c r="B121" s="494" t="s">
        <v>1457</v>
      </c>
      <c r="C121" s="489" t="s">
        <v>1458</v>
      </c>
      <c r="D121" s="494" t="s">
        <v>1459</v>
      </c>
      <c r="E121" s="497">
        <v>-0.59</v>
      </c>
    </row>
    <row r="122" spans="1:5">
      <c r="A122" s="486" t="s">
        <v>200</v>
      </c>
      <c r="B122" s="492" t="s">
        <v>1460</v>
      </c>
      <c r="C122" s="487" t="s">
        <v>1461</v>
      </c>
      <c r="D122" s="492" t="s">
        <v>1462</v>
      </c>
      <c r="E122" s="496">
        <v>-0.73</v>
      </c>
    </row>
    <row r="123" spans="1:5">
      <c r="A123" s="488" t="s">
        <v>612</v>
      </c>
      <c r="B123" s="494" t="s">
        <v>1463</v>
      </c>
      <c r="C123" s="489" t="s">
        <v>1464</v>
      </c>
      <c r="D123" s="494" t="s">
        <v>1465</v>
      </c>
      <c r="E123" s="497">
        <v>-0.08</v>
      </c>
    </row>
    <row r="124" spans="1:5">
      <c r="A124" s="486" t="s">
        <v>319</v>
      </c>
      <c r="B124" s="492" t="s">
        <v>1466</v>
      </c>
      <c r="C124" s="487" t="s">
        <v>1467</v>
      </c>
      <c r="D124" s="493" t="s">
        <v>2820</v>
      </c>
      <c r="E124" s="493">
        <f>107%</f>
        <v>1.07</v>
      </c>
    </row>
    <row r="125" spans="1:5">
      <c r="A125" s="488" t="s">
        <v>615</v>
      </c>
      <c r="B125" s="494" t="s">
        <v>842</v>
      </c>
      <c r="C125" s="489" t="s">
        <v>1468</v>
      </c>
      <c r="D125" s="495" t="s">
        <v>2820</v>
      </c>
      <c r="E125" s="495"/>
    </row>
    <row r="126" spans="1:5">
      <c r="A126" s="486" t="s">
        <v>616</v>
      </c>
      <c r="B126" s="492" t="s">
        <v>1469</v>
      </c>
      <c r="C126" s="487" t="s">
        <v>1470</v>
      </c>
      <c r="D126" s="492" t="s">
        <v>1471</v>
      </c>
      <c r="E126" s="496">
        <v>-0.17</v>
      </c>
    </row>
    <row r="127" spans="1:5">
      <c r="A127" s="488" t="s">
        <v>618</v>
      </c>
      <c r="B127" s="494" t="s">
        <v>1472</v>
      </c>
      <c r="C127" s="489" t="s">
        <v>1473</v>
      </c>
      <c r="D127" s="494" t="s">
        <v>1474</v>
      </c>
      <c r="E127" s="497">
        <v>-0.11</v>
      </c>
    </row>
    <row r="128" spans="1:5">
      <c r="A128" s="486" t="s">
        <v>285</v>
      </c>
      <c r="B128" s="492" t="s">
        <v>1475</v>
      </c>
      <c r="C128" s="487" t="s">
        <v>1476</v>
      </c>
      <c r="D128" s="493" t="s">
        <v>2820</v>
      </c>
      <c r="E128" s="493">
        <f>119%</f>
        <v>1.19</v>
      </c>
    </row>
    <row r="129" spans="1:5">
      <c r="A129" s="488" t="s">
        <v>262</v>
      </c>
      <c r="B129" s="494" t="s">
        <v>1477</v>
      </c>
      <c r="C129" s="489" t="s">
        <v>1478</v>
      </c>
      <c r="D129" s="495" t="s">
        <v>2820</v>
      </c>
      <c r="E129" s="495">
        <f>11%</f>
        <v>0.11</v>
      </c>
    </row>
    <row r="130" spans="1:5">
      <c r="A130" s="486" t="s">
        <v>220</v>
      </c>
      <c r="B130" s="492" t="s">
        <v>1479</v>
      </c>
      <c r="C130" s="487" t="s">
        <v>1480</v>
      </c>
      <c r="D130" s="493" t="s">
        <v>2820</v>
      </c>
      <c r="E130" s="493">
        <f>96%</f>
        <v>0.96</v>
      </c>
    </row>
    <row r="131" spans="1:5">
      <c r="A131" s="488" t="s">
        <v>201</v>
      </c>
      <c r="B131" s="494" t="s">
        <v>1481</v>
      </c>
      <c r="C131" s="489" t="s">
        <v>1482</v>
      </c>
      <c r="D131" s="495" t="s">
        <v>2820</v>
      </c>
      <c r="E131" s="495">
        <f>120%</f>
        <v>1.2</v>
      </c>
    </row>
    <row r="132" spans="1:5">
      <c r="A132" s="486" t="s">
        <v>299</v>
      </c>
      <c r="B132" s="492" t="s">
        <v>1483</v>
      </c>
      <c r="C132" s="487" t="s">
        <v>1484</v>
      </c>
      <c r="D132" s="493" t="s">
        <v>2820</v>
      </c>
      <c r="E132" s="493">
        <f>318%</f>
        <v>3.18</v>
      </c>
    </row>
    <row r="133" spans="1:5">
      <c r="A133" s="488" t="s">
        <v>202</v>
      </c>
      <c r="B133" s="494" t="s">
        <v>1485</v>
      </c>
      <c r="C133" s="489" t="s">
        <v>1486</v>
      </c>
      <c r="D133" s="495" t="s">
        <v>2820</v>
      </c>
      <c r="E133" s="495">
        <f>28%</f>
        <v>0.28000000000000003</v>
      </c>
    </row>
    <row r="134" spans="1:5">
      <c r="A134" s="486" t="s">
        <v>238</v>
      </c>
      <c r="B134" s="492" t="s">
        <v>1487</v>
      </c>
      <c r="C134" s="487" t="s">
        <v>1488</v>
      </c>
      <c r="D134" s="493" t="s">
        <v>2820</v>
      </c>
      <c r="E134" s="493">
        <f>16%</f>
        <v>0.16</v>
      </c>
    </row>
    <row r="135" spans="1:5">
      <c r="A135" s="488" t="s">
        <v>627</v>
      </c>
      <c r="B135" s="494" t="s">
        <v>1489</v>
      </c>
      <c r="C135" s="489" t="s">
        <v>1490</v>
      </c>
      <c r="D135" s="495" t="s">
        <v>2820</v>
      </c>
      <c r="E135" s="495">
        <f>60%</f>
        <v>0.6</v>
      </c>
    </row>
    <row r="136" spans="1:5">
      <c r="A136" s="486" t="s">
        <v>263</v>
      </c>
      <c r="B136" s="492" t="s">
        <v>1491</v>
      </c>
      <c r="C136" s="487" t="s">
        <v>1492</v>
      </c>
      <c r="D136" s="493" t="s">
        <v>2820</v>
      </c>
      <c r="E136" s="493">
        <f>14%</f>
        <v>0.14000000000000001</v>
      </c>
    </row>
    <row r="137" spans="1:5">
      <c r="A137" s="488" t="s">
        <v>630</v>
      </c>
      <c r="B137" s="494" t="s">
        <v>1493</v>
      </c>
      <c r="C137" s="489" t="s">
        <v>631</v>
      </c>
      <c r="D137" s="495" t="s">
        <v>2820</v>
      </c>
      <c r="E137" s="495">
        <f>16%</f>
        <v>0.16</v>
      </c>
    </row>
    <row r="138" spans="1:5">
      <c r="A138" s="486" t="s">
        <v>433</v>
      </c>
      <c r="B138" s="492" t="s">
        <v>1494</v>
      </c>
      <c r="C138" s="487" t="s">
        <v>1495</v>
      </c>
      <c r="D138" s="492" t="s">
        <v>1496</v>
      </c>
      <c r="E138" s="496">
        <v>-0.78</v>
      </c>
    </row>
    <row r="139" spans="1:5">
      <c r="A139" s="488" t="s">
        <v>300</v>
      </c>
      <c r="B139" s="494" t="s">
        <v>1497</v>
      </c>
      <c r="C139" s="489" t="s">
        <v>1498</v>
      </c>
      <c r="D139" s="494" t="s">
        <v>1499</v>
      </c>
      <c r="E139" s="497">
        <v>-0.41</v>
      </c>
    </row>
    <row r="140" spans="1:5">
      <c r="A140" s="486" t="s">
        <v>320</v>
      </c>
      <c r="B140" s="492" t="s">
        <v>1500</v>
      </c>
      <c r="C140" s="487" t="s">
        <v>1501</v>
      </c>
      <c r="D140" s="492" t="s">
        <v>1502</v>
      </c>
      <c r="E140" s="496">
        <v>-0.08</v>
      </c>
    </row>
    <row r="141" spans="1:5">
      <c r="A141" s="488" t="s">
        <v>203</v>
      </c>
      <c r="B141" s="494" t="s">
        <v>1503</v>
      </c>
      <c r="C141" s="489" t="s">
        <v>1504</v>
      </c>
      <c r="D141" s="494" t="s">
        <v>1505</v>
      </c>
      <c r="E141" s="497">
        <v>-0.01</v>
      </c>
    </row>
    <row r="142" spans="1:5">
      <c r="A142" s="486" t="s">
        <v>204</v>
      </c>
      <c r="B142" s="492" t="s">
        <v>928</v>
      </c>
      <c r="C142" s="487" t="s">
        <v>1070</v>
      </c>
      <c r="D142" s="492" t="s">
        <v>1506</v>
      </c>
      <c r="E142" s="496">
        <v>-0.34</v>
      </c>
    </row>
    <row r="143" spans="1:5">
      <c r="A143" s="488" t="s">
        <v>301</v>
      </c>
      <c r="B143" s="494" t="s">
        <v>1507</v>
      </c>
      <c r="C143" s="489" t="s">
        <v>1508</v>
      </c>
      <c r="D143" s="495" t="s">
        <v>2820</v>
      </c>
      <c r="E143" s="495" t="s">
        <v>2820</v>
      </c>
    </row>
    <row r="144" spans="1:5">
      <c r="A144" s="486" t="s">
        <v>264</v>
      </c>
      <c r="B144" s="492" t="s">
        <v>1509</v>
      </c>
      <c r="C144" s="487" t="s">
        <v>1510</v>
      </c>
      <c r="D144" s="493" t="s">
        <v>2820</v>
      </c>
      <c r="E144" s="493">
        <f>54%</f>
        <v>0.54</v>
      </c>
    </row>
    <row r="145" spans="1:5">
      <c r="A145" s="488" t="s">
        <v>639</v>
      </c>
      <c r="B145" s="494" t="s">
        <v>1511</v>
      </c>
      <c r="C145" s="489" t="s">
        <v>1512</v>
      </c>
      <c r="D145" s="495" t="s">
        <v>2820</v>
      </c>
      <c r="E145" s="495">
        <f>124%</f>
        <v>1.24</v>
      </c>
    </row>
    <row r="146" spans="1:5">
      <c r="A146" s="486" t="s">
        <v>641</v>
      </c>
      <c r="B146" s="492" t="s">
        <v>1513</v>
      </c>
      <c r="C146" s="487" t="s">
        <v>1514</v>
      </c>
      <c r="D146" s="492" t="s">
        <v>1515</v>
      </c>
      <c r="E146" s="496">
        <v>-0.06</v>
      </c>
    </row>
    <row r="147" spans="1:5">
      <c r="A147" s="488" t="s">
        <v>643</v>
      </c>
      <c r="B147" s="494" t="s">
        <v>1516</v>
      </c>
      <c r="C147" s="489" t="s">
        <v>1517</v>
      </c>
      <c r="D147" s="495" t="s">
        <v>2820</v>
      </c>
      <c r="E147" s="495">
        <f>6%</f>
        <v>0.06</v>
      </c>
    </row>
    <row r="148" spans="1:5">
      <c r="A148" s="486" t="s">
        <v>265</v>
      </c>
      <c r="B148" s="492" t="s">
        <v>1518</v>
      </c>
      <c r="C148" s="487" t="s">
        <v>1519</v>
      </c>
      <c r="D148" s="493" t="s">
        <v>2820</v>
      </c>
      <c r="E148" s="492" t="s">
        <v>1520</v>
      </c>
    </row>
    <row r="149" spans="1:5">
      <c r="A149" s="488" t="s">
        <v>646</v>
      </c>
      <c r="B149" s="494" t="s">
        <v>1521</v>
      </c>
      <c r="C149" s="489" t="s">
        <v>1522</v>
      </c>
      <c r="D149" s="494" t="s">
        <v>1523</v>
      </c>
      <c r="E149" s="497">
        <v>-7.0000000000000007E-2</v>
      </c>
    </row>
    <row r="150" spans="1:5">
      <c r="A150" s="486" t="s">
        <v>231</v>
      </c>
      <c r="B150" s="492" t="s">
        <v>1524</v>
      </c>
      <c r="C150" s="487" t="s">
        <v>1525</v>
      </c>
      <c r="D150" s="493" t="s">
        <v>2820</v>
      </c>
      <c r="E150" s="493">
        <f>15%</f>
        <v>0.15</v>
      </c>
    </row>
    <row r="151" spans="1:5">
      <c r="A151" s="488" t="s">
        <v>239</v>
      </c>
      <c r="B151" s="494" t="s">
        <v>1526</v>
      </c>
      <c r="C151" s="489" t="s">
        <v>1527</v>
      </c>
      <c r="D151" s="495" t="s">
        <v>2820</v>
      </c>
      <c r="E151" s="495">
        <f>68%</f>
        <v>0.68</v>
      </c>
    </row>
    <row r="152" spans="1:5">
      <c r="A152" s="486" t="s">
        <v>321</v>
      </c>
      <c r="B152" s="492" t="s">
        <v>1528</v>
      </c>
      <c r="C152" s="487" t="s">
        <v>1529</v>
      </c>
      <c r="D152" s="493" t="s">
        <v>2820</v>
      </c>
      <c r="E152" s="493">
        <f>28%</f>
        <v>0.28000000000000003</v>
      </c>
    </row>
    <row r="153" spans="1:5">
      <c r="A153" s="488" t="s">
        <v>322</v>
      </c>
      <c r="B153" s="494" t="s">
        <v>1530</v>
      </c>
      <c r="C153" s="489" t="s">
        <v>1531</v>
      </c>
      <c r="D153" s="495" t="s">
        <v>2820</v>
      </c>
      <c r="E153" s="495">
        <f>36%</f>
        <v>0.36</v>
      </c>
    </row>
    <row r="154" spans="1:5">
      <c r="A154" s="486" t="s">
        <v>323</v>
      </c>
      <c r="B154" s="492" t="s">
        <v>1532</v>
      </c>
      <c r="C154" s="487" t="s">
        <v>1533</v>
      </c>
      <c r="D154" s="493" t="s">
        <v>2820</v>
      </c>
      <c r="E154" s="493">
        <f>15%</f>
        <v>0.15</v>
      </c>
    </row>
    <row r="155" spans="1:5">
      <c r="A155" s="488" t="s">
        <v>434</v>
      </c>
      <c r="B155" s="494" t="s">
        <v>1534</v>
      </c>
      <c r="C155" s="489" t="s">
        <v>739</v>
      </c>
      <c r="D155" s="494" t="s">
        <v>1535</v>
      </c>
      <c r="E155" s="497">
        <v>-0.91</v>
      </c>
    </row>
    <row r="156" spans="1:5">
      <c r="A156" s="486" t="s">
        <v>266</v>
      </c>
      <c r="B156" s="492" t="s">
        <v>1536</v>
      </c>
      <c r="C156" s="487" t="s">
        <v>1537</v>
      </c>
      <c r="D156" s="492" t="s">
        <v>1538</v>
      </c>
      <c r="E156" s="496">
        <v>-0.14000000000000001</v>
      </c>
    </row>
    <row r="157" spans="1:5">
      <c r="A157" s="488" t="s">
        <v>655</v>
      </c>
      <c r="B157" s="494" t="s">
        <v>1539</v>
      </c>
      <c r="C157" s="489" t="s">
        <v>1540</v>
      </c>
      <c r="D157" s="495" t="s">
        <v>2820</v>
      </c>
      <c r="E157" s="495">
        <f>303%</f>
        <v>3.03</v>
      </c>
    </row>
    <row r="158" spans="1:5">
      <c r="A158" s="486" t="s">
        <v>267</v>
      </c>
      <c r="B158" s="492" t="s">
        <v>1541</v>
      </c>
      <c r="C158" s="487" t="s">
        <v>1542</v>
      </c>
      <c r="D158" s="493" t="s">
        <v>2820</v>
      </c>
      <c r="E158" s="493">
        <f>254%</f>
        <v>2.54</v>
      </c>
    </row>
    <row r="159" spans="1:5">
      <c r="A159" s="488" t="s">
        <v>269</v>
      </c>
      <c r="B159" s="494" t="s">
        <v>1543</v>
      </c>
      <c r="C159" s="489" t="s">
        <v>1544</v>
      </c>
      <c r="D159" s="495" t="s">
        <v>2820</v>
      </c>
      <c r="E159" s="495">
        <f>120%</f>
        <v>1.2</v>
      </c>
    </row>
    <row r="160" spans="1:5">
      <c r="A160" s="486" t="s">
        <v>659</v>
      </c>
      <c r="B160" s="492" t="s">
        <v>1545</v>
      </c>
      <c r="C160" s="487" t="s">
        <v>1546</v>
      </c>
      <c r="D160" s="493" t="s">
        <v>2820</v>
      </c>
      <c r="E160" s="493">
        <f>56%</f>
        <v>0.56000000000000005</v>
      </c>
    </row>
    <row r="161" spans="1:5">
      <c r="A161" s="488" t="s">
        <v>205</v>
      </c>
      <c r="B161" s="494" t="s">
        <v>881</v>
      </c>
      <c r="C161" s="489" t="s">
        <v>1547</v>
      </c>
      <c r="D161" s="495" t="s">
        <v>2820</v>
      </c>
      <c r="E161" s="495">
        <f>168%</f>
        <v>1.68</v>
      </c>
    </row>
    <row r="162" spans="1:5">
      <c r="A162" s="486" t="s">
        <v>436</v>
      </c>
      <c r="B162" s="492" t="s">
        <v>1548</v>
      </c>
      <c r="C162" s="487" t="s">
        <v>1549</v>
      </c>
      <c r="D162" s="492" t="s">
        <v>1550</v>
      </c>
      <c r="E162" s="496">
        <v>-0.33</v>
      </c>
    </row>
    <row r="163" spans="1:5">
      <c r="A163" s="488" t="s">
        <v>437</v>
      </c>
      <c r="B163" s="494" t="s">
        <v>1551</v>
      </c>
      <c r="C163" s="489" t="s">
        <v>1552</v>
      </c>
      <c r="D163" s="494" t="s">
        <v>1553</v>
      </c>
      <c r="E163" s="497">
        <v>-0.26</v>
      </c>
    </row>
    <row r="164" spans="1:5">
      <c r="A164" s="486" t="s">
        <v>438</v>
      </c>
      <c r="B164" s="492" t="s">
        <v>1554</v>
      </c>
      <c r="C164" s="487" t="s">
        <v>1448</v>
      </c>
      <c r="D164" s="492" t="s">
        <v>1555</v>
      </c>
      <c r="E164" s="496">
        <v>-0.52</v>
      </c>
    </row>
    <row r="165" spans="1:5">
      <c r="A165" s="488" t="s">
        <v>439</v>
      </c>
      <c r="B165" s="494" t="s">
        <v>1069</v>
      </c>
      <c r="C165" s="489" t="s">
        <v>1556</v>
      </c>
      <c r="D165" s="495" t="s">
        <v>2820</v>
      </c>
      <c r="E165" s="495">
        <f>232%</f>
        <v>2.3199999999999998</v>
      </c>
    </row>
    <row r="166" spans="1:5">
      <c r="A166" s="486" t="s">
        <v>206</v>
      </c>
      <c r="B166" s="492" t="s">
        <v>1374</v>
      </c>
      <c r="C166" s="487" t="s">
        <v>1557</v>
      </c>
      <c r="D166" s="492" t="s">
        <v>1558</v>
      </c>
      <c r="E166" s="496">
        <v>-0.63</v>
      </c>
    </row>
    <row r="167" spans="1:5">
      <c r="A167" s="488" t="s">
        <v>232</v>
      </c>
      <c r="B167" s="494" t="s">
        <v>1559</v>
      </c>
      <c r="C167" s="489" t="s">
        <v>1560</v>
      </c>
      <c r="D167" s="495" t="s">
        <v>2820</v>
      </c>
      <c r="E167" s="495">
        <f>131%</f>
        <v>1.31</v>
      </c>
    </row>
    <row r="168" spans="1:5">
      <c r="A168" s="486" t="s">
        <v>207</v>
      </c>
      <c r="B168" s="492" t="s">
        <v>1561</v>
      </c>
      <c r="C168" s="487" t="s">
        <v>1562</v>
      </c>
      <c r="D168" s="492" t="s">
        <v>1563</v>
      </c>
      <c r="E168" s="496">
        <v>-0.61</v>
      </c>
    </row>
    <row r="169" spans="1:5">
      <c r="A169" s="488" t="s">
        <v>271</v>
      </c>
      <c r="B169" s="494" t="s">
        <v>1564</v>
      </c>
      <c r="C169" s="489" t="s">
        <v>1565</v>
      </c>
      <c r="D169" s="495" t="s">
        <v>2820</v>
      </c>
      <c r="E169" s="495">
        <f>13%</f>
        <v>0.13</v>
      </c>
    </row>
    <row r="170" spans="1:5">
      <c r="A170" s="486" t="s">
        <v>670</v>
      </c>
      <c r="B170" s="492" t="s">
        <v>1566</v>
      </c>
      <c r="C170" s="487" t="s">
        <v>671</v>
      </c>
      <c r="D170" s="493" t="s">
        <v>2820</v>
      </c>
      <c r="E170" s="492" t="s">
        <v>1520</v>
      </c>
    </row>
    <row r="171" spans="1:5">
      <c r="A171" s="488" t="s">
        <v>208</v>
      </c>
      <c r="B171" s="494" t="s">
        <v>1567</v>
      </c>
      <c r="C171" s="489" t="s">
        <v>1568</v>
      </c>
      <c r="D171" s="495" t="s">
        <v>2820</v>
      </c>
      <c r="E171" s="495">
        <f>173%</f>
        <v>1.73</v>
      </c>
    </row>
    <row r="172" spans="1:5">
      <c r="A172" s="486" t="s">
        <v>272</v>
      </c>
      <c r="B172" s="492" t="s">
        <v>1569</v>
      </c>
      <c r="C172" s="487" t="s">
        <v>638</v>
      </c>
      <c r="D172" s="492" t="s">
        <v>1570</v>
      </c>
      <c r="E172" s="496">
        <v>-0.05</v>
      </c>
    </row>
    <row r="173" spans="1:5">
      <c r="A173" s="488" t="s">
        <v>273</v>
      </c>
      <c r="B173" s="494" t="s">
        <v>1571</v>
      </c>
      <c r="C173" s="489" t="s">
        <v>1572</v>
      </c>
      <c r="D173" s="495" t="s">
        <v>2820</v>
      </c>
      <c r="E173" s="495">
        <f>17%</f>
        <v>0.17</v>
      </c>
    </row>
    <row r="174" spans="1:5">
      <c r="A174" s="486" t="s">
        <v>675</v>
      </c>
      <c r="B174" s="492" t="s">
        <v>1573</v>
      </c>
      <c r="C174" s="487" t="s">
        <v>1574</v>
      </c>
      <c r="D174" s="493" t="s">
        <v>2820</v>
      </c>
      <c r="E174" s="493">
        <f>48%</f>
        <v>0.48</v>
      </c>
    </row>
    <row r="175" spans="1:5">
      <c r="A175" s="488" t="s">
        <v>440</v>
      </c>
      <c r="B175" s="494" t="s">
        <v>1575</v>
      </c>
      <c r="C175" s="489" t="s">
        <v>1576</v>
      </c>
      <c r="D175" s="494" t="s">
        <v>1577</v>
      </c>
      <c r="E175" s="497">
        <v>-0.32</v>
      </c>
    </row>
    <row r="176" spans="1:5">
      <c r="A176" s="486" t="s">
        <v>210</v>
      </c>
      <c r="B176" s="492" t="s">
        <v>1578</v>
      </c>
      <c r="C176" s="487" t="s">
        <v>1579</v>
      </c>
      <c r="D176" s="492" t="s">
        <v>1580</v>
      </c>
      <c r="E176" s="496">
        <v>-0.2</v>
      </c>
    </row>
    <row r="177" spans="1:5">
      <c r="A177" s="488" t="s">
        <v>679</v>
      </c>
      <c r="B177" s="494" t="s">
        <v>1581</v>
      </c>
      <c r="C177" s="489" t="s">
        <v>1582</v>
      </c>
      <c r="D177" s="495" t="s">
        <v>2820</v>
      </c>
      <c r="E177" s="495">
        <f>67%</f>
        <v>0.67</v>
      </c>
    </row>
    <row r="178" spans="1:5">
      <c r="A178" s="486" t="s">
        <v>681</v>
      </c>
      <c r="B178" s="492" t="s">
        <v>1583</v>
      </c>
      <c r="C178" s="487" t="s">
        <v>1584</v>
      </c>
      <c r="D178" s="493" t="s">
        <v>2820</v>
      </c>
      <c r="E178" s="493">
        <f>207%</f>
        <v>2.0699999999999998</v>
      </c>
    </row>
    <row r="179" spans="1:5">
      <c r="A179" s="488" t="s">
        <v>304</v>
      </c>
      <c r="B179" s="494" t="s">
        <v>824</v>
      </c>
      <c r="C179" s="489" t="s">
        <v>1585</v>
      </c>
      <c r="D179" s="495" t="s">
        <v>2820</v>
      </c>
      <c r="E179" s="495" t="s">
        <v>2820</v>
      </c>
    </row>
    <row r="180" spans="1:5">
      <c r="A180" s="486" t="s">
        <v>684</v>
      </c>
      <c r="B180" s="492" t="s">
        <v>1586</v>
      </c>
      <c r="C180" s="487" t="s">
        <v>1587</v>
      </c>
      <c r="D180" s="492" t="s">
        <v>1588</v>
      </c>
      <c r="E180" s="496">
        <v>-0.11</v>
      </c>
    </row>
    <row r="181" spans="1:5">
      <c r="A181" s="488" t="s">
        <v>686</v>
      </c>
      <c r="B181" s="494" t="s">
        <v>1589</v>
      </c>
      <c r="C181" s="489" t="s">
        <v>1590</v>
      </c>
      <c r="D181" s="495" t="s">
        <v>2820</v>
      </c>
      <c r="E181" s="495">
        <f>104%</f>
        <v>1.04</v>
      </c>
    </row>
    <row r="182" spans="1:5">
      <c r="A182" s="486" t="s">
        <v>688</v>
      </c>
      <c r="B182" s="492" t="s">
        <v>1591</v>
      </c>
      <c r="C182" s="487" t="s">
        <v>1592</v>
      </c>
      <c r="D182" s="493" t="s">
        <v>2820</v>
      </c>
      <c r="E182" s="493">
        <f>82%</f>
        <v>0.82</v>
      </c>
    </row>
    <row r="183" spans="1:5">
      <c r="A183" s="488" t="s">
        <v>274</v>
      </c>
      <c r="B183" s="494" t="s">
        <v>1593</v>
      </c>
      <c r="C183" s="489" t="s">
        <v>1594</v>
      </c>
      <c r="D183" s="495" t="s">
        <v>2820</v>
      </c>
      <c r="E183" s="495">
        <f>116%</f>
        <v>1.1599999999999999</v>
      </c>
    </row>
    <row r="184" spans="1:5">
      <c r="A184" s="486" t="s">
        <v>441</v>
      </c>
      <c r="B184" s="492" t="s">
        <v>1595</v>
      </c>
      <c r="C184" s="487" t="s">
        <v>1596</v>
      </c>
      <c r="D184" s="492" t="s">
        <v>1597</v>
      </c>
      <c r="E184" s="496">
        <v>-0.36</v>
      </c>
    </row>
    <row r="185" spans="1:5">
      <c r="A185" s="488" t="s">
        <v>221</v>
      </c>
      <c r="B185" s="494" t="s">
        <v>1598</v>
      </c>
      <c r="C185" s="489" t="s">
        <v>1599</v>
      </c>
      <c r="D185" s="494" t="s">
        <v>1600</v>
      </c>
      <c r="E185" s="497">
        <v>-0.33</v>
      </c>
    </row>
    <row r="186" spans="1:5">
      <c r="A186" s="486" t="s">
        <v>693</v>
      </c>
      <c r="B186" s="492" t="s">
        <v>1601</v>
      </c>
      <c r="C186" s="487" t="s">
        <v>694</v>
      </c>
      <c r="D186" s="493" t="s">
        <v>2820</v>
      </c>
      <c r="E186" s="493">
        <f>97%</f>
        <v>0.97</v>
      </c>
    </row>
    <row r="187" spans="1:5">
      <c r="A187" s="488" t="s">
        <v>324</v>
      </c>
      <c r="B187" s="494" t="s">
        <v>626</v>
      </c>
      <c r="C187" s="489" t="s">
        <v>1602</v>
      </c>
      <c r="D187" s="494" t="s">
        <v>1603</v>
      </c>
      <c r="E187" s="497">
        <v>-0.76</v>
      </c>
    </row>
    <row r="188" spans="1:5">
      <c r="A188" s="486" t="s">
        <v>275</v>
      </c>
      <c r="B188" s="492" t="s">
        <v>1604</v>
      </c>
      <c r="C188" s="487" t="s">
        <v>1605</v>
      </c>
      <c r="D188" s="493" t="s">
        <v>2820</v>
      </c>
      <c r="E188" s="493">
        <f>2%</f>
        <v>0.02</v>
      </c>
    </row>
    <row r="189" spans="1:5">
      <c r="A189" s="488" t="s">
        <v>276</v>
      </c>
      <c r="B189" s="494" t="s">
        <v>1606</v>
      </c>
      <c r="C189" s="489" t="s">
        <v>1607</v>
      </c>
      <c r="D189" s="494" t="s">
        <v>1608</v>
      </c>
      <c r="E189" s="497">
        <v>-0.01</v>
      </c>
    </row>
    <row r="190" spans="1:5">
      <c r="A190" s="486" t="s">
        <v>698</v>
      </c>
      <c r="B190" s="492" t="s">
        <v>812</v>
      </c>
      <c r="C190" s="487" t="s">
        <v>1609</v>
      </c>
      <c r="D190" s="493" t="s">
        <v>2820</v>
      </c>
      <c r="E190" s="493" t="s">
        <v>2820</v>
      </c>
    </row>
    <row r="191" spans="1:5">
      <c r="A191" s="488" t="s">
        <v>286</v>
      </c>
      <c r="B191" s="494" t="s">
        <v>1610</v>
      </c>
      <c r="C191" s="489" t="s">
        <v>1611</v>
      </c>
      <c r="D191" s="494" t="s">
        <v>1612</v>
      </c>
      <c r="E191" s="497">
        <v>-0.37</v>
      </c>
    </row>
    <row r="192" spans="1:5">
      <c r="A192" s="486" t="s">
        <v>212</v>
      </c>
      <c r="B192" s="492" t="s">
        <v>1613</v>
      </c>
      <c r="C192" s="487" t="s">
        <v>1614</v>
      </c>
      <c r="D192" s="493" t="s">
        <v>2820</v>
      </c>
      <c r="E192" s="493">
        <f>33%</f>
        <v>0.33</v>
      </c>
    </row>
    <row r="193" spans="1:5">
      <c r="A193" s="488" t="s">
        <v>305</v>
      </c>
      <c r="B193" s="494" t="s">
        <v>844</v>
      </c>
      <c r="C193" s="489" t="s">
        <v>1615</v>
      </c>
      <c r="D193" s="495" t="s">
        <v>2820</v>
      </c>
      <c r="E193" s="495">
        <f>499%</f>
        <v>4.99</v>
      </c>
    </row>
    <row r="194" spans="1:5">
      <c r="A194" s="486" t="s">
        <v>703</v>
      </c>
      <c r="B194" s="492" t="s">
        <v>1616</v>
      </c>
      <c r="C194" s="487" t="s">
        <v>786</v>
      </c>
      <c r="D194" s="492" t="s">
        <v>1617</v>
      </c>
      <c r="E194" s="496">
        <v>-0.72</v>
      </c>
    </row>
    <row r="195" spans="1:5">
      <c r="A195" s="488" t="s">
        <v>213</v>
      </c>
      <c r="B195" s="494" t="s">
        <v>1618</v>
      </c>
      <c r="C195" s="489" t="s">
        <v>1619</v>
      </c>
      <c r="D195" s="495" t="s">
        <v>2820</v>
      </c>
      <c r="E195" s="495">
        <f>114%</f>
        <v>1.1399999999999999</v>
      </c>
    </row>
    <row r="196" spans="1:5">
      <c r="A196" s="486" t="s">
        <v>443</v>
      </c>
      <c r="B196" s="492" t="s">
        <v>1620</v>
      </c>
      <c r="C196" s="487" t="s">
        <v>1621</v>
      </c>
      <c r="D196" s="492" t="s">
        <v>1622</v>
      </c>
      <c r="E196" s="496">
        <v>-0.66</v>
      </c>
    </row>
    <row r="197" spans="1:5">
      <c r="A197" s="488" t="s">
        <v>222</v>
      </c>
      <c r="B197" s="494" t="s">
        <v>1623</v>
      </c>
      <c r="C197" s="489" t="s">
        <v>1624</v>
      </c>
      <c r="D197" s="495" t="s">
        <v>2820</v>
      </c>
      <c r="E197" s="495">
        <f>164%</f>
        <v>1.64</v>
      </c>
    </row>
    <row r="198" spans="1:5">
      <c r="A198" s="486" t="s">
        <v>288</v>
      </c>
      <c r="B198" s="492" t="s">
        <v>1625</v>
      </c>
      <c r="C198" s="487" t="s">
        <v>1626</v>
      </c>
      <c r="D198" s="492" t="s">
        <v>1627</v>
      </c>
      <c r="E198" s="496">
        <v>-0.02</v>
      </c>
    </row>
    <row r="199" spans="1:5">
      <c r="A199" s="488" t="s">
        <v>289</v>
      </c>
      <c r="B199" s="494" t="s">
        <v>1628</v>
      </c>
      <c r="C199" s="489" t="s">
        <v>1629</v>
      </c>
      <c r="D199" s="495" t="s">
        <v>2820</v>
      </c>
      <c r="E199" s="495">
        <f>45%</f>
        <v>0.45</v>
      </c>
    </row>
    <row r="200" spans="1:5">
      <c r="A200" s="486" t="s">
        <v>710</v>
      </c>
      <c r="B200" s="492" t="s">
        <v>1630</v>
      </c>
      <c r="C200" s="487" t="s">
        <v>711</v>
      </c>
      <c r="D200" s="492" t="s">
        <v>1631</v>
      </c>
      <c r="E200" s="496">
        <v>-0.02</v>
      </c>
    </row>
    <row r="201" spans="1:5">
      <c r="A201" s="488" t="s">
        <v>214</v>
      </c>
      <c r="B201" s="494" t="s">
        <v>1632</v>
      </c>
      <c r="C201" s="489" t="s">
        <v>1633</v>
      </c>
      <c r="D201" s="495" t="s">
        <v>2820</v>
      </c>
      <c r="E201" s="495">
        <f>22%</f>
        <v>0.22</v>
      </c>
    </row>
    <row r="202" spans="1:5">
      <c r="A202" s="486" t="s">
        <v>277</v>
      </c>
      <c r="B202" s="492" t="s">
        <v>1634</v>
      </c>
      <c r="C202" s="487" t="s">
        <v>1635</v>
      </c>
      <c r="D202" s="492" t="s">
        <v>1636</v>
      </c>
      <c r="E202" s="496">
        <v>-0.06</v>
      </c>
    </row>
    <row r="203" spans="1:5">
      <c r="A203" s="488" t="s">
        <v>444</v>
      </c>
      <c r="B203" s="494" t="s">
        <v>1637</v>
      </c>
      <c r="C203" s="489" t="s">
        <v>1638</v>
      </c>
      <c r="D203" s="494" t="s">
        <v>1639</v>
      </c>
      <c r="E203" s="497">
        <v>-0.77</v>
      </c>
    </row>
    <row r="204" spans="1:5">
      <c r="A204" s="486" t="s">
        <v>715</v>
      </c>
      <c r="B204" s="492" t="s">
        <v>1640</v>
      </c>
      <c r="C204" s="487" t="s">
        <v>1641</v>
      </c>
      <c r="D204" s="492" t="s">
        <v>1642</v>
      </c>
      <c r="E204" s="496">
        <v>-0.02</v>
      </c>
    </row>
    <row r="205" spans="1:5">
      <c r="A205" s="488" t="s">
        <v>717</v>
      </c>
      <c r="B205" s="494" t="s">
        <v>1643</v>
      </c>
      <c r="C205" s="489" t="s">
        <v>1644</v>
      </c>
      <c r="D205" s="494" t="s">
        <v>1645</v>
      </c>
      <c r="E205" s="497">
        <v>-0.04</v>
      </c>
    </row>
    <row r="206" spans="1:5">
      <c r="A206" s="486" t="s">
        <v>325</v>
      </c>
      <c r="B206" s="492" t="s">
        <v>1646</v>
      </c>
      <c r="C206" s="487" t="s">
        <v>1647</v>
      </c>
      <c r="D206" s="492" t="s">
        <v>1648</v>
      </c>
      <c r="E206" s="496">
        <v>-0.05</v>
      </c>
    </row>
    <row r="207" spans="1:5">
      <c r="A207" s="488" t="s">
        <v>287</v>
      </c>
      <c r="B207" s="494" t="s">
        <v>1649</v>
      </c>
      <c r="C207" s="489" t="s">
        <v>1650</v>
      </c>
      <c r="D207" s="495" t="s">
        <v>2820</v>
      </c>
      <c r="E207" s="495">
        <f>46%</f>
        <v>0.46</v>
      </c>
    </row>
    <row r="208" spans="1:5">
      <c r="A208" s="486" t="s">
        <v>448</v>
      </c>
      <c r="B208" s="492" t="s">
        <v>1651</v>
      </c>
      <c r="C208" s="487" t="s">
        <v>1652</v>
      </c>
      <c r="D208" s="493" t="s">
        <v>2820</v>
      </c>
      <c r="E208" s="493">
        <f>18%</f>
        <v>0.18</v>
      </c>
    </row>
    <row r="209" spans="1:5">
      <c r="A209" s="488" t="s">
        <v>326</v>
      </c>
      <c r="B209" s="494" t="s">
        <v>1653</v>
      </c>
      <c r="C209" s="489" t="s">
        <v>1654</v>
      </c>
      <c r="D209" s="494" t="s">
        <v>1655</v>
      </c>
      <c r="E209" s="497">
        <v>-0.14000000000000001</v>
      </c>
    </row>
    <row r="210" spans="1:5">
      <c r="A210" s="486" t="s">
        <v>306</v>
      </c>
      <c r="B210" s="492" t="s">
        <v>1656</v>
      </c>
      <c r="C210" s="487" t="s">
        <v>1657</v>
      </c>
      <c r="D210" s="493" t="s">
        <v>2820</v>
      </c>
      <c r="E210" s="493">
        <f>351%</f>
        <v>3.51</v>
      </c>
    </row>
    <row r="211" spans="1:5">
      <c r="A211" s="488" t="s">
        <v>724</v>
      </c>
      <c r="B211" s="494" t="s">
        <v>1658</v>
      </c>
      <c r="C211" s="489" t="s">
        <v>1659</v>
      </c>
      <c r="D211" s="495" t="s">
        <v>2820</v>
      </c>
      <c r="E211" s="495">
        <f>48%</f>
        <v>0.48</v>
      </c>
    </row>
    <row r="212" spans="1:5">
      <c r="A212" s="486" t="s">
        <v>726</v>
      </c>
      <c r="B212" s="492" t="s">
        <v>1660</v>
      </c>
      <c r="C212" s="487" t="s">
        <v>1661</v>
      </c>
      <c r="D212" s="492" t="s">
        <v>901</v>
      </c>
      <c r="E212" s="492" t="s">
        <v>1662</v>
      </c>
    </row>
    <row r="213" spans="1:5">
      <c r="A213" s="488" t="s">
        <v>728</v>
      </c>
      <c r="B213" s="494" t="s">
        <v>1663</v>
      </c>
      <c r="C213" s="489" t="s">
        <v>1664</v>
      </c>
      <c r="D213" s="495" t="s">
        <v>2820</v>
      </c>
      <c r="E213" s="495">
        <f>19%</f>
        <v>0.19</v>
      </c>
    </row>
    <row r="214" spans="1:5">
      <c r="A214" s="486" t="s">
        <v>235</v>
      </c>
      <c r="B214" s="492" t="s">
        <v>1665</v>
      </c>
      <c r="C214" s="487" t="s">
        <v>1666</v>
      </c>
      <c r="D214" s="492" t="s">
        <v>1667</v>
      </c>
      <c r="E214" s="496">
        <v>-0.55000000000000004</v>
      </c>
    </row>
    <row r="215" spans="1:5">
      <c r="A215" s="488" t="s">
        <v>731</v>
      </c>
      <c r="B215" s="494" t="s">
        <v>1668</v>
      </c>
      <c r="C215" s="489" t="s">
        <v>732</v>
      </c>
      <c r="D215" s="495" t="s">
        <v>2820</v>
      </c>
      <c r="E215" s="495">
        <f>42%</f>
        <v>0.42</v>
      </c>
    </row>
    <row r="216" spans="1:5">
      <c r="A216" s="486" t="s">
        <v>215</v>
      </c>
      <c r="B216" s="492" t="s">
        <v>1669</v>
      </c>
      <c r="C216" s="487" t="s">
        <v>1670</v>
      </c>
      <c r="D216" s="492" t="s">
        <v>1671</v>
      </c>
      <c r="E216" s="496">
        <v>-0.08</v>
      </c>
    </row>
    <row r="217" spans="1:5">
      <c r="A217" s="488" t="s">
        <v>216</v>
      </c>
      <c r="B217" s="494" t="s">
        <v>1672</v>
      </c>
      <c r="C217" s="489" t="s">
        <v>1673</v>
      </c>
      <c r="D217" s="494" t="s">
        <v>1674</v>
      </c>
      <c r="E217" s="497">
        <v>-0.49</v>
      </c>
    </row>
    <row r="218" spans="1:5">
      <c r="A218" s="498">
        <v>1961</v>
      </c>
      <c r="C218" s="185"/>
    </row>
    <row r="219" spans="1:5">
      <c r="A219" s="498">
        <v>2017</v>
      </c>
      <c r="C219" s="185"/>
    </row>
    <row r="220" spans="1:5">
      <c r="A220" s="499" t="s">
        <v>1145</v>
      </c>
      <c r="C220" s="185"/>
    </row>
    <row r="221" spans="1:5">
      <c r="A221" s="499" t="s">
        <v>1146</v>
      </c>
      <c r="C221" s="185"/>
    </row>
    <row r="222" spans="1:5">
      <c r="A222" s="500" t="s">
        <v>1147</v>
      </c>
      <c r="C222" s="185"/>
    </row>
    <row r="223" spans="1:5">
      <c r="A223" s="499" t="s">
        <v>1148</v>
      </c>
      <c r="C223" s="185"/>
    </row>
    <row r="224" spans="1:5">
      <c r="A224" s="499" t="s">
        <v>1149</v>
      </c>
      <c r="C224" s="185"/>
    </row>
    <row r="225" spans="1:3">
      <c r="A225" s="511"/>
      <c r="C225" s="185"/>
    </row>
    <row r="226" spans="1:3"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R105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4.42578125" defaultRowHeight="15.75" customHeight="1"/>
  <cols>
    <col min="1" max="1" width="26.7109375" customWidth="1"/>
    <col min="2" max="2" width="10.5703125" customWidth="1"/>
    <col min="3" max="3" width="7.140625" customWidth="1"/>
    <col min="4" max="4" width="1.28515625" customWidth="1"/>
    <col min="5" max="5" width="9.42578125" customWidth="1"/>
    <col min="6" max="6" width="8.7109375" customWidth="1"/>
    <col min="7" max="7" width="1.28515625" customWidth="1"/>
    <col min="8" max="8" width="11.85546875" customWidth="1"/>
    <col min="9" max="9" width="7.140625" customWidth="1"/>
    <col min="10" max="10" width="6" customWidth="1"/>
    <col min="11" max="11" width="1.28515625" customWidth="1"/>
    <col min="13" max="13" width="5" customWidth="1"/>
    <col min="14" max="14" width="6.140625" customWidth="1"/>
    <col min="15" max="15" width="1.28515625" customWidth="1"/>
    <col min="17" max="17" width="5.5703125" customWidth="1"/>
    <col min="18" max="18" width="6.7109375" customWidth="1"/>
    <col min="19" max="19" width="1.28515625" customWidth="1"/>
    <col min="21" max="21" width="8.7109375" customWidth="1"/>
    <col min="22" max="22" width="5.85546875" customWidth="1"/>
    <col min="23" max="23" width="1.28515625" customWidth="1"/>
    <col min="25" max="25" width="4.7109375" customWidth="1"/>
    <col min="26" max="26" width="5.42578125" customWidth="1"/>
    <col min="27" max="27" width="1.28515625" customWidth="1"/>
    <col min="28" max="28" width="9.140625" customWidth="1"/>
    <col min="29" max="29" width="5.5703125" customWidth="1"/>
    <col min="30" max="30" width="6.140625" customWidth="1"/>
    <col min="31" max="31" width="1.28515625" customWidth="1"/>
    <col min="33" max="33" width="6.85546875" customWidth="1"/>
    <col min="34" max="34" width="5.7109375" customWidth="1"/>
    <col min="35" max="35" width="1.28515625" customWidth="1"/>
    <col min="37" max="37" width="5.140625" customWidth="1"/>
    <col min="38" max="38" width="5.5703125" customWidth="1"/>
    <col min="39" max="39" width="1.28515625" customWidth="1"/>
    <col min="40" max="40" width="7.7109375" customWidth="1"/>
    <col min="41" max="42" width="4.7109375" customWidth="1"/>
    <col min="43" max="43" width="1.28515625" customWidth="1"/>
    <col min="44" max="44" width="4.7109375" customWidth="1"/>
  </cols>
  <sheetData>
    <row r="1" spans="1:44">
      <c r="A1" s="222"/>
      <c r="B1" s="512" t="s">
        <v>1675</v>
      </c>
      <c r="D1" s="337"/>
      <c r="G1" s="337"/>
      <c r="K1" s="337"/>
      <c r="O1" s="337"/>
      <c r="S1" s="337"/>
      <c r="T1" s="14"/>
      <c r="W1" s="337"/>
      <c r="X1" s="513"/>
      <c r="AA1" s="337"/>
      <c r="AB1" s="17"/>
      <c r="AC1" s="180"/>
      <c r="AD1" s="180"/>
      <c r="AE1" s="514"/>
      <c r="AF1" s="17"/>
      <c r="AI1" s="337"/>
      <c r="AM1" s="337"/>
      <c r="AQ1" s="337"/>
    </row>
    <row r="2" spans="1:44">
      <c r="B2" s="515" t="s">
        <v>145</v>
      </c>
      <c r="C2" s="287"/>
      <c r="D2" s="516"/>
      <c r="E2" s="287" t="s">
        <v>146</v>
      </c>
      <c r="G2" s="516"/>
      <c r="H2" s="287" t="s">
        <v>147</v>
      </c>
      <c r="K2" s="516"/>
      <c r="L2" s="287" t="s">
        <v>148</v>
      </c>
      <c r="O2" s="516"/>
      <c r="P2" s="287" t="s">
        <v>149</v>
      </c>
      <c r="S2" s="516"/>
      <c r="T2" s="165" t="s">
        <v>150</v>
      </c>
      <c r="V2" s="218"/>
      <c r="W2" s="517"/>
      <c r="X2" s="86" t="s">
        <v>151</v>
      </c>
      <c r="Y2" s="218"/>
      <c r="Z2" s="218"/>
      <c r="AA2" s="517"/>
      <c r="AB2" s="86" t="s">
        <v>152</v>
      </c>
      <c r="AC2" s="218"/>
      <c r="AD2" s="218"/>
      <c r="AE2" s="517"/>
      <c r="AF2" s="86" t="s">
        <v>153</v>
      </c>
      <c r="AG2" s="218"/>
      <c r="AI2" s="516"/>
      <c r="AJ2" s="287" t="s">
        <v>154</v>
      </c>
      <c r="AM2" s="516"/>
      <c r="AN2" s="287" t="s">
        <v>155</v>
      </c>
      <c r="AQ2" s="516"/>
    </row>
    <row r="3" spans="1:44">
      <c r="A3" s="465"/>
      <c r="B3" s="518" t="s">
        <v>736</v>
      </c>
      <c r="C3" s="465"/>
      <c r="D3" s="519"/>
      <c r="E3" s="518" t="s">
        <v>736</v>
      </c>
      <c r="F3" s="464"/>
      <c r="G3" s="519"/>
      <c r="H3" s="468" t="s">
        <v>1676</v>
      </c>
      <c r="I3" s="464"/>
      <c r="J3" s="464"/>
      <c r="K3" s="519"/>
      <c r="L3" s="464"/>
      <c r="M3" s="464"/>
      <c r="N3" s="464"/>
      <c r="O3" s="519"/>
      <c r="P3" s="464"/>
      <c r="Q3" s="464"/>
      <c r="R3" s="464"/>
      <c r="S3" s="519"/>
      <c r="T3" s="520" t="s">
        <v>161</v>
      </c>
      <c r="U3" s="464"/>
      <c r="V3" s="521"/>
      <c r="W3" s="522"/>
      <c r="X3" s="523" t="s">
        <v>162</v>
      </c>
      <c r="Y3" s="521"/>
      <c r="Z3" s="521"/>
      <c r="AA3" s="522"/>
      <c r="AB3" s="523" t="s">
        <v>163</v>
      </c>
      <c r="AC3" s="521"/>
      <c r="AD3" s="521"/>
      <c r="AE3" s="522"/>
      <c r="AF3" s="523" t="s">
        <v>1677</v>
      </c>
      <c r="AG3" s="521"/>
      <c r="AH3" s="464"/>
      <c r="AI3" s="519"/>
      <c r="AJ3" s="468" t="s">
        <v>1678</v>
      </c>
      <c r="AK3" s="464"/>
      <c r="AL3" s="464"/>
      <c r="AM3" s="519"/>
      <c r="AN3" s="464"/>
      <c r="AO3" s="464"/>
      <c r="AP3" s="464"/>
      <c r="AQ3" s="519"/>
      <c r="AR3" s="464"/>
    </row>
    <row r="4" spans="1:44">
      <c r="A4" s="524" t="s">
        <v>136</v>
      </c>
      <c r="B4" s="525">
        <f>SUM(B5+B8+B22+B28+B42+B45+B60)</f>
        <v>3856.0600000000004</v>
      </c>
      <c r="C4" s="465"/>
      <c r="D4" s="519"/>
      <c r="E4" s="525">
        <f>SUM(E5+E8+E22+E28+E42+E45+E60)</f>
        <v>355.42999999999995</v>
      </c>
      <c r="F4" s="526"/>
      <c r="G4" s="519"/>
      <c r="H4" s="465"/>
      <c r="I4" s="464"/>
      <c r="J4" s="464"/>
      <c r="K4" s="519"/>
      <c r="L4" s="464"/>
      <c r="M4" s="464"/>
      <c r="N4" s="464"/>
      <c r="O4" s="519"/>
      <c r="P4" s="464"/>
      <c r="Q4" s="464"/>
      <c r="R4" s="464"/>
      <c r="S4" s="519"/>
      <c r="T4" s="525">
        <f>SUM(T5+T8+T22+T28+T42+T45+T60)</f>
        <v>454.57</v>
      </c>
      <c r="U4" s="526"/>
      <c r="V4" s="521"/>
      <c r="W4" s="522"/>
      <c r="X4" s="525">
        <f>SUM(X5+X8+X22+X28+X42+X45+X60)</f>
        <v>1846.14</v>
      </c>
      <c r="Y4" s="521"/>
      <c r="Z4" s="521"/>
      <c r="AA4" s="522"/>
      <c r="AB4" s="525">
        <f>SUM(AB5+AB8+AB22+AB28+AB42+AB45+AB60)</f>
        <v>1192.83</v>
      </c>
      <c r="AC4" s="521"/>
      <c r="AD4" s="521"/>
      <c r="AE4" s="522"/>
      <c r="AF4" s="525">
        <f>SUM(AF5+AF8+AF22+AF28+AF42+AF45+AF60)</f>
        <v>99.72999999999999</v>
      </c>
      <c r="AG4" s="521"/>
      <c r="AH4" s="464"/>
      <c r="AI4" s="519"/>
      <c r="AJ4" s="464"/>
      <c r="AK4" s="464"/>
      <c r="AL4" s="464"/>
      <c r="AM4" s="519"/>
      <c r="AN4" s="464"/>
      <c r="AO4" s="464"/>
      <c r="AP4" s="464"/>
      <c r="AQ4" s="519"/>
      <c r="AR4" s="464"/>
    </row>
    <row r="5" spans="1:44">
      <c r="A5" s="287" t="s">
        <v>133</v>
      </c>
      <c r="B5" s="515">
        <f>SUM(B6:B7)</f>
        <v>71.06</v>
      </c>
      <c r="C5" s="474">
        <f>SUM(B5/$B$4)</f>
        <v>1.8428136491652099E-2</v>
      </c>
      <c r="D5" s="527"/>
      <c r="E5" s="515">
        <f>SUM(E6:E7)</f>
        <v>7.13</v>
      </c>
      <c r="F5" s="474">
        <f>SUM(E5/E$4)</f>
        <v>2.0060208761218806E-2</v>
      </c>
      <c r="G5" s="527"/>
      <c r="H5" s="510"/>
      <c r="K5" s="527"/>
      <c r="O5" s="527"/>
      <c r="S5" s="527"/>
      <c r="T5" s="528">
        <f>SUM(T6:T7)</f>
        <v>20.170000000000002</v>
      </c>
      <c r="U5" s="474">
        <f>SUM(T5/T$4)</f>
        <v>4.4371603933387599E-2</v>
      </c>
      <c r="W5" s="527"/>
      <c r="X5" s="529">
        <f>SUM(X6:X7)</f>
        <v>104.47</v>
      </c>
      <c r="AA5" s="527"/>
      <c r="AB5" s="529">
        <f>SUM(AB6:AB7)</f>
        <v>120.24</v>
      </c>
      <c r="AC5" s="180"/>
      <c r="AD5" s="180"/>
      <c r="AE5" s="530"/>
      <c r="AF5" s="529">
        <f>SUM(AF6:AF7)</f>
        <v>15.26</v>
      </c>
      <c r="AI5" s="527"/>
      <c r="AM5" s="527"/>
      <c r="AQ5" s="527"/>
    </row>
    <row r="6" spans="1:44">
      <c r="A6" s="212" t="s">
        <v>684</v>
      </c>
      <c r="B6" s="531">
        <v>55.75</v>
      </c>
      <c r="C6" s="222"/>
      <c r="D6" s="527"/>
      <c r="E6" s="215">
        <v>6.49</v>
      </c>
      <c r="F6" s="510"/>
      <c r="G6" s="527"/>
      <c r="H6" s="510"/>
      <c r="K6" s="527"/>
      <c r="O6" s="527"/>
      <c r="S6" s="527"/>
      <c r="T6" s="532">
        <v>6.09</v>
      </c>
      <c r="U6" s="510"/>
      <c r="W6" s="527"/>
      <c r="X6" s="532">
        <v>41.28</v>
      </c>
      <c r="AA6" s="527"/>
      <c r="AB6" s="79">
        <v>40.97</v>
      </c>
      <c r="AC6" s="180"/>
      <c r="AD6" s="180"/>
      <c r="AE6" s="530"/>
      <c r="AF6" s="533">
        <v>2.85</v>
      </c>
      <c r="AI6" s="527"/>
      <c r="AM6" s="527"/>
      <c r="AQ6" s="527"/>
    </row>
    <row r="7" spans="1:44">
      <c r="A7" s="212" t="s">
        <v>1679</v>
      </c>
      <c r="B7" s="531">
        <v>15.31</v>
      </c>
      <c r="C7" s="222"/>
      <c r="D7" s="527"/>
      <c r="E7" s="215">
        <v>0.64</v>
      </c>
      <c r="F7" s="510"/>
      <c r="G7" s="527"/>
      <c r="H7" s="510"/>
      <c r="K7" s="527"/>
      <c r="O7" s="527"/>
      <c r="S7" s="527"/>
      <c r="T7" s="532">
        <v>14.08</v>
      </c>
      <c r="U7" s="510"/>
      <c r="W7" s="527"/>
      <c r="X7" s="532">
        <v>63.19</v>
      </c>
      <c r="AA7" s="527"/>
      <c r="AB7" s="79">
        <v>79.27</v>
      </c>
      <c r="AC7" s="180"/>
      <c r="AD7" s="180"/>
      <c r="AE7" s="530"/>
      <c r="AF7" s="533">
        <v>12.41</v>
      </c>
      <c r="AI7" s="527"/>
      <c r="AM7" s="527"/>
      <c r="AQ7" s="527"/>
    </row>
    <row r="8" spans="1:44">
      <c r="A8" s="534" t="s">
        <v>97</v>
      </c>
      <c r="B8" s="515">
        <f>SUM(B9:B21)</f>
        <v>766.9</v>
      </c>
      <c r="C8" s="474">
        <f>SUM(B8/$B$4)</f>
        <v>0.19888176013858702</v>
      </c>
      <c r="D8" s="527"/>
      <c r="E8" s="515">
        <f>SUM(E9:E21)</f>
        <v>82.820000000000007</v>
      </c>
      <c r="F8" s="474">
        <f>SUM(E8/E$4)</f>
        <v>0.23301353290380672</v>
      </c>
      <c r="G8" s="527"/>
      <c r="H8" s="510"/>
      <c r="K8" s="527"/>
      <c r="O8" s="527"/>
      <c r="S8" s="527"/>
      <c r="T8" s="535">
        <f>SUM(T9:T21)</f>
        <v>172.07000000000002</v>
      </c>
      <c r="U8" s="474">
        <f>SUM(T8/T$4)</f>
        <v>0.3785335591878039</v>
      </c>
      <c r="W8" s="527"/>
      <c r="X8" s="513"/>
      <c r="AA8" s="527"/>
      <c r="AB8" s="17"/>
      <c r="AC8" s="180"/>
      <c r="AD8" s="180"/>
      <c r="AE8" s="530"/>
      <c r="AF8" s="17"/>
      <c r="AI8" s="527"/>
      <c r="AM8" s="527"/>
      <c r="AQ8" s="527"/>
    </row>
    <row r="9" spans="1:44">
      <c r="A9" s="212" t="s">
        <v>1680</v>
      </c>
      <c r="B9" s="531">
        <v>95.4</v>
      </c>
      <c r="C9" s="222"/>
      <c r="D9" s="527"/>
      <c r="E9" s="212">
        <v>5.09</v>
      </c>
      <c r="F9" s="510"/>
      <c r="G9" s="527"/>
      <c r="H9" s="510"/>
      <c r="K9" s="527"/>
      <c r="O9" s="527"/>
      <c r="S9" s="527"/>
      <c r="T9" s="532">
        <v>13.53</v>
      </c>
      <c r="U9" s="510"/>
      <c r="W9" s="527"/>
      <c r="X9" s="532">
        <v>160.87</v>
      </c>
      <c r="AA9" s="527"/>
      <c r="AB9" s="533">
        <v>96.96</v>
      </c>
      <c r="AC9" s="180"/>
      <c r="AD9" s="180"/>
      <c r="AE9" s="530"/>
      <c r="AF9" s="533">
        <v>7.4</v>
      </c>
      <c r="AI9" s="527"/>
      <c r="AM9" s="527"/>
      <c r="AQ9" s="527"/>
    </row>
    <row r="10" spans="1:44">
      <c r="A10" s="212" t="s">
        <v>224</v>
      </c>
      <c r="B10" s="531">
        <v>41.2</v>
      </c>
      <c r="C10" s="222"/>
      <c r="D10" s="527"/>
      <c r="E10" s="212">
        <v>3.45</v>
      </c>
      <c r="F10" s="510"/>
      <c r="G10" s="527"/>
      <c r="H10" s="510"/>
      <c r="K10" s="527"/>
      <c r="O10" s="527"/>
      <c r="S10" s="527"/>
      <c r="T10" s="532">
        <v>23.69</v>
      </c>
      <c r="U10" s="510"/>
      <c r="W10" s="527"/>
      <c r="X10" s="536">
        <v>159.33000000000001</v>
      </c>
      <c r="AA10" s="527"/>
      <c r="AB10" s="533">
        <v>102.6</v>
      </c>
      <c r="AC10" s="180"/>
      <c r="AD10" s="180"/>
      <c r="AE10" s="530"/>
      <c r="AF10" s="533">
        <v>5.65</v>
      </c>
      <c r="AI10" s="527"/>
      <c r="AM10" s="527"/>
      <c r="AQ10" s="527"/>
    </row>
    <row r="11" spans="1:44">
      <c r="A11" s="212" t="s">
        <v>225</v>
      </c>
      <c r="B11" s="531">
        <v>53.8</v>
      </c>
      <c r="C11" s="222"/>
      <c r="D11" s="527"/>
      <c r="E11" s="212">
        <v>7.38</v>
      </c>
      <c r="F11" s="510"/>
      <c r="G11" s="527"/>
      <c r="H11" s="510"/>
      <c r="K11" s="527"/>
      <c r="O11" s="527"/>
      <c r="S11" s="527"/>
      <c r="T11" s="532">
        <v>11.73</v>
      </c>
      <c r="U11" s="510"/>
      <c r="W11" s="527"/>
      <c r="X11" s="536">
        <v>187.98</v>
      </c>
      <c r="AA11" s="527"/>
      <c r="AB11" s="533">
        <v>133.15</v>
      </c>
      <c r="AC11" s="180"/>
      <c r="AD11" s="180"/>
      <c r="AE11" s="530"/>
      <c r="AF11" s="533">
        <v>10.17</v>
      </c>
      <c r="AI11" s="527"/>
      <c r="AM11" s="527"/>
      <c r="AQ11" s="527"/>
    </row>
    <row r="12" spans="1:44">
      <c r="A12" s="212" t="s">
        <v>226</v>
      </c>
      <c r="B12" s="531">
        <v>15</v>
      </c>
      <c r="C12" s="222"/>
      <c r="D12" s="527"/>
      <c r="E12" s="212">
        <v>9.44</v>
      </c>
      <c r="F12" s="510"/>
      <c r="G12" s="527"/>
      <c r="H12" s="510"/>
      <c r="K12" s="527"/>
      <c r="O12" s="527"/>
      <c r="S12" s="527"/>
      <c r="T12" s="532">
        <v>3.37</v>
      </c>
      <c r="U12" s="510"/>
      <c r="W12" s="527"/>
      <c r="X12" s="536">
        <v>37.53</v>
      </c>
      <c r="AA12" s="527"/>
      <c r="AB12" s="533">
        <v>45.98</v>
      </c>
      <c r="AC12" s="180"/>
      <c r="AD12" s="180"/>
      <c r="AE12" s="530"/>
      <c r="AF12" s="533">
        <v>2.88</v>
      </c>
      <c r="AI12" s="527"/>
      <c r="AM12" s="527"/>
      <c r="AQ12" s="527"/>
    </row>
    <row r="13" spans="1:44">
      <c r="A13" s="212" t="s">
        <v>227</v>
      </c>
      <c r="B13" s="531">
        <v>192.4</v>
      </c>
      <c r="C13" s="222"/>
      <c r="D13" s="527"/>
      <c r="E13" s="212">
        <v>9.99</v>
      </c>
      <c r="F13" s="510"/>
      <c r="G13" s="527"/>
      <c r="H13" s="510"/>
      <c r="K13" s="527"/>
      <c r="O13" s="527"/>
      <c r="S13" s="527"/>
      <c r="T13" s="532">
        <v>25.92</v>
      </c>
      <c r="U13" s="510"/>
      <c r="W13" s="527"/>
      <c r="X13" s="536">
        <v>156.24</v>
      </c>
      <c r="AA13" s="527"/>
      <c r="AB13" s="533">
        <v>118.83</v>
      </c>
      <c r="AC13" s="180"/>
      <c r="AD13" s="180"/>
      <c r="AE13" s="530"/>
      <c r="AF13" s="533">
        <v>10.130000000000001</v>
      </c>
      <c r="AI13" s="527"/>
      <c r="AM13" s="527"/>
      <c r="AQ13" s="527"/>
    </row>
    <row r="14" spans="1:44">
      <c r="A14" s="212" t="s">
        <v>228</v>
      </c>
      <c r="B14" s="531">
        <v>41.8</v>
      </c>
      <c r="C14" s="222"/>
      <c r="D14" s="527"/>
      <c r="E14" s="212">
        <v>3.28</v>
      </c>
      <c r="F14" s="510"/>
      <c r="G14" s="527"/>
      <c r="H14" s="510"/>
      <c r="K14" s="527"/>
      <c r="O14" s="527"/>
      <c r="S14" s="527"/>
      <c r="T14" s="536">
        <v>5.87</v>
      </c>
      <c r="U14" s="510"/>
      <c r="W14" s="527"/>
      <c r="X14" s="536">
        <v>104.27</v>
      </c>
      <c r="AA14" s="527"/>
      <c r="AB14" s="533">
        <v>57.5</v>
      </c>
      <c r="AC14" s="180"/>
      <c r="AD14" s="180"/>
      <c r="AE14" s="530"/>
      <c r="AF14" s="533">
        <v>8.01</v>
      </c>
      <c r="AI14" s="527"/>
      <c r="AM14" s="527"/>
      <c r="AQ14" s="527"/>
    </row>
    <row r="15" spans="1:44">
      <c r="A15" s="212" t="s">
        <v>229</v>
      </c>
      <c r="B15" s="531">
        <v>47.9</v>
      </c>
      <c r="C15" s="222"/>
      <c r="D15" s="527"/>
      <c r="E15" s="212">
        <v>18.309999999999999</v>
      </c>
      <c r="F15" s="510"/>
      <c r="G15" s="527"/>
      <c r="H15" s="510"/>
      <c r="K15" s="527"/>
      <c r="O15" s="527"/>
      <c r="S15" s="527"/>
      <c r="T15" s="532">
        <v>11.48</v>
      </c>
      <c r="U15" s="510"/>
      <c r="W15" s="527"/>
      <c r="X15" s="536">
        <v>178.82</v>
      </c>
      <c r="AA15" s="527"/>
      <c r="AB15" s="533">
        <v>108.81</v>
      </c>
      <c r="AC15" s="180"/>
      <c r="AD15" s="180"/>
      <c r="AE15" s="530"/>
      <c r="AF15" s="533">
        <v>8.33</v>
      </c>
      <c r="AI15" s="527"/>
      <c r="AM15" s="527"/>
      <c r="AQ15" s="527"/>
    </row>
    <row r="16" spans="1:44">
      <c r="A16" s="212" t="s">
        <v>230</v>
      </c>
      <c r="B16" s="531">
        <v>62.5</v>
      </c>
      <c r="C16" s="222"/>
      <c r="D16" s="527"/>
      <c r="E16" s="212">
        <v>2.13</v>
      </c>
      <c r="F16" s="510"/>
      <c r="G16" s="527"/>
      <c r="H16" s="222"/>
      <c r="K16" s="527"/>
      <c r="O16" s="527"/>
      <c r="S16" s="527"/>
      <c r="T16" s="532">
        <v>8.73</v>
      </c>
      <c r="U16" s="510"/>
      <c r="W16" s="527"/>
      <c r="X16" s="536">
        <v>129.43</v>
      </c>
      <c r="AA16" s="527"/>
      <c r="AB16" s="533">
        <v>106.28</v>
      </c>
      <c r="AC16" s="180"/>
      <c r="AD16" s="180"/>
      <c r="AE16" s="530"/>
      <c r="AF16" s="533">
        <v>9.48</v>
      </c>
      <c r="AI16" s="527"/>
      <c r="AM16" s="527"/>
      <c r="AQ16" s="527"/>
    </row>
    <row r="17" spans="1:43">
      <c r="A17" s="212" t="s">
        <v>231</v>
      </c>
      <c r="B17" s="531">
        <v>108.3</v>
      </c>
      <c r="C17" s="222"/>
      <c r="D17" s="527"/>
      <c r="E17" s="212">
        <v>8.15</v>
      </c>
      <c r="F17" s="510"/>
      <c r="G17" s="527"/>
      <c r="H17" s="510"/>
      <c r="K17" s="527"/>
      <c r="O17" s="527"/>
      <c r="S17" s="527"/>
      <c r="T17" s="536">
        <v>28.54</v>
      </c>
      <c r="U17" s="510"/>
      <c r="W17" s="527"/>
      <c r="X17" s="536">
        <v>154.59</v>
      </c>
      <c r="AA17" s="527"/>
      <c r="AB17" s="533">
        <v>229.22</v>
      </c>
      <c r="AC17" s="180"/>
      <c r="AD17" s="180"/>
      <c r="AE17" s="530"/>
      <c r="AF17" s="533">
        <v>4.76</v>
      </c>
      <c r="AI17" s="527"/>
      <c r="AM17" s="527"/>
      <c r="AQ17" s="527"/>
    </row>
    <row r="18" spans="1:43">
      <c r="A18" s="212" t="s">
        <v>232</v>
      </c>
      <c r="B18" s="531">
        <v>64</v>
      </c>
      <c r="C18" s="222"/>
      <c r="D18" s="527"/>
      <c r="E18" s="212">
        <v>6.56</v>
      </c>
      <c r="F18" s="510"/>
      <c r="G18" s="527"/>
      <c r="H18" s="510"/>
      <c r="K18" s="527"/>
      <c r="O18" s="527"/>
      <c r="S18" s="527"/>
      <c r="T18" s="536">
        <v>11.33</v>
      </c>
      <c r="U18" s="510"/>
      <c r="W18" s="527"/>
      <c r="X18" s="536">
        <v>62.31</v>
      </c>
      <c r="AA18" s="527"/>
      <c r="AB18" s="533">
        <v>91.52</v>
      </c>
      <c r="AC18" s="180"/>
      <c r="AD18" s="180"/>
      <c r="AE18" s="530"/>
      <c r="AF18" s="533">
        <v>6.14</v>
      </c>
      <c r="AI18" s="527"/>
      <c r="AM18" s="527"/>
      <c r="AQ18" s="527"/>
    </row>
    <row r="19" spans="1:43">
      <c r="A19" s="212" t="s">
        <v>233</v>
      </c>
      <c r="B19" s="531" t="s">
        <v>1681</v>
      </c>
      <c r="C19" s="222"/>
      <c r="D19" s="527"/>
      <c r="E19" s="222" t="s">
        <v>1681</v>
      </c>
      <c r="F19" s="510"/>
      <c r="G19" s="527"/>
      <c r="H19" s="510"/>
      <c r="K19" s="527"/>
      <c r="O19" s="527"/>
      <c r="S19" s="527"/>
      <c r="T19" s="513"/>
      <c r="U19" s="510"/>
      <c r="W19" s="527"/>
      <c r="X19" s="513"/>
      <c r="AA19" s="527"/>
      <c r="AB19" s="17"/>
      <c r="AC19" s="180"/>
      <c r="AD19" s="180"/>
      <c r="AE19" s="530"/>
      <c r="AF19" s="17"/>
      <c r="AI19" s="527"/>
      <c r="AM19" s="527"/>
      <c r="AQ19" s="527"/>
    </row>
    <row r="20" spans="1:43">
      <c r="A20" s="212" t="s">
        <v>234</v>
      </c>
      <c r="B20" s="531">
        <v>33.200000000000003</v>
      </c>
      <c r="C20" s="222"/>
      <c r="D20" s="527"/>
      <c r="E20" s="215">
        <v>7.48</v>
      </c>
      <c r="F20" s="510"/>
      <c r="G20" s="527"/>
      <c r="H20" s="510"/>
      <c r="K20" s="527"/>
      <c r="O20" s="527"/>
      <c r="S20" s="527"/>
      <c r="T20" s="536">
        <v>24.71</v>
      </c>
      <c r="U20" s="510"/>
      <c r="W20" s="527"/>
      <c r="X20" s="536">
        <v>103.82</v>
      </c>
      <c r="AA20" s="527"/>
      <c r="AB20" s="533">
        <v>116.72</v>
      </c>
      <c r="AC20" s="180"/>
      <c r="AD20" s="180"/>
      <c r="AE20" s="530"/>
      <c r="AF20" s="533">
        <v>25.48</v>
      </c>
      <c r="AI20" s="527"/>
      <c r="AM20" s="527"/>
      <c r="AQ20" s="527"/>
    </row>
    <row r="21" spans="1:43">
      <c r="A21" s="212" t="s">
        <v>235</v>
      </c>
      <c r="B21" s="531">
        <v>11.4</v>
      </c>
      <c r="C21" s="222"/>
      <c r="D21" s="527"/>
      <c r="E21" s="215">
        <v>1.56</v>
      </c>
      <c r="F21" s="510"/>
      <c r="G21" s="527"/>
      <c r="H21" s="510"/>
      <c r="K21" s="527"/>
      <c r="O21" s="527"/>
      <c r="S21" s="527"/>
      <c r="T21" s="536">
        <v>3.17</v>
      </c>
      <c r="U21" s="510"/>
      <c r="W21" s="527"/>
      <c r="X21" s="536">
        <v>19.440000000000001</v>
      </c>
      <c r="AA21" s="527"/>
      <c r="AB21" s="533">
        <v>52.64</v>
      </c>
      <c r="AC21" s="180"/>
      <c r="AD21" s="180"/>
      <c r="AE21" s="530"/>
      <c r="AF21" s="533">
        <v>6.29</v>
      </c>
      <c r="AI21" s="527"/>
      <c r="AM21" s="527"/>
      <c r="AQ21" s="527"/>
    </row>
    <row r="22" spans="1:43">
      <c r="A22" s="287" t="s">
        <v>98</v>
      </c>
      <c r="B22" s="515">
        <f>SUM(B23:B26)</f>
        <v>207</v>
      </c>
      <c r="C22" s="474">
        <f>SUM(B22/$B$4)</f>
        <v>5.3681737317365391E-2</v>
      </c>
      <c r="D22" s="527"/>
      <c r="E22" s="515">
        <f>SUM(E23:E26)</f>
        <v>11.44</v>
      </c>
      <c r="F22" s="474">
        <f>SUM(E22/E$4)</f>
        <v>3.218636581042681E-2</v>
      </c>
      <c r="G22" s="527"/>
      <c r="H22" s="510"/>
      <c r="K22" s="527"/>
      <c r="O22" s="527"/>
      <c r="S22" s="527"/>
      <c r="T22" s="528">
        <f>SUM(T23:T26)</f>
        <v>35.76</v>
      </c>
      <c r="U22" s="474">
        <f>SUM(T22/T$4)</f>
        <v>7.8667751941395164E-2</v>
      </c>
      <c r="W22" s="527"/>
      <c r="X22" s="528">
        <f>SUM(X23:X26)</f>
        <v>263.82</v>
      </c>
      <c r="AA22" s="527"/>
      <c r="AB22" s="528">
        <f>SUM(AB23:AB26)</f>
        <v>170.20000000000002</v>
      </c>
      <c r="AC22" s="180"/>
      <c r="AD22" s="180"/>
      <c r="AE22" s="530"/>
      <c r="AF22" s="528">
        <f>SUM(AF23:AF26)</f>
        <v>40.299999999999997</v>
      </c>
      <c r="AI22" s="527"/>
      <c r="AM22" s="527"/>
      <c r="AQ22" s="527"/>
    </row>
    <row r="23" spans="1:43">
      <c r="A23" s="215" t="s">
        <v>236</v>
      </c>
      <c r="B23" s="531">
        <v>12.3</v>
      </c>
      <c r="C23" s="222"/>
      <c r="D23" s="527"/>
      <c r="E23" s="215">
        <v>2.85</v>
      </c>
      <c r="F23" s="510"/>
      <c r="G23" s="527"/>
      <c r="H23" s="510"/>
      <c r="K23" s="527"/>
      <c r="O23" s="527"/>
      <c r="S23" s="527"/>
      <c r="T23" s="533">
        <v>24.31</v>
      </c>
      <c r="U23" s="510"/>
      <c r="W23" s="527"/>
      <c r="X23" s="536">
        <v>35.090000000000003</v>
      </c>
      <c r="AA23" s="527"/>
      <c r="AB23" s="533">
        <v>23.33</v>
      </c>
      <c r="AC23" s="180"/>
      <c r="AD23" s="180"/>
      <c r="AE23" s="530"/>
      <c r="AF23" s="533">
        <v>6.57</v>
      </c>
      <c r="AI23" s="527"/>
      <c r="AM23" s="527"/>
      <c r="AQ23" s="527"/>
    </row>
    <row r="24" spans="1:43">
      <c r="A24" s="215" t="s">
        <v>237</v>
      </c>
      <c r="B24" s="531">
        <v>38.200000000000003</v>
      </c>
      <c r="C24" s="222"/>
      <c r="D24" s="527"/>
      <c r="E24" s="215">
        <v>3.25</v>
      </c>
      <c r="F24" s="510"/>
      <c r="G24" s="527"/>
      <c r="H24" s="510"/>
      <c r="K24" s="527"/>
      <c r="O24" s="527"/>
      <c r="S24" s="527"/>
      <c r="T24" s="533">
        <v>6.9</v>
      </c>
      <c r="U24" s="510"/>
      <c r="W24" s="527"/>
      <c r="X24" s="536">
        <v>79.86</v>
      </c>
      <c r="AA24" s="527"/>
      <c r="AB24" s="533">
        <v>56.35</v>
      </c>
      <c r="AC24" s="180"/>
      <c r="AD24" s="180"/>
      <c r="AE24" s="530"/>
      <c r="AF24" s="533">
        <v>14.4</v>
      </c>
      <c r="AI24" s="527"/>
      <c r="AM24" s="527"/>
      <c r="AQ24" s="527"/>
    </row>
    <row r="25" spans="1:43">
      <c r="A25" s="215" t="s">
        <v>238</v>
      </c>
      <c r="B25" s="531">
        <v>46.5</v>
      </c>
      <c r="C25" s="222"/>
      <c r="D25" s="527"/>
      <c r="E25" s="215">
        <v>1.98</v>
      </c>
      <c r="F25" s="510"/>
      <c r="G25" s="527"/>
      <c r="H25" s="510"/>
      <c r="K25" s="527"/>
      <c r="O25" s="527"/>
      <c r="S25" s="527"/>
      <c r="T25" s="533">
        <v>2.83</v>
      </c>
      <c r="U25" s="510"/>
      <c r="W25" s="527"/>
      <c r="X25" s="536">
        <v>128.04</v>
      </c>
      <c r="AA25" s="527"/>
      <c r="AB25" s="533">
        <v>61.17</v>
      </c>
      <c r="AC25" s="180"/>
      <c r="AD25" s="180"/>
      <c r="AE25" s="530"/>
      <c r="AF25" s="533">
        <v>12.72</v>
      </c>
      <c r="AI25" s="527"/>
      <c r="AM25" s="527"/>
      <c r="AQ25" s="527"/>
    </row>
    <row r="26" spans="1:43">
      <c r="A26" s="215" t="s">
        <v>239</v>
      </c>
      <c r="B26" s="531">
        <v>110</v>
      </c>
      <c r="C26" s="222"/>
      <c r="D26" s="527"/>
      <c r="E26" s="215">
        <v>3.36</v>
      </c>
      <c r="F26" s="510"/>
      <c r="G26" s="527"/>
      <c r="H26" s="510"/>
      <c r="K26" s="527"/>
      <c r="O26" s="527"/>
      <c r="S26" s="527"/>
      <c r="T26" s="533">
        <v>1.72</v>
      </c>
      <c r="U26" s="510"/>
      <c r="W26" s="527"/>
      <c r="X26" s="536">
        <v>20.83</v>
      </c>
      <c r="AA26" s="527"/>
      <c r="AB26" s="533">
        <v>29.35</v>
      </c>
      <c r="AC26" s="180"/>
      <c r="AD26" s="180"/>
      <c r="AE26" s="530"/>
      <c r="AF26" s="533">
        <v>6.61</v>
      </c>
      <c r="AI26" s="527"/>
      <c r="AM26" s="527"/>
      <c r="AQ26" s="527"/>
    </row>
    <row r="27" spans="1:43">
      <c r="A27" s="287"/>
      <c r="B27" s="515"/>
      <c r="C27" s="222"/>
      <c r="D27" s="527"/>
      <c r="F27" s="510"/>
      <c r="G27" s="527"/>
      <c r="H27" s="510"/>
      <c r="K27" s="527"/>
      <c r="O27" s="527"/>
      <c r="S27" s="527"/>
      <c r="T27" s="14"/>
      <c r="U27" s="510"/>
      <c r="W27" s="527"/>
      <c r="X27" s="513"/>
      <c r="AA27" s="527"/>
      <c r="AB27" s="17"/>
      <c r="AC27" s="180"/>
      <c r="AD27" s="180"/>
      <c r="AE27" s="530"/>
      <c r="AF27" s="17"/>
      <c r="AI27" s="527"/>
      <c r="AM27" s="527"/>
      <c r="AQ27" s="527"/>
    </row>
    <row r="28" spans="1:43">
      <c r="A28" s="287" t="s">
        <v>99</v>
      </c>
      <c r="B28" s="515">
        <f>SUM(B29:B40)</f>
        <v>1991.6000000000001</v>
      </c>
      <c r="C28" s="474">
        <f>SUM(B28/$B$4)</f>
        <v>0.51648573932978215</v>
      </c>
      <c r="D28" s="527"/>
      <c r="E28" s="515">
        <f>SUM(E29:E40)</f>
        <v>81.639999999999986</v>
      </c>
      <c r="F28" s="474">
        <f>SUM(E28/E$4)</f>
        <v>0.22969361055622767</v>
      </c>
      <c r="G28" s="527"/>
      <c r="H28" s="510"/>
      <c r="K28" s="527"/>
      <c r="O28" s="527"/>
      <c r="S28" s="527"/>
      <c r="T28" s="528">
        <f>SUM(T29:T32)</f>
        <v>31.13</v>
      </c>
      <c r="U28" s="474">
        <f>SUM(T28/T$4)</f>
        <v>6.8482301955694394E-2</v>
      </c>
      <c r="W28" s="527"/>
      <c r="X28" s="528">
        <f>SUM(X29:X32)</f>
        <v>659.23</v>
      </c>
      <c r="AA28" s="527"/>
      <c r="AB28" s="528">
        <f>SUM(AB29:AB32)</f>
        <v>314.78000000000003</v>
      </c>
      <c r="AC28" s="180"/>
      <c r="AD28" s="180"/>
      <c r="AE28" s="530"/>
      <c r="AF28" s="528">
        <f>SUM(AF29:AF32)</f>
        <v>5.95</v>
      </c>
      <c r="AI28" s="527"/>
      <c r="AM28" s="527"/>
      <c r="AQ28" s="527"/>
    </row>
    <row r="29" spans="1:43">
      <c r="A29" s="212" t="s">
        <v>103</v>
      </c>
      <c r="B29" s="531">
        <v>215.1</v>
      </c>
      <c r="C29" s="222"/>
      <c r="D29" s="527"/>
      <c r="E29" s="212">
        <v>12.99</v>
      </c>
      <c r="F29" s="510"/>
      <c r="G29" s="527"/>
      <c r="H29" s="510"/>
      <c r="K29" s="527"/>
      <c r="O29" s="527"/>
      <c r="S29" s="527"/>
      <c r="T29" s="537">
        <v>21.85</v>
      </c>
      <c r="U29" s="510"/>
      <c r="W29" s="527"/>
      <c r="X29" s="532">
        <v>115.1</v>
      </c>
      <c r="AA29" s="527"/>
      <c r="AB29" s="533">
        <v>94.93</v>
      </c>
      <c r="AC29" s="180"/>
      <c r="AD29" s="180"/>
      <c r="AE29" s="530"/>
      <c r="AF29" s="533">
        <v>2.56</v>
      </c>
      <c r="AI29" s="527"/>
      <c r="AM29" s="527"/>
      <c r="AQ29" s="527"/>
    </row>
    <row r="30" spans="1:43">
      <c r="A30" s="212" t="s">
        <v>279</v>
      </c>
      <c r="B30" s="531">
        <v>59.3</v>
      </c>
      <c r="C30" s="222"/>
      <c r="D30" s="527"/>
      <c r="E30" s="212">
        <v>1.5</v>
      </c>
      <c r="F30" s="510"/>
      <c r="G30" s="527"/>
      <c r="H30" s="510"/>
      <c r="K30" s="527"/>
      <c r="O30" s="527"/>
      <c r="S30" s="527"/>
      <c r="T30" s="533">
        <v>0.25</v>
      </c>
      <c r="U30" s="510"/>
      <c r="W30" s="527"/>
      <c r="X30" s="536">
        <v>48.34</v>
      </c>
      <c r="AA30" s="527"/>
      <c r="AB30" s="533">
        <v>34.049999999999997</v>
      </c>
      <c r="AC30" s="180"/>
      <c r="AD30" s="180"/>
      <c r="AE30" s="530"/>
      <c r="AF30" s="533">
        <v>2.44</v>
      </c>
      <c r="AI30" s="527"/>
      <c r="AM30" s="527"/>
      <c r="AQ30" s="527"/>
    </row>
    <row r="31" spans="1:43">
      <c r="A31" s="212" t="s">
        <v>280</v>
      </c>
      <c r="B31" s="531">
        <v>200</v>
      </c>
      <c r="C31" s="222"/>
      <c r="D31" s="527"/>
      <c r="E31" s="212">
        <v>11.64</v>
      </c>
      <c r="F31" s="510"/>
      <c r="G31" s="527"/>
      <c r="H31" s="510"/>
      <c r="K31" s="527"/>
      <c r="O31" s="527"/>
      <c r="S31" s="527"/>
      <c r="T31" s="533">
        <v>5.83</v>
      </c>
      <c r="U31" s="510"/>
      <c r="W31" s="527"/>
      <c r="X31" s="536">
        <v>336.18</v>
      </c>
      <c r="AA31" s="527"/>
      <c r="AB31" s="533">
        <v>110.87</v>
      </c>
      <c r="AC31" s="180"/>
      <c r="AD31" s="180"/>
      <c r="AE31" s="530"/>
      <c r="AF31" s="533">
        <v>0</v>
      </c>
      <c r="AI31" s="527"/>
      <c r="AM31" s="527"/>
      <c r="AQ31" s="527"/>
    </row>
    <row r="32" spans="1:43">
      <c r="A32" s="212" t="s">
        <v>281</v>
      </c>
      <c r="B32" s="531">
        <v>131.80000000000001</v>
      </c>
      <c r="C32" s="222"/>
      <c r="D32" s="527"/>
      <c r="E32" s="212">
        <v>8.86</v>
      </c>
      <c r="F32" s="510"/>
      <c r="G32" s="527"/>
      <c r="H32" s="510"/>
      <c r="K32" s="527"/>
      <c r="O32" s="527"/>
      <c r="S32" s="527"/>
      <c r="T32" s="533">
        <v>3.2</v>
      </c>
      <c r="U32" s="510"/>
      <c r="W32" s="527"/>
      <c r="X32" s="536">
        <v>159.61000000000001</v>
      </c>
      <c r="AA32" s="527"/>
      <c r="AB32" s="533">
        <v>74.930000000000007</v>
      </c>
      <c r="AC32" s="180"/>
      <c r="AD32" s="180"/>
      <c r="AE32" s="530"/>
      <c r="AF32" s="533">
        <v>0.95</v>
      </c>
      <c r="AI32" s="527"/>
      <c r="AM32" s="527"/>
      <c r="AQ32" s="527"/>
    </row>
    <row r="33" spans="1:43">
      <c r="A33" s="212" t="s">
        <v>282</v>
      </c>
      <c r="B33" s="531">
        <v>138</v>
      </c>
      <c r="C33" s="222"/>
      <c r="D33" s="527"/>
      <c r="E33" s="212">
        <v>6.11</v>
      </c>
      <c r="F33" s="510"/>
      <c r="G33" s="527"/>
      <c r="H33" s="510"/>
      <c r="K33" s="527"/>
      <c r="O33" s="527"/>
      <c r="S33" s="527"/>
      <c r="T33" s="533">
        <v>8.0399999999999991</v>
      </c>
      <c r="U33" s="510"/>
      <c r="W33" s="527"/>
      <c r="X33" s="536">
        <v>49.77</v>
      </c>
      <c r="AA33" s="527"/>
      <c r="AB33" s="533">
        <v>49.93</v>
      </c>
      <c r="AC33" s="180"/>
      <c r="AD33" s="180"/>
      <c r="AE33" s="530"/>
      <c r="AF33" s="533">
        <v>0.04</v>
      </c>
      <c r="AI33" s="527"/>
      <c r="AM33" s="527"/>
      <c r="AQ33" s="527"/>
    </row>
    <row r="34" spans="1:43">
      <c r="A34" s="212" t="s">
        <v>283</v>
      </c>
      <c r="B34" s="531">
        <v>270</v>
      </c>
      <c r="C34" s="222"/>
      <c r="D34" s="527"/>
      <c r="E34" s="212">
        <v>8.6199999999999992</v>
      </c>
      <c r="F34" s="510"/>
      <c r="G34" s="527"/>
      <c r="H34" s="510"/>
      <c r="K34" s="527"/>
      <c r="O34" s="527"/>
      <c r="S34" s="527"/>
      <c r="T34" s="533">
        <v>4.5</v>
      </c>
      <c r="U34" s="510"/>
      <c r="W34" s="527"/>
      <c r="X34" s="536">
        <v>191.92</v>
      </c>
      <c r="AA34" s="527"/>
      <c r="AB34" s="533">
        <v>90.68</v>
      </c>
      <c r="AC34" s="180"/>
      <c r="AD34" s="180"/>
      <c r="AE34" s="530"/>
      <c r="AF34" s="533">
        <v>0.49</v>
      </c>
      <c r="AI34" s="527"/>
      <c r="AM34" s="527"/>
      <c r="AQ34" s="527"/>
    </row>
    <row r="35" spans="1:43">
      <c r="A35" s="212" t="s">
        <v>284</v>
      </c>
      <c r="B35" s="531">
        <v>208.4</v>
      </c>
      <c r="C35" s="222"/>
      <c r="D35" s="527"/>
      <c r="E35" s="212">
        <v>4.32</v>
      </c>
      <c r="F35" s="510"/>
      <c r="G35" s="527"/>
      <c r="H35" s="510"/>
      <c r="K35" s="527"/>
      <c r="O35" s="527"/>
      <c r="S35" s="527"/>
      <c r="T35" s="533">
        <v>1.1399999999999999</v>
      </c>
      <c r="U35" s="510"/>
      <c r="W35" s="527"/>
      <c r="X35" s="536">
        <v>184.35</v>
      </c>
      <c r="AA35" s="527"/>
      <c r="AB35" s="533">
        <v>29.11</v>
      </c>
      <c r="AC35" s="180"/>
      <c r="AD35" s="180"/>
      <c r="AE35" s="530"/>
      <c r="AF35" s="533">
        <v>5.38</v>
      </c>
      <c r="AI35" s="527"/>
      <c r="AM35" s="527"/>
      <c r="AQ35" s="527"/>
    </row>
    <row r="36" spans="1:43">
      <c r="A36" s="212" t="s">
        <v>285</v>
      </c>
      <c r="B36" s="531">
        <v>173.1</v>
      </c>
      <c r="C36" s="222"/>
      <c r="D36" s="527"/>
      <c r="E36" s="212">
        <v>4.07</v>
      </c>
      <c r="F36" s="510"/>
      <c r="G36" s="527"/>
      <c r="H36" s="510"/>
      <c r="K36" s="527"/>
      <c r="O36" s="527"/>
      <c r="S36" s="527"/>
      <c r="T36" s="533">
        <v>0.48</v>
      </c>
      <c r="U36" s="510"/>
      <c r="W36" s="527"/>
      <c r="X36" s="536">
        <v>47.31</v>
      </c>
      <c r="AA36" s="527"/>
      <c r="AB36" s="533">
        <v>30.11</v>
      </c>
      <c r="AC36" s="180"/>
      <c r="AD36" s="180"/>
      <c r="AE36" s="530"/>
      <c r="AF36" s="533">
        <v>0.51</v>
      </c>
      <c r="AI36" s="527"/>
      <c r="AM36" s="527"/>
      <c r="AQ36" s="527"/>
    </row>
    <row r="37" spans="1:43">
      <c r="A37" s="212" t="s">
        <v>286</v>
      </c>
      <c r="B37" s="531">
        <v>56.7</v>
      </c>
      <c r="C37" s="222"/>
      <c r="D37" s="527"/>
      <c r="E37" s="212">
        <v>2.44</v>
      </c>
      <c r="F37" s="510"/>
      <c r="G37" s="527"/>
      <c r="H37" s="510"/>
      <c r="K37" s="527"/>
      <c r="O37" s="527"/>
      <c r="S37" s="527"/>
      <c r="T37" s="533">
        <v>0.37</v>
      </c>
      <c r="U37" s="510"/>
      <c r="W37" s="527"/>
      <c r="X37" s="536">
        <v>208.83</v>
      </c>
      <c r="AA37" s="527"/>
      <c r="AB37" s="533">
        <v>33.21</v>
      </c>
      <c r="AC37" s="180"/>
      <c r="AD37" s="180"/>
      <c r="AE37" s="530"/>
      <c r="AF37" s="533">
        <v>2.19</v>
      </c>
      <c r="AI37" s="527"/>
      <c r="AM37" s="527"/>
      <c r="AQ37" s="527"/>
    </row>
    <row r="38" spans="1:43">
      <c r="A38" s="212" t="s">
        <v>287</v>
      </c>
      <c r="B38" s="531">
        <v>218</v>
      </c>
      <c r="C38" s="222"/>
      <c r="D38" s="527"/>
      <c r="E38" s="212">
        <v>6.59</v>
      </c>
      <c r="F38" s="510"/>
      <c r="G38" s="527"/>
      <c r="H38" s="510"/>
      <c r="K38" s="527"/>
      <c r="O38" s="527"/>
      <c r="S38" s="527"/>
      <c r="T38" s="533">
        <v>2.25</v>
      </c>
      <c r="U38" s="510"/>
      <c r="W38" s="527"/>
      <c r="X38" s="536">
        <v>274.14999999999998</v>
      </c>
      <c r="AA38" s="527"/>
      <c r="AB38" s="533">
        <v>91.17</v>
      </c>
      <c r="AC38" s="180"/>
      <c r="AD38" s="180"/>
      <c r="AE38" s="530"/>
      <c r="AF38" s="533">
        <v>0.05</v>
      </c>
      <c r="AI38" s="527"/>
      <c r="AM38" s="527"/>
      <c r="AQ38" s="527"/>
    </row>
    <row r="39" spans="1:43">
      <c r="A39" s="212" t="s">
        <v>288</v>
      </c>
      <c r="B39" s="531">
        <v>175.9</v>
      </c>
      <c r="C39" s="222"/>
      <c r="D39" s="527"/>
      <c r="E39" s="212">
        <v>7.43</v>
      </c>
      <c r="F39" s="510"/>
      <c r="G39" s="527"/>
      <c r="H39" s="510"/>
      <c r="K39" s="527"/>
      <c r="O39" s="527"/>
      <c r="S39" s="527"/>
      <c r="T39" s="533">
        <v>4.8499999999999996</v>
      </c>
      <c r="U39" s="510"/>
      <c r="W39" s="527"/>
      <c r="X39" s="536">
        <v>254.11</v>
      </c>
      <c r="AA39" s="527"/>
      <c r="AB39" s="533">
        <v>127.17</v>
      </c>
      <c r="AC39" s="180"/>
      <c r="AD39" s="180"/>
      <c r="AE39" s="530"/>
      <c r="AF39" s="533">
        <v>12.99</v>
      </c>
      <c r="AI39" s="527"/>
      <c r="AM39" s="527"/>
      <c r="AQ39" s="527"/>
    </row>
    <row r="40" spans="1:43">
      <c r="A40" s="212" t="s">
        <v>289</v>
      </c>
      <c r="B40" s="531">
        <v>145.30000000000001</v>
      </c>
      <c r="C40" s="222"/>
      <c r="D40" s="527"/>
      <c r="E40" s="212">
        <v>7.07</v>
      </c>
      <c r="F40" s="510"/>
      <c r="G40" s="527"/>
      <c r="H40" s="510"/>
      <c r="K40" s="527"/>
      <c r="O40" s="527"/>
      <c r="S40" s="527"/>
      <c r="T40" s="533">
        <v>2.94</v>
      </c>
      <c r="U40" s="510"/>
      <c r="W40" s="527"/>
      <c r="X40" s="536">
        <v>143.09</v>
      </c>
      <c r="AA40" s="527"/>
      <c r="AB40" s="533">
        <v>56.1</v>
      </c>
      <c r="AC40" s="180"/>
      <c r="AD40" s="180"/>
      <c r="AE40" s="530"/>
      <c r="AF40" s="17"/>
      <c r="AI40" s="527"/>
      <c r="AM40" s="527"/>
      <c r="AQ40" s="527"/>
    </row>
    <row r="41" spans="1:43">
      <c r="A41" s="287"/>
      <c r="B41" s="512"/>
      <c r="C41" s="222"/>
      <c r="D41" s="527"/>
      <c r="F41" s="510"/>
      <c r="G41" s="527"/>
      <c r="H41" s="510"/>
      <c r="K41" s="527"/>
      <c r="O41" s="527"/>
      <c r="S41" s="527"/>
      <c r="T41" s="14"/>
      <c r="U41" s="510"/>
      <c r="W41" s="527"/>
      <c r="X41" s="513"/>
      <c r="AA41" s="527"/>
      <c r="AB41" s="17"/>
      <c r="AC41" s="180"/>
      <c r="AD41" s="180"/>
      <c r="AE41" s="530"/>
      <c r="AF41" s="17"/>
      <c r="AI41" s="527"/>
      <c r="AM41" s="527"/>
      <c r="AQ41" s="527"/>
    </row>
    <row r="42" spans="1:43">
      <c r="A42" s="287" t="s">
        <v>100</v>
      </c>
      <c r="B42" s="515">
        <v>248</v>
      </c>
      <c r="C42" s="474">
        <f>SUM(B42/$B$4)</f>
        <v>6.4314351955104432E-2</v>
      </c>
      <c r="D42" s="527"/>
      <c r="E42" s="287">
        <v>14.42</v>
      </c>
      <c r="F42" s="474">
        <f>SUM(E42/E$4)</f>
        <v>4.0570576484821208E-2</v>
      </c>
      <c r="G42" s="527"/>
      <c r="H42" s="510"/>
      <c r="K42" s="527"/>
      <c r="O42" s="527"/>
      <c r="S42" s="527"/>
      <c r="T42" s="165">
        <v>21.61</v>
      </c>
      <c r="U42" s="474">
        <f>SUM(T42/T$4)</f>
        <v>4.7539432870624988E-2</v>
      </c>
      <c r="W42" s="527"/>
      <c r="X42" s="86">
        <v>113.42</v>
      </c>
      <c r="AA42" s="527"/>
      <c r="AB42" s="86">
        <v>107.63</v>
      </c>
      <c r="AC42" s="180"/>
      <c r="AD42" s="180"/>
      <c r="AE42" s="530"/>
      <c r="AF42" s="86">
        <v>5.01</v>
      </c>
      <c r="AI42" s="527"/>
      <c r="AM42" s="527"/>
      <c r="AQ42" s="527"/>
    </row>
    <row r="43" spans="1:43">
      <c r="A43" s="222" t="s">
        <v>290</v>
      </c>
      <c r="B43" s="515"/>
      <c r="C43" s="474"/>
      <c r="D43" s="527"/>
      <c r="E43" s="515"/>
      <c r="F43" s="474"/>
      <c r="G43" s="527"/>
      <c r="H43" s="510"/>
      <c r="K43" s="527"/>
      <c r="O43" s="527"/>
      <c r="S43" s="527"/>
      <c r="T43" s="528"/>
      <c r="U43" s="474"/>
      <c r="W43" s="527"/>
      <c r="X43" s="528"/>
      <c r="AA43" s="527"/>
      <c r="AB43" s="528"/>
      <c r="AC43" s="180"/>
      <c r="AD43" s="180"/>
      <c r="AE43" s="530"/>
      <c r="AF43" s="528"/>
      <c r="AI43" s="527"/>
      <c r="AM43" s="527"/>
      <c r="AQ43" s="527"/>
    </row>
    <row r="44" spans="1:43">
      <c r="A44" s="222" t="s">
        <v>135</v>
      </c>
      <c r="B44" s="515"/>
      <c r="C44" s="474"/>
      <c r="D44" s="527"/>
      <c r="E44" s="515"/>
      <c r="F44" s="474"/>
      <c r="G44" s="527"/>
      <c r="H44" s="510"/>
      <c r="K44" s="527"/>
      <c r="O44" s="527"/>
      <c r="S44" s="527"/>
      <c r="T44" s="528"/>
      <c r="U44" s="474"/>
      <c r="W44" s="527"/>
      <c r="X44" s="528"/>
      <c r="AA44" s="527"/>
      <c r="AB44" s="528"/>
      <c r="AC44" s="180"/>
      <c r="AD44" s="180"/>
      <c r="AE44" s="530"/>
      <c r="AF44" s="528"/>
      <c r="AI44" s="527"/>
      <c r="AM44" s="527"/>
      <c r="AQ44" s="527"/>
    </row>
    <row r="45" spans="1:43">
      <c r="A45" s="287" t="s">
        <v>101</v>
      </c>
      <c r="B45" s="515">
        <f>SUM(B46:B58)</f>
        <v>331.29999999999995</v>
      </c>
      <c r="C45" s="474">
        <f>SUM(B45/$B$4)</f>
        <v>8.5916712914218124E-2</v>
      </c>
      <c r="D45" s="527"/>
      <c r="E45" s="515">
        <f>SUM(E46:E58)</f>
        <v>132.76</v>
      </c>
      <c r="F45" s="474">
        <f>SUM(E45/E$4)</f>
        <v>0.37351939903778525</v>
      </c>
      <c r="G45" s="527"/>
      <c r="H45" s="510"/>
      <c r="K45" s="527"/>
      <c r="O45" s="527"/>
      <c r="S45" s="527"/>
      <c r="T45" s="528">
        <f>SUM(T46:T49)</f>
        <v>154.43</v>
      </c>
      <c r="U45" s="474">
        <f>SUM(T45/T$4)</f>
        <v>0.33972765470664584</v>
      </c>
      <c r="W45" s="527"/>
      <c r="X45" s="528">
        <f>SUM(X46:X49)</f>
        <v>599.19000000000005</v>
      </c>
      <c r="AA45" s="527"/>
      <c r="AB45" s="528">
        <f>SUM(AB46:AB49)</f>
        <v>285.39</v>
      </c>
      <c r="AC45" s="180"/>
      <c r="AD45" s="180"/>
      <c r="AE45" s="530"/>
      <c r="AF45" s="528">
        <f>SUM(AF46:AF49)</f>
        <v>9.69</v>
      </c>
      <c r="AI45" s="527"/>
      <c r="AM45" s="527"/>
      <c r="AQ45" s="527"/>
    </row>
    <row r="46" spans="1:43">
      <c r="A46" s="215" t="s">
        <v>646</v>
      </c>
      <c r="B46" s="538">
        <v>220.1</v>
      </c>
      <c r="C46" s="222"/>
      <c r="D46" s="527"/>
      <c r="E46" s="222">
        <v>8.42</v>
      </c>
      <c r="F46" s="510"/>
      <c r="G46" s="527"/>
      <c r="H46" s="510"/>
      <c r="K46" s="527"/>
      <c r="O46" s="527"/>
      <c r="S46" s="527"/>
      <c r="T46" s="537">
        <v>26.87</v>
      </c>
      <c r="U46" s="510"/>
      <c r="W46" s="527"/>
      <c r="X46" s="532">
        <v>101.47</v>
      </c>
      <c r="AA46" s="527"/>
      <c r="AB46" s="533">
        <v>88.71</v>
      </c>
      <c r="AC46" s="180"/>
      <c r="AD46" s="180"/>
      <c r="AE46" s="530"/>
      <c r="AF46" s="533">
        <v>2.09</v>
      </c>
      <c r="AI46" s="527"/>
      <c r="AM46" s="527"/>
      <c r="AQ46" s="527"/>
    </row>
    <row r="47" spans="1:43">
      <c r="A47" s="215" t="s">
        <v>293</v>
      </c>
      <c r="B47" s="538">
        <v>18.3</v>
      </c>
      <c r="C47" s="222"/>
      <c r="D47" s="527"/>
      <c r="E47" s="222">
        <v>16.16</v>
      </c>
      <c r="F47" s="510"/>
      <c r="G47" s="527"/>
      <c r="H47" s="510"/>
      <c r="K47" s="527"/>
      <c r="O47" s="527"/>
      <c r="S47" s="527"/>
      <c r="T47" s="537">
        <v>46.7</v>
      </c>
      <c r="U47" s="510"/>
      <c r="W47" s="527"/>
      <c r="X47" s="532">
        <v>90.25</v>
      </c>
      <c r="AA47" s="527"/>
      <c r="AB47" s="79">
        <v>76.510000000000005</v>
      </c>
      <c r="AC47" s="180"/>
      <c r="AD47" s="180"/>
      <c r="AE47" s="530"/>
      <c r="AF47" s="533">
        <v>1.33</v>
      </c>
      <c r="AI47" s="527"/>
      <c r="AM47" s="527"/>
      <c r="AQ47" s="527"/>
    </row>
    <row r="48" spans="1:43">
      <c r="A48" s="215" t="s">
        <v>294</v>
      </c>
      <c r="B48" s="538">
        <v>3.7</v>
      </c>
      <c r="C48" s="222"/>
      <c r="D48" s="527"/>
      <c r="E48" s="222">
        <v>1.32</v>
      </c>
      <c r="F48" s="510"/>
      <c r="G48" s="527"/>
      <c r="H48" s="510"/>
      <c r="K48" s="527"/>
      <c r="O48" s="527"/>
      <c r="S48" s="527"/>
      <c r="T48" s="533">
        <v>42.69</v>
      </c>
      <c r="U48" s="510"/>
      <c r="W48" s="527"/>
      <c r="X48" s="536">
        <v>30.3</v>
      </c>
      <c r="AA48" s="527"/>
      <c r="AB48" s="533">
        <v>26.25</v>
      </c>
      <c r="AC48" s="180"/>
      <c r="AD48" s="180"/>
      <c r="AE48" s="530"/>
      <c r="AF48" s="533">
        <v>4.92</v>
      </c>
      <c r="AI48" s="527"/>
      <c r="AM48" s="527"/>
      <c r="AQ48" s="527"/>
    </row>
    <row r="49" spans="1:43">
      <c r="A49" s="215" t="s">
        <v>295</v>
      </c>
      <c r="B49" s="538">
        <v>2.4</v>
      </c>
      <c r="C49" s="222"/>
      <c r="D49" s="527"/>
      <c r="E49" s="222">
        <v>22.72</v>
      </c>
      <c r="F49" s="510"/>
      <c r="G49" s="527"/>
      <c r="H49" s="510"/>
      <c r="K49" s="527"/>
      <c r="O49" s="527"/>
      <c r="S49" s="527"/>
      <c r="T49" s="533">
        <v>38.17</v>
      </c>
      <c r="U49" s="510"/>
      <c r="W49" s="527"/>
      <c r="X49" s="536">
        <v>377.17</v>
      </c>
      <c r="AA49" s="527"/>
      <c r="AB49" s="533">
        <v>93.92</v>
      </c>
      <c r="AC49" s="180"/>
      <c r="AD49" s="180"/>
      <c r="AE49" s="530"/>
      <c r="AF49" s="533">
        <v>1.35</v>
      </c>
      <c r="AI49" s="527"/>
      <c r="AM49" s="527"/>
      <c r="AQ49" s="527"/>
    </row>
    <row r="50" spans="1:43">
      <c r="A50" s="215" t="s">
        <v>296</v>
      </c>
      <c r="B50" s="538">
        <v>3.5</v>
      </c>
      <c r="C50" s="222"/>
      <c r="D50" s="527"/>
      <c r="E50" s="222">
        <v>5.57</v>
      </c>
      <c r="F50" s="510"/>
      <c r="G50" s="527"/>
      <c r="H50" s="510"/>
      <c r="K50" s="527"/>
      <c r="O50" s="527"/>
      <c r="S50" s="527"/>
      <c r="T50" s="533">
        <v>44.67</v>
      </c>
      <c r="U50" s="510"/>
      <c r="W50" s="527"/>
      <c r="X50" s="536">
        <v>43.73</v>
      </c>
      <c r="AA50" s="527"/>
      <c r="AB50" s="533">
        <v>58.38</v>
      </c>
      <c r="AC50" s="180"/>
      <c r="AD50" s="180"/>
      <c r="AE50" s="530"/>
      <c r="AF50" s="533">
        <v>1.1100000000000001</v>
      </c>
      <c r="AI50" s="527"/>
      <c r="AM50" s="527"/>
      <c r="AQ50" s="527"/>
    </row>
    <row r="51" spans="1:43">
      <c r="A51" s="215" t="s">
        <v>297</v>
      </c>
      <c r="B51" s="538">
        <v>24.9</v>
      </c>
      <c r="D51" s="337"/>
      <c r="E51" s="222">
        <v>19.64</v>
      </c>
      <c r="G51" s="337"/>
      <c r="K51" s="337"/>
      <c r="O51" s="337"/>
      <c r="S51" s="337"/>
      <c r="T51" s="533">
        <v>45.49</v>
      </c>
      <c r="W51" s="337"/>
      <c r="X51" s="536">
        <v>91.1</v>
      </c>
      <c r="AA51" s="337"/>
      <c r="AB51" s="533">
        <v>52.85</v>
      </c>
      <c r="AC51" s="180"/>
      <c r="AD51" s="180"/>
      <c r="AE51" s="514"/>
      <c r="AF51" s="533">
        <v>1.55</v>
      </c>
      <c r="AI51" s="337"/>
      <c r="AM51" s="337"/>
      <c r="AQ51" s="337"/>
    </row>
    <row r="52" spans="1:43">
      <c r="A52" s="215" t="s">
        <v>299</v>
      </c>
      <c r="B52" s="538">
        <v>10.199999999999999</v>
      </c>
      <c r="D52" s="337"/>
      <c r="E52" s="222">
        <v>5.4</v>
      </c>
      <c r="G52" s="337"/>
      <c r="K52" s="337"/>
      <c r="O52" s="337"/>
      <c r="S52" s="337"/>
      <c r="T52" s="533">
        <v>47.32</v>
      </c>
      <c r="W52" s="337"/>
      <c r="X52" s="536">
        <v>82.79</v>
      </c>
      <c r="AA52" s="337"/>
      <c r="AB52" s="533">
        <v>39.32</v>
      </c>
      <c r="AC52" s="180"/>
      <c r="AD52" s="180"/>
      <c r="AE52" s="514"/>
      <c r="AF52" s="533">
        <v>13.95</v>
      </c>
      <c r="AI52" s="337"/>
      <c r="AM52" s="337"/>
      <c r="AQ52" s="337"/>
    </row>
    <row r="53" spans="1:43">
      <c r="A53" s="215" t="s">
        <v>298</v>
      </c>
      <c r="B53" s="538">
        <v>29.8</v>
      </c>
      <c r="D53" s="337"/>
      <c r="E53" s="222">
        <v>17.88</v>
      </c>
      <c r="G53" s="337"/>
      <c r="K53" s="337"/>
      <c r="O53" s="337"/>
      <c r="S53" s="337"/>
      <c r="T53" s="533">
        <v>57.62</v>
      </c>
      <c r="W53" s="337"/>
      <c r="X53" s="536">
        <v>66.45</v>
      </c>
      <c r="AA53" s="337"/>
      <c r="AB53" s="533">
        <v>45.29</v>
      </c>
      <c r="AC53" s="180"/>
      <c r="AD53" s="180"/>
      <c r="AE53" s="514"/>
      <c r="AF53" s="17"/>
      <c r="AI53" s="337"/>
      <c r="AM53" s="337"/>
      <c r="AQ53" s="337"/>
    </row>
    <row r="54" spans="1:43">
      <c r="A54" s="215" t="s">
        <v>301</v>
      </c>
      <c r="B54" s="538">
        <v>0.2</v>
      </c>
      <c r="D54" s="337"/>
      <c r="E54" s="222">
        <v>4.5999999999999996</v>
      </c>
      <c r="G54" s="337"/>
      <c r="K54" s="337"/>
      <c r="O54" s="337"/>
      <c r="S54" s="337"/>
      <c r="T54" s="533">
        <v>11.4</v>
      </c>
      <c r="W54" s="337"/>
      <c r="X54" s="536">
        <v>126.22</v>
      </c>
      <c r="AA54" s="337"/>
      <c r="AB54" s="533">
        <v>57.41</v>
      </c>
      <c r="AC54" s="180"/>
      <c r="AD54" s="180"/>
      <c r="AE54" s="514"/>
      <c r="AF54" s="533">
        <v>10.86</v>
      </c>
      <c r="AI54" s="337"/>
      <c r="AM54" s="337"/>
      <c r="AQ54" s="337"/>
    </row>
    <row r="55" spans="1:43">
      <c r="A55" s="215" t="s">
        <v>303</v>
      </c>
      <c r="B55" s="538">
        <v>13.2</v>
      </c>
      <c r="D55" s="337"/>
      <c r="E55" s="222">
        <v>4.05</v>
      </c>
      <c r="G55" s="337"/>
      <c r="K55" s="337"/>
      <c r="O55" s="337"/>
      <c r="S55" s="337"/>
      <c r="T55" s="533">
        <v>28.14</v>
      </c>
      <c r="W55" s="337"/>
      <c r="X55" s="536">
        <v>62.56</v>
      </c>
      <c r="AA55" s="337"/>
      <c r="AB55" s="533">
        <v>105.7</v>
      </c>
      <c r="AC55" s="180"/>
      <c r="AD55" s="180"/>
      <c r="AE55" s="514"/>
      <c r="AF55" s="533">
        <v>1.47</v>
      </c>
      <c r="AI55" s="337"/>
      <c r="AM55" s="337"/>
      <c r="AQ55" s="337"/>
    </row>
    <row r="56" spans="1:43">
      <c r="A56" s="215" t="s">
        <v>304</v>
      </c>
      <c r="B56" s="538">
        <v>0.6</v>
      </c>
      <c r="D56" s="337"/>
      <c r="E56" s="222">
        <v>10.25</v>
      </c>
      <c r="G56" s="337"/>
      <c r="K56" s="337"/>
      <c r="O56" s="337"/>
      <c r="S56" s="337"/>
      <c r="T56" s="533">
        <v>54.97</v>
      </c>
      <c r="W56" s="337"/>
      <c r="X56" s="536">
        <v>197.13</v>
      </c>
      <c r="AA56" s="337"/>
      <c r="AB56" s="533">
        <v>66.86</v>
      </c>
      <c r="AC56" s="180"/>
      <c r="AD56" s="180"/>
      <c r="AE56" s="514"/>
      <c r="AF56" s="533">
        <v>1.29</v>
      </c>
      <c r="AI56" s="337"/>
      <c r="AM56" s="337"/>
      <c r="AQ56" s="337"/>
    </row>
    <row r="57" spans="1:43">
      <c r="A57" s="215" t="s">
        <v>305</v>
      </c>
      <c r="B57" s="538">
        <v>2.5</v>
      </c>
      <c r="D57" s="337"/>
      <c r="E57" s="222">
        <v>12.36</v>
      </c>
      <c r="G57" s="337"/>
      <c r="K57" s="337"/>
      <c r="O57" s="337"/>
      <c r="S57" s="337"/>
      <c r="T57" s="533">
        <v>29.17</v>
      </c>
      <c r="W57" s="337"/>
      <c r="X57" s="536">
        <v>39.89</v>
      </c>
      <c r="AA57" s="337"/>
      <c r="AB57" s="533">
        <v>103.12</v>
      </c>
      <c r="AC57" s="180"/>
      <c r="AD57" s="180"/>
      <c r="AE57" s="514"/>
      <c r="AF57" s="533">
        <v>3.41</v>
      </c>
      <c r="AI57" s="337"/>
      <c r="AM57" s="337"/>
      <c r="AQ57" s="337"/>
    </row>
    <row r="58" spans="1:43">
      <c r="A58" s="215" t="s">
        <v>306</v>
      </c>
      <c r="B58" s="538">
        <v>1.9</v>
      </c>
      <c r="D58" s="337"/>
      <c r="E58" s="222">
        <v>4.3899999999999997</v>
      </c>
      <c r="G58" s="337"/>
      <c r="K58" s="337"/>
      <c r="O58" s="337"/>
      <c r="S58" s="337"/>
      <c r="T58" s="533">
        <v>37.659999999999997</v>
      </c>
      <c r="W58" s="337"/>
      <c r="X58" s="536">
        <v>170.53</v>
      </c>
      <c r="AA58" s="337"/>
      <c r="AB58" s="533">
        <v>68.06</v>
      </c>
      <c r="AC58" s="180"/>
      <c r="AD58" s="180"/>
      <c r="AE58" s="514"/>
      <c r="AF58" s="533">
        <v>2.98</v>
      </c>
      <c r="AI58" s="337"/>
      <c r="AM58" s="337"/>
      <c r="AQ58" s="337"/>
    </row>
    <row r="59" spans="1:43">
      <c r="A59" s="287"/>
      <c r="B59" s="539"/>
      <c r="D59" s="337"/>
      <c r="G59" s="337"/>
      <c r="K59" s="337"/>
      <c r="O59" s="337"/>
      <c r="S59" s="337"/>
      <c r="T59" s="14"/>
      <c r="W59" s="337"/>
      <c r="X59" s="513"/>
      <c r="AA59" s="337"/>
      <c r="AB59" s="17"/>
      <c r="AC59" s="180"/>
      <c r="AD59" s="180"/>
      <c r="AE59" s="514"/>
      <c r="AF59" s="17"/>
      <c r="AI59" s="337"/>
      <c r="AM59" s="337"/>
      <c r="AQ59" s="337"/>
    </row>
    <row r="60" spans="1:43">
      <c r="A60" s="287" t="s">
        <v>102</v>
      </c>
      <c r="B60" s="539">
        <f>SUM(B61:B62)</f>
        <v>240.20000000000002</v>
      </c>
      <c r="C60" s="474">
        <f>SUM(B60/$B$4)</f>
        <v>6.2291561853290663E-2</v>
      </c>
      <c r="D60" s="337"/>
      <c r="E60" s="539">
        <f>SUM(E61:E62)</f>
        <v>25.22</v>
      </c>
      <c r="F60" s="474">
        <f>SUM(E60/E$4)</f>
        <v>7.0956306445713643E-2</v>
      </c>
      <c r="G60" s="337"/>
      <c r="K60" s="337"/>
      <c r="O60" s="337"/>
      <c r="S60" s="337"/>
      <c r="T60" s="528">
        <f>SUM(T61:T64)</f>
        <v>19.399999999999999</v>
      </c>
      <c r="U60" s="474">
        <f>SUM(T60/T$4)</f>
        <v>4.2677695404448157E-2</v>
      </c>
      <c r="W60" s="337"/>
      <c r="X60" s="528">
        <f>SUM(X61:X64)</f>
        <v>106.00999999999999</v>
      </c>
      <c r="AA60" s="337"/>
      <c r="AB60" s="528">
        <f>SUM(AB61:AB64)</f>
        <v>194.59</v>
      </c>
      <c r="AC60" s="180"/>
      <c r="AD60" s="180"/>
      <c r="AE60" s="514"/>
      <c r="AF60" s="528">
        <f>SUM(AF61:AF64)</f>
        <v>23.52</v>
      </c>
      <c r="AI60" s="337"/>
      <c r="AM60" s="337"/>
      <c r="AQ60" s="337"/>
    </row>
    <row r="61" spans="1:43">
      <c r="A61" s="215" t="s">
        <v>1682</v>
      </c>
      <c r="B61" s="538">
        <v>134.80000000000001</v>
      </c>
      <c r="D61" s="337"/>
      <c r="E61" s="222">
        <v>9.26</v>
      </c>
      <c r="G61" s="337"/>
      <c r="K61" s="337"/>
      <c r="O61" s="337"/>
      <c r="S61" s="337"/>
      <c r="T61" s="537">
        <v>10.31</v>
      </c>
      <c r="W61" s="337"/>
      <c r="X61" s="532">
        <v>52.6</v>
      </c>
      <c r="AA61" s="337"/>
      <c r="AB61" s="540">
        <v>96.61</v>
      </c>
      <c r="AC61" s="180"/>
      <c r="AD61" s="180"/>
      <c r="AE61" s="514"/>
      <c r="AF61" s="533">
        <v>10.59</v>
      </c>
      <c r="AI61" s="337"/>
      <c r="AM61" s="337"/>
      <c r="AQ61" s="337"/>
    </row>
    <row r="62" spans="1:43">
      <c r="A62" s="215" t="s">
        <v>513</v>
      </c>
      <c r="B62" s="538">
        <v>105.4</v>
      </c>
      <c r="D62" s="337"/>
      <c r="E62" s="222">
        <v>15.96</v>
      </c>
      <c r="G62" s="337"/>
      <c r="K62" s="337"/>
      <c r="O62" s="337"/>
      <c r="S62" s="337"/>
      <c r="T62" s="537">
        <v>9.09</v>
      </c>
      <c r="W62" s="337"/>
      <c r="X62" s="532">
        <v>53.41</v>
      </c>
      <c r="AA62" s="337"/>
      <c r="AB62" s="540">
        <v>97.98</v>
      </c>
      <c r="AC62" s="180"/>
      <c r="AD62" s="180"/>
      <c r="AE62" s="514"/>
      <c r="AF62" s="533">
        <v>12.93</v>
      </c>
      <c r="AI62" s="337"/>
      <c r="AM62" s="337"/>
      <c r="AQ62" s="337"/>
    </row>
    <row r="63" spans="1:43">
      <c r="B63" s="541"/>
      <c r="D63" s="337"/>
      <c r="G63" s="337"/>
      <c r="K63" s="337"/>
      <c r="O63" s="337"/>
      <c r="S63" s="337"/>
      <c r="T63" s="14"/>
      <c r="W63" s="337"/>
      <c r="X63" s="513"/>
      <c r="AA63" s="337"/>
      <c r="AB63" s="17"/>
      <c r="AC63" s="180"/>
      <c r="AD63" s="180"/>
      <c r="AE63" s="514"/>
      <c r="AF63" s="17"/>
      <c r="AI63" s="337"/>
      <c r="AM63" s="337"/>
      <c r="AQ63" s="337"/>
    </row>
    <row r="64" spans="1:43">
      <c r="A64" s="222"/>
      <c r="B64" s="539"/>
      <c r="C64" s="185"/>
      <c r="D64" s="542"/>
      <c r="E64" s="185"/>
      <c r="G64" s="542"/>
      <c r="K64" s="542"/>
      <c r="O64" s="542"/>
      <c r="S64" s="542"/>
      <c r="T64" s="14"/>
      <c r="W64" s="542"/>
      <c r="X64" s="513"/>
      <c r="AA64" s="542"/>
      <c r="AB64" s="17"/>
      <c r="AC64" s="180"/>
      <c r="AD64" s="180"/>
      <c r="AE64" s="543"/>
      <c r="AF64" s="17"/>
      <c r="AI64" s="542"/>
      <c r="AM64" s="542"/>
      <c r="AQ64" s="542"/>
    </row>
    <row r="65" spans="1:43">
      <c r="A65" s="287"/>
      <c r="B65" s="539"/>
      <c r="C65" s="185"/>
      <c r="D65" s="542"/>
      <c r="E65" s="185"/>
      <c r="G65" s="542"/>
      <c r="K65" s="542"/>
      <c r="O65" s="542"/>
      <c r="S65" s="542"/>
      <c r="T65" s="14"/>
      <c r="W65" s="542"/>
      <c r="X65" s="513"/>
      <c r="AA65" s="542"/>
      <c r="AB65" s="17"/>
      <c r="AC65" s="180"/>
      <c r="AD65" s="180"/>
      <c r="AE65" s="543"/>
      <c r="AF65" s="17"/>
      <c r="AI65" s="542"/>
      <c r="AM65" s="542"/>
      <c r="AQ65" s="542"/>
    </row>
    <row r="66" spans="1:43">
      <c r="B66" s="541"/>
      <c r="D66" s="337"/>
      <c r="G66" s="337"/>
      <c r="K66" s="337"/>
      <c r="O66" s="337"/>
      <c r="S66" s="337"/>
      <c r="T66" s="14"/>
      <c r="W66" s="337"/>
      <c r="X66" s="513"/>
      <c r="AA66" s="337"/>
      <c r="AB66" s="17"/>
      <c r="AC66" s="180"/>
      <c r="AD66" s="180"/>
      <c r="AE66" s="514"/>
      <c r="AF66" s="17"/>
      <c r="AI66" s="337"/>
      <c r="AM66" s="337"/>
      <c r="AQ66" s="337"/>
    </row>
    <row r="67" spans="1:43">
      <c r="B67" s="544"/>
      <c r="C67" s="465"/>
      <c r="D67" s="519"/>
      <c r="E67" s="465"/>
      <c r="F67" s="464"/>
      <c r="G67" s="519"/>
      <c r="K67" s="519"/>
      <c r="O67" s="519"/>
      <c r="S67" s="519"/>
      <c r="T67" s="14"/>
      <c r="U67" s="464"/>
      <c r="W67" s="519"/>
      <c r="X67" s="513"/>
      <c r="AA67" s="519"/>
      <c r="AB67" s="17"/>
      <c r="AC67" s="180"/>
      <c r="AD67" s="180"/>
      <c r="AE67" s="545"/>
      <c r="AF67" s="17"/>
      <c r="AI67" s="519"/>
      <c r="AM67" s="519"/>
      <c r="AQ67" s="519"/>
    </row>
    <row r="68" spans="1:43">
      <c r="B68" s="541"/>
      <c r="D68" s="337"/>
      <c r="G68" s="337"/>
      <c r="K68" s="337"/>
      <c r="O68" s="337"/>
      <c r="S68" s="337"/>
      <c r="T68" s="14"/>
      <c r="W68" s="337"/>
      <c r="X68" s="513"/>
      <c r="AA68" s="337"/>
      <c r="AB68" s="17"/>
      <c r="AC68" s="180"/>
      <c r="AD68" s="180"/>
      <c r="AE68" s="514"/>
      <c r="AF68" s="17"/>
      <c r="AI68" s="337"/>
      <c r="AM68" s="337"/>
      <c r="AQ68" s="337"/>
    </row>
    <row r="69" spans="1:43">
      <c r="B69" s="541"/>
      <c r="D69" s="337"/>
      <c r="G69" s="337"/>
      <c r="K69" s="337"/>
      <c r="O69" s="337"/>
      <c r="S69" s="337"/>
      <c r="T69" s="14"/>
      <c r="W69" s="337"/>
      <c r="X69" s="513"/>
      <c r="AA69" s="337"/>
      <c r="AB69" s="17"/>
      <c r="AC69" s="180"/>
      <c r="AD69" s="180"/>
      <c r="AE69" s="514"/>
      <c r="AF69" s="17"/>
      <c r="AI69" s="337"/>
      <c r="AM69" s="337"/>
      <c r="AQ69" s="337"/>
    </row>
    <row r="70" spans="1:43">
      <c r="B70" s="541"/>
      <c r="D70" s="337"/>
      <c r="G70" s="337"/>
      <c r="K70" s="337"/>
      <c r="O70" s="337"/>
      <c r="S70" s="337"/>
      <c r="T70" s="14"/>
      <c r="W70" s="337"/>
      <c r="X70" s="513"/>
      <c r="AA70" s="337"/>
      <c r="AB70" s="17"/>
      <c r="AC70" s="180"/>
      <c r="AD70" s="180"/>
      <c r="AE70" s="514"/>
      <c r="AF70" s="17"/>
      <c r="AI70" s="337"/>
      <c r="AM70" s="337"/>
      <c r="AQ70" s="337"/>
    </row>
    <row r="71" spans="1:43">
      <c r="B71" s="541"/>
      <c r="D71" s="337"/>
      <c r="G71" s="337"/>
      <c r="K71" s="337"/>
      <c r="O71" s="337"/>
      <c r="S71" s="337"/>
      <c r="T71" s="14"/>
      <c r="W71" s="337"/>
      <c r="X71" s="513"/>
      <c r="AA71" s="337"/>
      <c r="AB71" s="17"/>
      <c r="AC71" s="180"/>
      <c r="AD71" s="180"/>
      <c r="AE71" s="514"/>
      <c r="AF71" s="17"/>
      <c r="AI71" s="337"/>
      <c r="AM71" s="337"/>
      <c r="AQ71" s="337"/>
    </row>
    <row r="72" spans="1:43">
      <c r="B72" s="541"/>
      <c r="D72" s="337"/>
      <c r="G72" s="337"/>
      <c r="K72" s="337"/>
      <c r="O72" s="337"/>
      <c r="S72" s="337"/>
      <c r="T72" s="14"/>
      <c r="W72" s="337"/>
      <c r="X72" s="513"/>
      <c r="AA72" s="337"/>
      <c r="AB72" s="17"/>
      <c r="AC72" s="180"/>
      <c r="AD72" s="180"/>
      <c r="AE72" s="514"/>
      <c r="AF72" s="17"/>
      <c r="AI72" s="337"/>
      <c r="AM72" s="337"/>
      <c r="AQ72" s="337"/>
    </row>
    <row r="73" spans="1:43">
      <c r="B73" s="541"/>
      <c r="D73" s="337"/>
      <c r="G73" s="337"/>
      <c r="K73" s="337"/>
      <c r="O73" s="337"/>
      <c r="S73" s="337"/>
      <c r="T73" s="14"/>
      <c r="W73" s="337"/>
      <c r="X73" s="513"/>
      <c r="AA73" s="337"/>
      <c r="AB73" s="17"/>
      <c r="AC73" s="180"/>
      <c r="AD73" s="180"/>
      <c r="AE73" s="514"/>
      <c r="AF73" s="17"/>
      <c r="AI73" s="337"/>
      <c r="AM73" s="337"/>
      <c r="AQ73" s="337"/>
    </row>
    <row r="74" spans="1:43">
      <c r="B74" s="541"/>
      <c r="D74" s="337"/>
      <c r="G74" s="337"/>
      <c r="K74" s="337"/>
      <c r="O74" s="337"/>
      <c r="S74" s="337"/>
      <c r="T74" s="14"/>
      <c r="W74" s="337"/>
      <c r="X74" s="513"/>
      <c r="AA74" s="337"/>
      <c r="AB74" s="17"/>
      <c r="AC74" s="180"/>
      <c r="AD74" s="180"/>
      <c r="AE74" s="514"/>
      <c r="AF74" s="17"/>
      <c r="AI74" s="337"/>
      <c r="AM74" s="337"/>
      <c r="AQ74" s="337"/>
    </row>
    <row r="75" spans="1:43">
      <c r="B75" s="541"/>
      <c r="D75" s="337"/>
      <c r="G75" s="337"/>
      <c r="K75" s="337"/>
      <c r="O75" s="337"/>
      <c r="S75" s="337"/>
      <c r="T75" s="14"/>
      <c r="W75" s="337"/>
      <c r="X75" s="513"/>
      <c r="AA75" s="337"/>
      <c r="AB75" s="17"/>
      <c r="AC75" s="180"/>
      <c r="AD75" s="180"/>
      <c r="AE75" s="514"/>
      <c r="AF75" s="17"/>
      <c r="AI75" s="337"/>
      <c r="AM75" s="337"/>
      <c r="AQ75" s="337"/>
    </row>
    <row r="76" spans="1:43">
      <c r="B76" s="541"/>
      <c r="D76" s="337"/>
      <c r="G76" s="337"/>
      <c r="K76" s="337"/>
      <c r="O76" s="337"/>
      <c r="S76" s="337"/>
      <c r="T76" s="14"/>
      <c r="W76" s="337"/>
      <c r="X76" s="513"/>
      <c r="AA76" s="337"/>
      <c r="AB76" s="17"/>
      <c r="AC76" s="180"/>
      <c r="AD76" s="180"/>
      <c r="AE76" s="514"/>
      <c r="AF76" s="17"/>
      <c r="AI76" s="337"/>
      <c r="AM76" s="337"/>
      <c r="AQ76" s="337"/>
    </row>
    <row r="77" spans="1:43">
      <c r="B77" s="541"/>
      <c r="D77" s="337"/>
      <c r="G77" s="337"/>
      <c r="K77" s="337"/>
      <c r="O77" s="337"/>
      <c r="S77" s="337"/>
      <c r="T77" s="14"/>
      <c r="W77" s="337"/>
      <c r="X77" s="513"/>
      <c r="AA77" s="337"/>
      <c r="AB77" s="17"/>
      <c r="AC77" s="180"/>
      <c r="AD77" s="180"/>
      <c r="AE77" s="514"/>
      <c r="AF77" s="17"/>
      <c r="AI77" s="337"/>
      <c r="AM77" s="337"/>
      <c r="AQ77" s="337"/>
    </row>
    <row r="78" spans="1:43">
      <c r="B78" s="541"/>
      <c r="D78" s="337"/>
      <c r="G78" s="337"/>
      <c r="K78" s="337"/>
      <c r="O78" s="337"/>
      <c r="S78" s="337"/>
      <c r="T78" s="14"/>
      <c r="W78" s="337"/>
      <c r="X78" s="513"/>
      <c r="AA78" s="337"/>
      <c r="AB78" s="17"/>
      <c r="AC78" s="180"/>
      <c r="AD78" s="180"/>
      <c r="AE78" s="514"/>
      <c r="AF78" s="17"/>
      <c r="AI78" s="337"/>
      <c r="AM78" s="337"/>
      <c r="AQ78" s="337"/>
    </row>
    <row r="79" spans="1:43">
      <c r="B79" s="541"/>
      <c r="D79" s="337"/>
      <c r="G79" s="337"/>
      <c r="K79" s="337"/>
      <c r="O79" s="337"/>
      <c r="S79" s="337"/>
      <c r="T79" s="14"/>
      <c r="W79" s="337"/>
      <c r="X79" s="513"/>
      <c r="AA79" s="337"/>
      <c r="AB79" s="17"/>
      <c r="AC79" s="180"/>
      <c r="AD79" s="180"/>
      <c r="AE79" s="514"/>
      <c r="AF79" s="17"/>
      <c r="AI79" s="337"/>
      <c r="AM79" s="337"/>
      <c r="AQ79" s="337"/>
    </row>
    <row r="80" spans="1:43">
      <c r="B80" s="541"/>
      <c r="D80" s="337"/>
      <c r="G80" s="337"/>
      <c r="K80" s="337"/>
      <c r="O80" s="337"/>
      <c r="S80" s="337"/>
      <c r="T80" s="14"/>
      <c r="W80" s="337"/>
      <c r="X80" s="513"/>
      <c r="AA80" s="337"/>
      <c r="AB80" s="17"/>
      <c r="AC80" s="180"/>
      <c r="AD80" s="180"/>
      <c r="AE80" s="514"/>
      <c r="AF80" s="17"/>
      <c r="AI80" s="337"/>
      <c r="AM80" s="337"/>
      <c r="AQ80" s="337"/>
    </row>
    <row r="81" spans="2:43">
      <c r="B81" s="541"/>
      <c r="D81" s="337"/>
      <c r="G81" s="337"/>
      <c r="K81" s="337"/>
      <c r="O81" s="337"/>
      <c r="S81" s="337"/>
      <c r="T81" s="14"/>
      <c r="W81" s="337"/>
      <c r="X81" s="513"/>
      <c r="AA81" s="337"/>
      <c r="AB81" s="17"/>
      <c r="AC81" s="180"/>
      <c r="AD81" s="180"/>
      <c r="AE81" s="514"/>
      <c r="AF81" s="17"/>
      <c r="AI81" s="337"/>
      <c r="AM81" s="337"/>
      <c r="AQ81" s="337"/>
    </row>
    <row r="82" spans="2:43">
      <c r="B82" s="541"/>
      <c r="D82" s="337"/>
      <c r="G82" s="337"/>
      <c r="K82" s="337"/>
      <c r="O82" s="337"/>
      <c r="S82" s="337"/>
      <c r="T82" s="14"/>
      <c r="W82" s="337"/>
      <c r="X82" s="513"/>
      <c r="AA82" s="337"/>
      <c r="AB82" s="17"/>
      <c r="AC82" s="180"/>
      <c r="AD82" s="180"/>
      <c r="AE82" s="514"/>
      <c r="AF82" s="17"/>
      <c r="AI82" s="337"/>
      <c r="AM82" s="337"/>
      <c r="AQ82" s="337"/>
    </row>
    <row r="83" spans="2:43">
      <c r="B83" s="541"/>
      <c r="D83" s="337"/>
      <c r="G83" s="337"/>
      <c r="K83" s="337"/>
      <c r="O83" s="337"/>
      <c r="S83" s="337"/>
      <c r="T83" s="14"/>
      <c r="W83" s="337"/>
      <c r="X83" s="513"/>
      <c r="AA83" s="337"/>
      <c r="AB83" s="17"/>
      <c r="AC83" s="180"/>
      <c r="AD83" s="180"/>
      <c r="AE83" s="514"/>
      <c r="AF83" s="17"/>
      <c r="AI83" s="337"/>
      <c r="AM83" s="337"/>
      <c r="AQ83" s="337"/>
    </row>
    <row r="84" spans="2:43">
      <c r="B84" s="541"/>
      <c r="D84" s="337"/>
      <c r="G84" s="337"/>
      <c r="K84" s="337"/>
      <c r="O84" s="337"/>
      <c r="S84" s="337"/>
      <c r="T84" s="14"/>
      <c r="W84" s="337"/>
      <c r="X84" s="513"/>
      <c r="AA84" s="337"/>
      <c r="AB84" s="17"/>
      <c r="AC84" s="180"/>
      <c r="AD84" s="180"/>
      <c r="AE84" s="514"/>
      <c r="AF84" s="17"/>
      <c r="AI84" s="337"/>
      <c r="AM84" s="337"/>
      <c r="AQ84" s="337"/>
    </row>
    <row r="85" spans="2:43">
      <c r="B85" s="541"/>
      <c r="D85" s="337"/>
      <c r="G85" s="337"/>
      <c r="K85" s="337"/>
      <c r="O85" s="337"/>
      <c r="S85" s="337"/>
      <c r="T85" s="14"/>
      <c r="W85" s="337"/>
      <c r="X85" s="513"/>
      <c r="AA85" s="337"/>
      <c r="AB85" s="17"/>
      <c r="AC85" s="180"/>
      <c r="AD85" s="180"/>
      <c r="AE85" s="514"/>
      <c r="AF85" s="17"/>
      <c r="AI85" s="337"/>
      <c r="AM85" s="337"/>
      <c r="AQ85" s="337"/>
    </row>
    <row r="86" spans="2:43">
      <c r="B86" s="541"/>
      <c r="D86" s="337"/>
      <c r="G86" s="337"/>
      <c r="K86" s="337"/>
      <c r="O86" s="337"/>
      <c r="S86" s="337"/>
      <c r="T86" s="14"/>
      <c r="W86" s="337"/>
      <c r="X86" s="513"/>
      <c r="AA86" s="337"/>
      <c r="AB86" s="17"/>
      <c r="AC86" s="180"/>
      <c r="AD86" s="180"/>
      <c r="AE86" s="514"/>
      <c r="AF86" s="17"/>
      <c r="AI86" s="337"/>
      <c r="AM86" s="337"/>
      <c r="AQ86" s="337"/>
    </row>
    <row r="87" spans="2:43">
      <c r="B87" s="541"/>
      <c r="D87" s="337"/>
      <c r="G87" s="337"/>
      <c r="K87" s="337"/>
      <c r="O87" s="337"/>
      <c r="S87" s="337"/>
      <c r="T87" s="14"/>
      <c r="W87" s="337"/>
      <c r="X87" s="513"/>
      <c r="AA87" s="337"/>
      <c r="AB87" s="17"/>
      <c r="AC87" s="180"/>
      <c r="AD87" s="180"/>
      <c r="AE87" s="514"/>
      <c r="AF87" s="17"/>
      <c r="AI87" s="337"/>
      <c r="AM87" s="337"/>
      <c r="AQ87" s="337"/>
    </row>
    <row r="88" spans="2:43">
      <c r="B88" s="541"/>
      <c r="D88" s="337"/>
      <c r="G88" s="337"/>
      <c r="K88" s="337"/>
      <c r="O88" s="337"/>
      <c r="S88" s="337"/>
      <c r="T88" s="14"/>
      <c r="W88" s="337"/>
      <c r="X88" s="513"/>
      <c r="AA88" s="337"/>
      <c r="AB88" s="17"/>
      <c r="AC88" s="180"/>
      <c r="AD88" s="180"/>
      <c r="AE88" s="514"/>
      <c r="AF88" s="17"/>
      <c r="AI88" s="337"/>
      <c r="AM88" s="337"/>
      <c r="AQ88" s="337"/>
    </row>
    <row r="89" spans="2:43">
      <c r="B89" s="541"/>
      <c r="D89" s="337"/>
      <c r="G89" s="337"/>
      <c r="K89" s="337"/>
      <c r="O89" s="337"/>
      <c r="S89" s="337"/>
      <c r="T89" s="14"/>
      <c r="W89" s="337"/>
      <c r="X89" s="513"/>
      <c r="AA89" s="337"/>
      <c r="AB89" s="17"/>
      <c r="AC89" s="180"/>
      <c r="AD89" s="180"/>
      <c r="AE89" s="514"/>
      <c r="AF89" s="17"/>
      <c r="AI89" s="337"/>
      <c r="AM89" s="337"/>
      <c r="AQ89" s="337"/>
    </row>
    <row r="90" spans="2:43">
      <c r="B90" s="541"/>
      <c r="D90" s="337"/>
      <c r="G90" s="337"/>
      <c r="K90" s="337"/>
      <c r="O90" s="337"/>
      <c r="S90" s="337"/>
      <c r="T90" s="14"/>
      <c r="W90" s="337"/>
      <c r="X90" s="513"/>
      <c r="AA90" s="337"/>
      <c r="AB90" s="17"/>
      <c r="AC90" s="180"/>
      <c r="AD90" s="180"/>
      <c r="AE90" s="514"/>
      <c r="AF90" s="17"/>
      <c r="AI90" s="337"/>
      <c r="AM90" s="337"/>
      <c r="AQ90" s="337"/>
    </row>
    <row r="91" spans="2:43">
      <c r="B91" s="541"/>
      <c r="D91" s="337"/>
      <c r="G91" s="337"/>
      <c r="K91" s="337"/>
      <c r="O91" s="337"/>
      <c r="S91" s="337"/>
      <c r="T91" s="14"/>
      <c r="W91" s="337"/>
      <c r="X91" s="513"/>
      <c r="AA91" s="337"/>
      <c r="AB91" s="17"/>
      <c r="AC91" s="180"/>
      <c r="AD91" s="180"/>
      <c r="AE91" s="514"/>
      <c r="AF91" s="17"/>
      <c r="AI91" s="337"/>
      <c r="AM91" s="337"/>
      <c r="AQ91" s="337"/>
    </row>
    <row r="92" spans="2:43">
      <c r="B92" s="541"/>
      <c r="D92" s="337"/>
      <c r="G92" s="337"/>
      <c r="K92" s="337"/>
      <c r="O92" s="337"/>
      <c r="S92" s="337"/>
      <c r="T92" s="14"/>
      <c r="W92" s="337"/>
      <c r="X92" s="513"/>
      <c r="AA92" s="337"/>
      <c r="AB92" s="17"/>
      <c r="AC92" s="180"/>
      <c r="AD92" s="180"/>
      <c r="AE92" s="514"/>
      <c r="AF92" s="17"/>
      <c r="AI92" s="337"/>
      <c r="AM92" s="337"/>
      <c r="AQ92" s="337"/>
    </row>
    <row r="93" spans="2:43">
      <c r="B93" s="541"/>
      <c r="D93" s="337"/>
      <c r="G93" s="337"/>
      <c r="K93" s="337"/>
      <c r="O93" s="337"/>
      <c r="S93" s="337"/>
      <c r="T93" s="14"/>
      <c r="W93" s="337"/>
      <c r="X93" s="513"/>
      <c r="AA93" s="337"/>
      <c r="AB93" s="17"/>
      <c r="AC93" s="180"/>
      <c r="AD93" s="180"/>
      <c r="AE93" s="514"/>
      <c r="AF93" s="17"/>
      <c r="AI93" s="337"/>
      <c r="AM93" s="337"/>
      <c r="AQ93" s="337"/>
    </row>
    <row r="94" spans="2:43">
      <c r="B94" s="541"/>
      <c r="D94" s="337"/>
      <c r="G94" s="337"/>
      <c r="K94" s="337"/>
      <c r="O94" s="337"/>
      <c r="S94" s="337"/>
      <c r="T94" s="14"/>
      <c r="W94" s="337"/>
      <c r="X94" s="513"/>
      <c r="AA94" s="337"/>
      <c r="AB94" s="17"/>
      <c r="AC94" s="180"/>
      <c r="AD94" s="180"/>
      <c r="AE94" s="514"/>
      <c r="AF94" s="17"/>
      <c r="AI94" s="337"/>
      <c r="AM94" s="337"/>
      <c r="AQ94" s="337"/>
    </row>
    <row r="95" spans="2:43">
      <c r="B95" s="541"/>
      <c r="D95" s="337"/>
      <c r="G95" s="337"/>
      <c r="K95" s="337"/>
      <c r="O95" s="337"/>
      <c r="S95" s="337"/>
      <c r="T95" s="14"/>
      <c r="W95" s="337"/>
      <c r="X95" s="513"/>
      <c r="AA95" s="337"/>
      <c r="AB95" s="17"/>
      <c r="AC95" s="180"/>
      <c r="AD95" s="180"/>
      <c r="AE95" s="514"/>
      <c r="AF95" s="17"/>
      <c r="AI95" s="337"/>
      <c r="AM95" s="337"/>
      <c r="AQ95" s="337"/>
    </row>
    <row r="96" spans="2:43">
      <c r="B96" s="541"/>
      <c r="D96" s="337"/>
      <c r="G96" s="337"/>
      <c r="K96" s="337"/>
      <c r="O96" s="337"/>
      <c r="S96" s="337"/>
      <c r="T96" s="14"/>
      <c r="W96" s="337"/>
      <c r="X96" s="513"/>
      <c r="AA96" s="337"/>
      <c r="AB96" s="17"/>
      <c r="AC96" s="180"/>
      <c r="AD96" s="180"/>
      <c r="AE96" s="514"/>
      <c r="AF96" s="17"/>
      <c r="AI96" s="337"/>
      <c r="AM96" s="337"/>
      <c r="AQ96" s="337"/>
    </row>
    <row r="97" spans="2:43">
      <c r="B97" s="541"/>
      <c r="D97" s="337"/>
      <c r="G97" s="337"/>
      <c r="K97" s="337"/>
      <c r="O97" s="337"/>
      <c r="S97" s="337"/>
      <c r="T97" s="14"/>
      <c r="W97" s="337"/>
      <c r="X97" s="513"/>
      <c r="AA97" s="337"/>
      <c r="AB97" s="17"/>
      <c r="AC97" s="180"/>
      <c r="AD97" s="180"/>
      <c r="AE97" s="514"/>
      <c r="AF97" s="17"/>
      <c r="AI97" s="337"/>
      <c r="AM97" s="337"/>
      <c r="AQ97" s="337"/>
    </row>
    <row r="98" spans="2:43">
      <c r="B98" s="541"/>
      <c r="D98" s="337"/>
      <c r="G98" s="337"/>
      <c r="K98" s="337"/>
      <c r="O98" s="337"/>
      <c r="S98" s="337"/>
      <c r="T98" s="14"/>
      <c r="W98" s="337"/>
      <c r="X98" s="513"/>
      <c r="AA98" s="337"/>
      <c r="AB98" s="17"/>
      <c r="AC98" s="180"/>
      <c r="AD98" s="180"/>
      <c r="AE98" s="514"/>
      <c r="AF98" s="17"/>
      <c r="AI98" s="337"/>
      <c r="AM98" s="337"/>
      <c r="AQ98" s="337"/>
    </row>
    <row r="99" spans="2:43">
      <c r="B99" s="541"/>
      <c r="D99" s="337"/>
      <c r="G99" s="337"/>
      <c r="K99" s="337"/>
      <c r="O99" s="337"/>
      <c r="S99" s="337"/>
      <c r="T99" s="14"/>
      <c r="W99" s="337"/>
      <c r="X99" s="513"/>
      <c r="AA99" s="337"/>
      <c r="AB99" s="17"/>
      <c r="AC99" s="180"/>
      <c r="AD99" s="180"/>
      <c r="AE99" s="514"/>
      <c r="AF99" s="17"/>
      <c r="AI99" s="337"/>
      <c r="AM99" s="337"/>
      <c r="AQ99" s="337"/>
    </row>
    <row r="100" spans="2:43">
      <c r="B100" s="541"/>
      <c r="D100" s="337"/>
      <c r="G100" s="337"/>
      <c r="K100" s="337"/>
      <c r="O100" s="337"/>
      <c r="S100" s="337"/>
      <c r="T100" s="14"/>
      <c r="W100" s="337"/>
      <c r="X100" s="513"/>
      <c r="AA100" s="337"/>
      <c r="AB100" s="17"/>
      <c r="AC100" s="180"/>
      <c r="AD100" s="180"/>
      <c r="AE100" s="514"/>
      <c r="AF100" s="17"/>
      <c r="AI100" s="337"/>
      <c r="AM100" s="337"/>
      <c r="AQ100" s="337"/>
    </row>
    <row r="101" spans="2:43">
      <c r="B101" s="541"/>
      <c r="D101" s="337"/>
      <c r="G101" s="337"/>
      <c r="K101" s="337"/>
      <c r="O101" s="337"/>
      <c r="S101" s="337"/>
      <c r="T101" s="14"/>
      <c r="W101" s="337"/>
      <c r="X101" s="513"/>
      <c r="AA101" s="337"/>
      <c r="AB101" s="17"/>
      <c r="AC101" s="180"/>
      <c r="AD101" s="180"/>
      <c r="AE101" s="514"/>
      <c r="AF101" s="17"/>
      <c r="AI101" s="337"/>
      <c r="AM101" s="337"/>
      <c r="AQ101" s="337"/>
    </row>
    <row r="102" spans="2:43">
      <c r="B102" s="541"/>
      <c r="D102" s="337"/>
      <c r="G102" s="337"/>
      <c r="K102" s="337"/>
      <c r="O102" s="337"/>
      <c r="S102" s="337"/>
      <c r="T102" s="14"/>
      <c r="W102" s="337"/>
      <c r="X102" s="513"/>
      <c r="AA102" s="337"/>
      <c r="AB102" s="17"/>
      <c r="AC102" s="180"/>
      <c r="AD102" s="180"/>
      <c r="AE102" s="514"/>
      <c r="AF102" s="17"/>
      <c r="AI102" s="337"/>
      <c r="AM102" s="337"/>
      <c r="AQ102" s="337"/>
    </row>
    <row r="103" spans="2:43">
      <c r="B103" s="541"/>
      <c r="D103" s="337"/>
      <c r="G103" s="337"/>
      <c r="K103" s="337"/>
      <c r="O103" s="337"/>
      <c r="S103" s="337"/>
      <c r="T103" s="14"/>
      <c r="W103" s="337"/>
      <c r="X103" s="513"/>
      <c r="AA103" s="337"/>
      <c r="AB103" s="17"/>
      <c r="AC103" s="180"/>
      <c r="AD103" s="180"/>
      <c r="AE103" s="514"/>
      <c r="AF103" s="17"/>
      <c r="AI103" s="337"/>
      <c r="AM103" s="337"/>
      <c r="AQ103" s="337"/>
    </row>
    <row r="104" spans="2:43">
      <c r="B104" s="541"/>
      <c r="D104" s="337"/>
      <c r="G104" s="337"/>
      <c r="K104" s="337"/>
      <c r="O104" s="337"/>
      <c r="S104" s="337"/>
      <c r="T104" s="14"/>
      <c r="W104" s="337"/>
      <c r="X104" s="513"/>
      <c r="AA104" s="337"/>
      <c r="AB104" s="17"/>
      <c r="AC104" s="180"/>
      <c r="AD104" s="180"/>
      <c r="AE104" s="514"/>
      <c r="AF104" s="17"/>
      <c r="AI104" s="337"/>
      <c r="AM104" s="337"/>
      <c r="AQ104" s="337"/>
    </row>
    <row r="105" spans="2:43">
      <c r="B105" s="541"/>
      <c r="D105" s="337"/>
      <c r="G105" s="337"/>
      <c r="K105" s="337"/>
      <c r="O105" s="337"/>
      <c r="S105" s="337"/>
      <c r="T105" s="14"/>
      <c r="W105" s="337"/>
      <c r="X105" s="513"/>
      <c r="AA105" s="337"/>
      <c r="AB105" s="17"/>
      <c r="AC105" s="180"/>
      <c r="AD105" s="180"/>
      <c r="AE105" s="514"/>
      <c r="AF105" s="17"/>
      <c r="AI105" s="337"/>
      <c r="AM105" s="337"/>
      <c r="AQ105" s="337"/>
    </row>
    <row r="106" spans="2:43">
      <c r="B106" s="541"/>
      <c r="D106" s="337"/>
      <c r="G106" s="337"/>
      <c r="K106" s="337"/>
      <c r="O106" s="337"/>
      <c r="S106" s="337"/>
      <c r="T106" s="14"/>
      <c r="W106" s="337"/>
      <c r="X106" s="513"/>
      <c r="AA106" s="337"/>
      <c r="AB106" s="17"/>
      <c r="AC106" s="180"/>
      <c r="AD106" s="180"/>
      <c r="AE106" s="514"/>
      <c r="AF106" s="17"/>
      <c r="AI106" s="337"/>
      <c r="AM106" s="337"/>
      <c r="AQ106" s="337"/>
    </row>
    <row r="107" spans="2:43">
      <c r="B107" s="541"/>
      <c r="D107" s="337"/>
      <c r="G107" s="337"/>
      <c r="K107" s="337"/>
      <c r="O107" s="337"/>
      <c r="S107" s="337"/>
      <c r="T107" s="14"/>
      <c r="W107" s="337"/>
      <c r="X107" s="513"/>
      <c r="AA107" s="337"/>
      <c r="AB107" s="17"/>
      <c r="AC107" s="180"/>
      <c r="AD107" s="180"/>
      <c r="AE107" s="514"/>
      <c r="AF107" s="17"/>
      <c r="AI107" s="337"/>
      <c r="AM107" s="337"/>
      <c r="AQ107" s="337"/>
    </row>
    <row r="108" spans="2:43">
      <c r="B108" s="541"/>
      <c r="D108" s="337"/>
      <c r="G108" s="337"/>
      <c r="K108" s="337"/>
      <c r="O108" s="337"/>
      <c r="S108" s="337"/>
      <c r="T108" s="14"/>
      <c r="W108" s="337"/>
      <c r="X108" s="513"/>
      <c r="AA108" s="337"/>
      <c r="AB108" s="17"/>
      <c r="AC108" s="180"/>
      <c r="AD108" s="180"/>
      <c r="AE108" s="514"/>
      <c r="AF108" s="17"/>
      <c r="AI108" s="337"/>
      <c r="AM108" s="337"/>
      <c r="AQ108" s="337"/>
    </row>
    <row r="109" spans="2:43">
      <c r="B109" s="541"/>
      <c r="D109" s="337"/>
      <c r="G109" s="337"/>
      <c r="K109" s="337"/>
      <c r="O109" s="337"/>
      <c r="S109" s="337"/>
      <c r="T109" s="14"/>
      <c r="W109" s="337"/>
      <c r="X109" s="513"/>
      <c r="AA109" s="337"/>
      <c r="AB109" s="17"/>
      <c r="AC109" s="180"/>
      <c r="AD109" s="180"/>
      <c r="AE109" s="514"/>
      <c r="AF109" s="17"/>
      <c r="AI109" s="337"/>
      <c r="AM109" s="337"/>
      <c r="AQ109" s="337"/>
    </row>
    <row r="110" spans="2:43">
      <c r="B110" s="541"/>
      <c r="D110" s="337"/>
      <c r="G110" s="337"/>
      <c r="K110" s="337"/>
      <c r="O110" s="337"/>
      <c r="S110" s="337"/>
      <c r="T110" s="14"/>
      <c r="W110" s="337"/>
      <c r="X110" s="513"/>
      <c r="AA110" s="337"/>
      <c r="AB110" s="17"/>
      <c r="AC110" s="180"/>
      <c r="AD110" s="180"/>
      <c r="AE110" s="514"/>
      <c r="AF110" s="17"/>
      <c r="AI110" s="337"/>
      <c r="AM110" s="337"/>
      <c r="AQ110" s="337"/>
    </row>
    <row r="111" spans="2:43">
      <c r="B111" s="541"/>
      <c r="D111" s="337"/>
      <c r="G111" s="337"/>
      <c r="K111" s="337"/>
      <c r="O111" s="337"/>
      <c r="S111" s="337"/>
      <c r="T111" s="14"/>
      <c r="W111" s="337"/>
      <c r="X111" s="513"/>
      <c r="AA111" s="337"/>
      <c r="AB111" s="17"/>
      <c r="AC111" s="180"/>
      <c r="AD111" s="180"/>
      <c r="AE111" s="514"/>
      <c r="AF111" s="17"/>
      <c r="AI111" s="337"/>
      <c r="AM111" s="337"/>
      <c r="AQ111" s="337"/>
    </row>
    <row r="112" spans="2:43">
      <c r="B112" s="541"/>
      <c r="D112" s="337"/>
      <c r="G112" s="337"/>
      <c r="K112" s="337"/>
      <c r="O112" s="337"/>
      <c r="S112" s="337"/>
      <c r="T112" s="14"/>
      <c r="W112" s="337"/>
      <c r="X112" s="513"/>
      <c r="AA112" s="337"/>
      <c r="AB112" s="17"/>
      <c r="AC112" s="180"/>
      <c r="AD112" s="180"/>
      <c r="AE112" s="514"/>
      <c r="AF112" s="17"/>
      <c r="AI112" s="337"/>
      <c r="AM112" s="337"/>
      <c r="AQ112" s="337"/>
    </row>
    <row r="113" spans="2:43">
      <c r="B113" s="541"/>
      <c r="D113" s="337"/>
      <c r="G113" s="337"/>
      <c r="K113" s="337"/>
      <c r="O113" s="337"/>
      <c r="S113" s="337"/>
      <c r="T113" s="14"/>
      <c r="W113" s="337"/>
      <c r="X113" s="513"/>
      <c r="AA113" s="337"/>
      <c r="AB113" s="17"/>
      <c r="AC113" s="180"/>
      <c r="AD113" s="180"/>
      <c r="AE113" s="514"/>
      <c r="AF113" s="17"/>
      <c r="AI113" s="337"/>
      <c r="AM113" s="337"/>
      <c r="AQ113" s="337"/>
    </row>
    <row r="114" spans="2:43">
      <c r="B114" s="541"/>
      <c r="D114" s="337"/>
      <c r="G114" s="337"/>
      <c r="K114" s="337"/>
      <c r="O114" s="337"/>
      <c r="S114" s="337"/>
      <c r="T114" s="14"/>
      <c r="W114" s="337"/>
      <c r="X114" s="513"/>
      <c r="AA114" s="337"/>
      <c r="AB114" s="17"/>
      <c r="AC114" s="180"/>
      <c r="AD114" s="180"/>
      <c r="AE114" s="514"/>
      <c r="AF114" s="17"/>
      <c r="AI114" s="337"/>
      <c r="AM114" s="337"/>
      <c r="AQ114" s="337"/>
    </row>
    <row r="115" spans="2:43">
      <c r="B115" s="541"/>
      <c r="D115" s="337"/>
      <c r="G115" s="337"/>
      <c r="K115" s="337"/>
      <c r="O115" s="337"/>
      <c r="S115" s="337"/>
      <c r="T115" s="14"/>
      <c r="W115" s="337"/>
      <c r="X115" s="513"/>
      <c r="AA115" s="337"/>
      <c r="AB115" s="17"/>
      <c r="AC115" s="180"/>
      <c r="AD115" s="180"/>
      <c r="AE115" s="514"/>
      <c r="AF115" s="17"/>
      <c r="AI115" s="337"/>
      <c r="AM115" s="337"/>
      <c r="AQ115" s="337"/>
    </row>
    <row r="116" spans="2:43">
      <c r="B116" s="541"/>
      <c r="D116" s="337"/>
      <c r="G116" s="337"/>
      <c r="K116" s="337"/>
      <c r="O116" s="337"/>
      <c r="S116" s="337"/>
      <c r="T116" s="14"/>
      <c r="W116" s="337"/>
      <c r="X116" s="513"/>
      <c r="AA116" s="337"/>
      <c r="AB116" s="17"/>
      <c r="AC116" s="180"/>
      <c r="AD116" s="180"/>
      <c r="AE116" s="514"/>
      <c r="AF116" s="17"/>
      <c r="AI116" s="337"/>
      <c r="AM116" s="337"/>
      <c r="AQ116" s="337"/>
    </row>
    <row r="117" spans="2:43">
      <c r="B117" s="541"/>
      <c r="D117" s="337"/>
      <c r="G117" s="337"/>
      <c r="K117" s="337"/>
      <c r="O117" s="337"/>
      <c r="S117" s="337"/>
      <c r="T117" s="14"/>
      <c r="W117" s="337"/>
      <c r="X117" s="513"/>
      <c r="AA117" s="337"/>
      <c r="AB117" s="17"/>
      <c r="AC117" s="180"/>
      <c r="AD117" s="180"/>
      <c r="AE117" s="514"/>
      <c r="AF117" s="17"/>
      <c r="AI117" s="337"/>
      <c r="AM117" s="337"/>
      <c r="AQ117" s="337"/>
    </row>
    <row r="118" spans="2:43">
      <c r="B118" s="541"/>
      <c r="D118" s="337"/>
      <c r="G118" s="337"/>
      <c r="K118" s="337"/>
      <c r="O118" s="337"/>
      <c r="S118" s="337"/>
      <c r="T118" s="14"/>
      <c r="W118" s="337"/>
      <c r="X118" s="513"/>
      <c r="AA118" s="337"/>
      <c r="AB118" s="17"/>
      <c r="AC118" s="180"/>
      <c r="AD118" s="180"/>
      <c r="AE118" s="514"/>
      <c r="AF118" s="17"/>
      <c r="AI118" s="337"/>
      <c r="AM118" s="337"/>
      <c r="AQ118" s="337"/>
    </row>
    <row r="119" spans="2:43">
      <c r="B119" s="541"/>
      <c r="D119" s="337"/>
      <c r="G119" s="337"/>
      <c r="K119" s="337"/>
      <c r="O119" s="337"/>
      <c r="S119" s="337"/>
      <c r="T119" s="14"/>
      <c r="W119" s="337"/>
      <c r="X119" s="513"/>
      <c r="AA119" s="337"/>
      <c r="AB119" s="17"/>
      <c r="AC119" s="180"/>
      <c r="AD119" s="180"/>
      <c r="AE119" s="514"/>
      <c r="AF119" s="17"/>
      <c r="AI119" s="337"/>
      <c r="AM119" s="337"/>
      <c r="AQ119" s="337"/>
    </row>
    <row r="120" spans="2:43">
      <c r="B120" s="541"/>
      <c r="D120" s="337"/>
      <c r="G120" s="337"/>
      <c r="K120" s="337"/>
      <c r="O120" s="337"/>
      <c r="S120" s="337"/>
      <c r="T120" s="14"/>
      <c r="W120" s="337"/>
      <c r="X120" s="513"/>
      <c r="AA120" s="337"/>
      <c r="AB120" s="17"/>
      <c r="AC120" s="180"/>
      <c r="AD120" s="180"/>
      <c r="AE120" s="514"/>
      <c r="AF120" s="17"/>
      <c r="AI120" s="337"/>
      <c r="AM120" s="337"/>
      <c r="AQ120" s="337"/>
    </row>
    <row r="121" spans="2:43">
      <c r="B121" s="541"/>
      <c r="D121" s="337"/>
      <c r="G121" s="337"/>
      <c r="K121" s="337"/>
      <c r="O121" s="337"/>
      <c r="S121" s="337"/>
      <c r="T121" s="14"/>
      <c r="W121" s="337"/>
      <c r="X121" s="513"/>
      <c r="AA121" s="337"/>
      <c r="AB121" s="17"/>
      <c r="AC121" s="180"/>
      <c r="AD121" s="180"/>
      <c r="AE121" s="514"/>
      <c r="AF121" s="17"/>
      <c r="AI121" s="337"/>
      <c r="AM121" s="337"/>
      <c r="AQ121" s="337"/>
    </row>
    <row r="122" spans="2:43">
      <c r="B122" s="541"/>
      <c r="D122" s="337"/>
      <c r="G122" s="337"/>
      <c r="K122" s="337"/>
      <c r="O122" s="337"/>
      <c r="S122" s="337"/>
      <c r="T122" s="14"/>
      <c r="W122" s="337"/>
      <c r="X122" s="513"/>
      <c r="AA122" s="337"/>
      <c r="AB122" s="17"/>
      <c r="AC122" s="180"/>
      <c r="AD122" s="180"/>
      <c r="AE122" s="514"/>
      <c r="AF122" s="17"/>
      <c r="AI122" s="337"/>
      <c r="AM122" s="337"/>
      <c r="AQ122" s="337"/>
    </row>
    <row r="123" spans="2:43">
      <c r="B123" s="541"/>
      <c r="D123" s="337"/>
      <c r="G123" s="337"/>
      <c r="K123" s="337"/>
      <c r="O123" s="337"/>
      <c r="S123" s="337"/>
      <c r="T123" s="14"/>
      <c r="W123" s="337"/>
      <c r="X123" s="513"/>
      <c r="AA123" s="337"/>
      <c r="AB123" s="17"/>
      <c r="AC123" s="180"/>
      <c r="AD123" s="180"/>
      <c r="AE123" s="514"/>
      <c r="AF123" s="17"/>
      <c r="AI123" s="337"/>
      <c r="AM123" s="337"/>
      <c r="AQ123" s="337"/>
    </row>
    <row r="124" spans="2:43">
      <c r="B124" s="541"/>
      <c r="D124" s="337"/>
      <c r="G124" s="337"/>
      <c r="K124" s="337"/>
      <c r="O124" s="337"/>
      <c r="S124" s="337"/>
      <c r="T124" s="14"/>
      <c r="W124" s="337"/>
      <c r="X124" s="513"/>
      <c r="AA124" s="337"/>
      <c r="AB124" s="17"/>
      <c r="AC124" s="180"/>
      <c r="AD124" s="180"/>
      <c r="AE124" s="514"/>
      <c r="AF124" s="17"/>
      <c r="AI124" s="337"/>
      <c r="AM124" s="337"/>
      <c r="AQ124" s="337"/>
    </row>
    <row r="125" spans="2:43">
      <c r="B125" s="541"/>
      <c r="D125" s="337"/>
      <c r="G125" s="337"/>
      <c r="K125" s="337"/>
      <c r="O125" s="337"/>
      <c r="S125" s="337"/>
      <c r="T125" s="14"/>
      <c r="W125" s="337"/>
      <c r="X125" s="513"/>
      <c r="AA125" s="337"/>
      <c r="AB125" s="17"/>
      <c r="AC125" s="180"/>
      <c r="AD125" s="180"/>
      <c r="AE125" s="514"/>
      <c r="AF125" s="17"/>
      <c r="AI125" s="337"/>
      <c r="AM125" s="337"/>
      <c r="AQ125" s="337"/>
    </row>
    <row r="126" spans="2:43">
      <c r="B126" s="541"/>
      <c r="D126" s="337"/>
      <c r="G126" s="337"/>
      <c r="K126" s="337"/>
      <c r="O126" s="337"/>
      <c r="S126" s="337"/>
      <c r="T126" s="14"/>
      <c r="W126" s="337"/>
      <c r="X126" s="513"/>
      <c r="AA126" s="337"/>
      <c r="AB126" s="17"/>
      <c r="AC126" s="180"/>
      <c r="AD126" s="180"/>
      <c r="AE126" s="514"/>
      <c r="AF126" s="17"/>
      <c r="AI126" s="337"/>
      <c r="AM126" s="337"/>
      <c r="AQ126" s="337"/>
    </row>
    <row r="127" spans="2:43">
      <c r="B127" s="541"/>
      <c r="D127" s="337"/>
      <c r="G127" s="337"/>
      <c r="K127" s="337"/>
      <c r="O127" s="337"/>
      <c r="S127" s="337"/>
      <c r="T127" s="14"/>
      <c r="W127" s="337"/>
      <c r="X127" s="513"/>
      <c r="AA127" s="337"/>
      <c r="AB127" s="17"/>
      <c r="AC127" s="180"/>
      <c r="AD127" s="180"/>
      <c r="AE127" s="514"/>
      <c r="AF127" s="17"/>
      <c r="AI127" s="337"/>
      <c r="AM127" s="337"/>
      <c r="AQ127" s="337"/>
    </row>
    <row r="128" spans="2:43">
      <c r="B128" s="541"/>
      <c r="D128" s="337"/>
      <c r="G128" s="337"/>
      <c r="K128" s="337"/>
      <c r="O128" s="337"/>
      <c r="S128" s="337"/>
      <c r="T128" s="14"/>
      <c r="W128" s="337"/>
      <c r="X128" s="513"/>
      <c r="AA128" s="337"/>
      <c r="AB128" s="17"/>
      <c r="AC128" s="180"/>
      <c r="AD128" s="180"/>
      <c r="AE128" s="514"/>
      <c r="AF128" s="17"/>
      <c r="AI128" s="337"/>
      <c r="AM128" s="337"/>
      <c r="AQ128" s="337"/>
    </row>
    <row r="129" spans="2:43">
      <c r="B129" s="541"/>
      <c r="D129" s="337"/>
      <c r="G129" s="337"/>
      <c r="K129" s="337"/>
      <c r="O129" s="337"/>
      <c r="S129" s="337"/>
      <c r="T129" s="14"/>
      <c r="W129" s="337"/>
      <c r="X129" s="513"/>
      <c r="AA129" s="337"/>
      <c r="AB129" s="17"/>
      <c r="AC129" s="180"/>
      <c r="AD129" s="180"/>
      <c r="AE129" s="514"/>
      <c r="AF129" s="17"/>
      <c r="AI129" s="337"/>
      <c r="AM129" s="337"/>
      <c r="AQ129" s="337"/>
    </row>
    <row r="130" spans="2:43">
      <c r="B130" s="541"/>
      <c r="D130" s="337"/>
      <c r="G130" s="337"/>
      <c r="K130" s="337"/>
      <c r="O130" s="337"/>
      <c r="S130" s="337"/>
      <c r="T130" s="14"/>
      <c r="W130" s="337"/>
      <c r="X130" s="513"/>
      <c r="AA130" s="337"/>
      <c r="AB130" s="17"/>
      <c r="AC130" s="180"/>
      <c r="AD130" s="180"/>
      <c r="AE130" s="514"/>
      <c r="AF130" s="17"/>
      <c r="AI130" s="337"/>
      <c r="AM130" s="337"/>
      <c r="AQ130" s="337"/>
    </row>
    <row r="131" spans="2:43">
      <c r="B131" s="541"/>
      <c r="D131" s="337"/>
      <c r="G131" s="337"/>
      <c r="K131" s="337"/>
      <c r="O131" s="337"/>
      <c r="S131" s="337"/>
      <c r="T131" s="14"/>
      <c r="W131" s="337"/>
      <c r="X131" s="513"/>
      <c r="AA131" s="337"/>
      <c r="AB131" s="17"/>
      <c r="AC131" s="180"/>
      <c r="AD131" s="180"/>
      <c r="AE131" s="514"/>
      <c r="AF131" s="17"/>
      <c r="AI131" s="337"/>
      <c r="AM131" s="337"/>
      <c r="AQ131" s="337"/>
    </row>
    <row r="132" spans="2:43">
      <c r="B132" s="541"/>
      <c r="D132" s="337"/>
      <c r="G132" s="337"/>
      <c r="K132" s="337"/>
      <c r="O132" s="337"/>
      <c r="S132" s="337"/>
      <c r="T132" s="14"/>
      <c r="W132" s="337"/>
      <c r="X132" s="513"/>
      <c r="AA132" s="337"/>
      <c r="AB132" s="17"/>
      <c r="AC132" s="180"/>
      <c r="AD132" s="180"/>
      <c r="AE132" s="514"/>
      <c r="AF132" s="17"/>
      <c r="AI132" s="337"/>
      <c r="AM132" s="337"/>
      <c r="AQ132" s="337"/>
    </row>
    <row r="133" spans="2:43">
      <c r="B133" s="541"/>
      <c r="D133" s="337"/>
      <c r="G133" s="337"/>
      <c r="K133" s="337"/>
      <c r="O133" s="337"/>
      <c r="S133" s="337"/>
      <c r="T133" s="14"/>
      <c r="W133" s="337"/>
      <c r="X133" s="513"/>
      <c r="AA133" s="337"/>
      <c r="AB133" s="17"/>
      <c r="AC133" s="180"/>
      <c r="AD133" s="180"/>
      <c r="AE133" s="514"/>
      <c r="AF133" s="17"/>
      <c r="AI133" s="337"/>
      <c r="AM133" s="337"/>
      <c r="AQ133" s="337"/>
    </row>
    <row r="134" spans="2:43">
      <c r="B134" s="541"/>
      <c r="D134" s="337"/>
      <c r="G134" s="337"/>
      <c r="K134" s="337"/>
      <c r="O134" s="337"/>
      <c r="S134" s="337"/>
      <c r="T134" s="14"/>
      <c r="W134" s="337"/>
      <c r="X134" s="513"/>
      <c r="AA134" s="337"/>
      <c r="AB134" s="17"/>
      <c r="AC134" s="180"/>
      <c r="AD134" s="180"/>
      <c r="AE134" s="514"/>
      <c r="AF134" s="17"/>
      <c r="AI134" s="337"/>
      <c r="AM134" s="337"/>
      <c r="AQ134" s="337"/>
    </row>
    <row r="135" spans="2:43">
      <c r="B135" s="541"/>
      <c r="D135" s="337"/>
      <c r="G135" s="337"/>
      <c r="K135" s="337"/>
      <c r="O135" s="337"/>
      <c r="S135" s="337"/>
      <c r="T135" s="14"/>
      <c r="W135" s="337"/>
      <c r="X135" s="513"/>
      <c r="AA135" s="337"/>
      <c r="AB135" s="17"/>
      <c r="AC135" s="180"/>
      <c r="AD135" s="180"/>
      <c r="AE135" s="514"/>
      <c r="AF135" s="17"/>
      <c r="AI135" s="337"/>
      <c r="AM135" s="337"/>
      <c r="AQ135" s="337"/>
    </row>
    <row r="136" spans="2:43">
      <c r="B136" s="541"/>
      <c r="D136" s="337"/>
      <c r="G136" s="337"/>
      <c r="K136" s="337"/>
      <c r="O136" s="337"/>
      <c r="S136" s="337"/>
      <c r="T136" s="14"/>
      <c r="W136" s="337"/>
      <c r="X136" s="513"/>
      <c r="AA136" s="337"/>
      <c r="AB136" s="17"/>
      <c r="AC136" s="180"/>
      <c r="AD136" s="180"/>
      <c r="AE136" s="514"/>
      <c r="AF136" s="17"/>
      <c r="AI136" s="337"/>
      <c r="AM136" s="337"/>
      <c r="AQ136" s="337"/>
    </row>
    <row r="137" spans="2:43">
      <c r="B137" s="541"/>
      <c r="D137" s="337"/>
      <c r="G137" s="337"/>
      <c r="K137" s="337"/>
      <c r="O137" s="337"/>
      <c r="S137" s="337"/>
      <c r="T137" s="14"/>
      <c r="W137" s="337"/>
      <c r="X137" s="513"/>
      <c r="AA137" s="337"/>
      <c r="AB137" s="17"/>
      <c r="AC137" s="180"/>
      <c r="AD137" s="180"/>
      <c r="AE137" s="514"/>
      <c r="AF137" s="17"/>
      <c r="AI137" s="337"/>
      <c r="AM137" s="337"/>
      <c r="AQ137" s="337"/>
    </row>
    <row r="138" spans="2:43">
      <c r="B138" s="541"/>
      <c r="D138" s="337"/>
      <c r="G138" s="337"/>
      <c r="K138" s="337"/>
      <c r="O138" s="337"/>
      <c r="S138" s="337"/>
      <c r="T138" s="14"/>
      <c r="W138" s="337"/>
      <c r="X138" s="513"/>
      <c r="AA138" s="337"/>
      <c r="AB138" s="17"/>
      <c r="AC138" s="180"/>
      <c r="AD138" s="180"/>
      <c r="AE138" s="514"/>
      <c r="AF138" s="17"/>
      <c r="AI138" s="337"/>
      <c r="AM138" s="337"/>
      <c r="AQ138" s="337"/>
    </row>
    <row r="139" spans="2:43">
      <c r="B139" s="541"/>
      <c r="D139" s="337"/>
      <c r="G139" s="337"/>
      <c r="K139" s="337"/>
      <c r="O139" s="337"/>
      <c r="S139" s="337"/>
      <c r="T139" s="14"/>
      <c r="W139" s="337"/>
      <c r="X139" s="513"/>
      <c r="AA139" s="337"/>
      <c r="AB139" s="17"/>
      <c r="AC139" s="180"/>
      <c r="AD139" s="180"/>
      <c r="AE139" s="514"/>
      <c r="AF139" s="17"/>
      <c r="AI139" s="337"/>
      <c r="AM139" s="337"/>
      <c r="AQ139" s="337"/>
    </row>
    <row r="140" spans="2:43">
      <c r="B140" s="541"/>
      <c r="D140" s="337"/>
      <c r="G140" s="337"/>
      <c r="K140" s="337"/>
      <c r="O140" s="337"/>
      <c r="S140" s="337"/>
      <c r="T140" s="14"/>
      <c r="W140" s="337"/>
      <c r="X140" s="513"/>
      <c r="AA140" s="337"/>
      <c r="AB140" s="17"/>
      <c r="AC140" s="180"/>
      <c r="AD140" s="180"/>
      <c r="AE140" s="514"/>
      <c r="AF140" s="17"/>
      <c r="AI140" s="337"/>
      <c r="AM140" s="337"/>
      <c r="AQ140" s="337"/>
    </row>
    <row r="141" spans="2:43">
      <c r="B141" s="541"/>
      <c r="D141" s="337"/>
      <c r="G141" s="337"/>
      <c r="K141" s="337"/>
      <c r="O141" s="337"/>
      <c r="S141" s="337"/>
      <c r="T141" s="14"/>
      <c r="W141" s="337"/>
      <c r="X141" s="513"/>
      <c r="AA141" s="337"/>
      <c r="AB141" s="17"/>
      <c r="AC141" s="180"/>
      <c r="AD141" s="180"/>
      <c r="AE141" s="514"/>
      <c r="AF141" s="17"/>
      <c r="AI141" s="337"/>
      <c r="AM141" s="337"/>
      <c r="AQ141" s="337"/>
    </row>
    <row r="142" spans="2:43">
      <c r="B142" s="541"/>
      <c r="D142" s="337"/>
      <c r="G142" s="337"/>
      <c r="K142" s="337"/>
      <c r="O142" s="337"/>
      <c r="S142" s="337"/>
      <c r="T142" s="14"/>
      <c r="W142" s="337"/>
      <c r="X142" s="513"/>
      <c r="AA142" s="337"/>
      <c r="AB142" s="17"/>
      <c r="AC142" s="180"/>
      <c r="AD142" s="180"/>
      <c r="AE142" s="514"/>
      <c r="AF142" s="17"/>
      <c r="AI142" s="337"/>
      <c r="AM142" s="337"/>
      <c r="AQ142" s="337"/>
    </row>
    <row r="143" spans="2:43">
      <c r="B143" s="541"/>
      <c r="D143" s="337"/>
      <c r="G143" s="337"/>
      <c r="K143" s="337"/>
      <c r="O143" s="337"/>
      <c r="S143" s="337"/>
      <c r="T143" s="14"/>
      <c r="W143" s="337"/>
      <c r="X143" s="513"/>
      <c r="AA143" s="337"/>
      <c r="AB143" s="17"/>
      <c r="AC143" s="180"/>
      <c r="AD143" s="180"/>
      <c r="AE143" s="514"/>
      <c r="AF143" s="17"/>
      <c r="AI143" s="337"/>
      <c r="AM143" s="337"/>
      <c r="AQ143" s="337"/>
    </row>
    <row r="144" spans="2:43">
      <c r="B144" s="541"/>
      <c r="D144" s="337"/>
      <c r="G144" s="337"/>
      <c r="K144" s="337"/>
      <c r="O144" s="337"/>
      <c r="S144" s="337"/>
      <c r="T144" s="14"/>
      <c r="W144" s="337"/>
      <c r="X144" s="513"/>
      <c r="AA144" s="337"/>
      <c r="AB144" s="17"/>
      <c r="AC144" s="180"/>
      <c r="AD144" s="180"/>
      <c r="AE144" s="514"/>
      <c r="AF144" s="17"/>
      <c r="AI144" s="337"/>
      <c r="AM144" s="337"/>
      <c r="AQ144" s="337"/>
    </row>
    <row r="145" spans="2:43">
      <c r="B145" s="541"/>
      <c r="D145" s="337"/>
      <c r="G145" s="337"/>
      <c r="K145" s="337"/>
      <c r="O145" s="337"/>
      <c r="S145" s="337"/>
      <c r="T145" s="14"/>
      <c r="W145" s="337"/>
      <c r="X145" s="513"/>
      <c r="AA145" s="337"/>
      <c r="AB145" s="17"/>
      <c r="AC145" s="180"/>
      <c r="AD145" s="180"/>
      <c r="AE145" s="514"/>
      <c r="AF145" s="17"/>
      <c r="AI145" s="337"/>
      <c r="AM145" s="337"/>
      <c r="AQ145" s="337"/>
    </row>
    <row r="146" spans="2:43">
      <c r="B146" s="541"/>
      <c r="D146" s="337"/>
      <c r="G146" s="337"/>
      <c r="K146" s="337"/>
      <c r="O146" s="337"/>
      <c r="S146" s="337"/>
      <c r="T146" s="14"/>
      <c r="W146" s="337"/>
      <c r="X146" s="513"/>
      <c r="AA146" s="337"/>
      <c r="AB146" s="17"/>
      <c r="AC146" s="180"/>
      <c r="AD146" s="180"/>
      <c r="AE146" s="514"/>
      <c r="AF146" s="17"/>
      <c r="AI146" s="337"/>
      <c r="AM146" s="337"/>
      <c r="AQ146" s="337"/>
    </row>
    <row r="147" spans="2:43">
      <c r="B147" s="541"/>
      <c r="D147" s="337"/>
      <c r="G147" s="337"/>
      <c r="K147" s="337"/>
      <c r="O147" s="337"/>
      <c r="S147" s="337"/>
      <c r="T147" s="14"/>
      <c r="W147" s="337"/>
      <c r="X147" s="513"/>
      <c r="AA147" s="337"/>
      <c r="AB147" s="17"/>
      <c r="AC147" s="180"/>
      <c r="AD147" s="180"/>
      <c r="AE147" s="514"/>
      <c r="AF147" s="17"/>
      <c r="AI147" s="337"/>
      <c r="AM147" s="337"/>
      <c r="AQ147" s="337"/>
    </row>
    <row r="148" spans="2:43">
      <c r="B148" s="541"/>
      <c r="D148" s="337"/>
      <c r="G148" s="337"/>
      <c r="K148" s="337"/>
      <c r="O148" s="337"/>
      <c r="S148" s="337"/>
      <c r="T148" s="14"/>
      <c r="W148" s="337"/>
      <c r="X148" s="513"/>
      <c r="AA148" s="337"/>
      <c r="AB148" s="17"/>
      <c r="AC148" s="180"/>
      <c r="AD148" s="180"/>
      <c r="AE148" s="514"/>
      <c r="AF148" s="17"/>
      <c r="AI148" s="337"/>
      <c r="AM148" s="337"/>
      <c r="AQ148" s="337"/>
    </row>
    <row r="149" spans="2:43">
      <c r="B149" s="541"/>
      <c r="D149" s="337"/>
      <c r="G149" s="337"/>
      <c r="K149" s="337"/>
      <c r="O149" s="337"/>
      <c r="S149" s="337"/>
      <c r="T149" s="14"/>
      <c r="W149" s="337"/>
      <c r="X149" s="513"/>
      <c r="AA149" s="337"/>
      <c r="AB149" s="17"/>
      <c r="AC149" s="180"/>
      <c r="AD149" s="180"/>
      <c r="AE149" s="514"/>
      <c r="AF149" s="17"/>
      <c r="AI149" s="337"/>
      <c r="AM149" s="337"/>
      <c r="AQ149" s="337"/>
    </row>
    <row r="150" spans="2:43">
      <c r="B150" s="541"/>
      <c r="D150" s="337"/>
      <c r="G150" s="337"/>
      <c r="K150" s="337"/>
      <c r="O150" s="337"/>
      <c r="S150" s="337"/>
      <c r="T150" s="14"/>
      <c r="W150" s="337"/>
      <c r="X150" s="513"/>
      <c r="AA150" s="337"/>
      <c r="AB150" s="17"/>
      <c r="AC150" s="180"/>
      <c r="AD150" s="180"/>
      <c r="AE150" s="514"/>
      <c r="AF150" s="17"/>
      <c r="AI150" s="337"/>
      <c r="AM150" s="337"/>
      <c r="AQ150" s="337"/>
    </row>
    <row r="151" spans="2:43">
      <c r="B151" s="541"/>
      <c r="D151" s="337"/>
      <c r="G151" s="337"/>
      <c r="K151" s="337"/>
      <c r="O151" s="337"/>
      <c r="S151" s="337"/>
      <c r="T151" s="14"/>
      <c r="W151" s="337"/>
      <c r="X151" s="513"/>
      <c r="AA151" s="337"/>
      <c r="AB151" s="17"/>
      <c r="AC151" s="180"/>
      <c r="AD151" s="180"/>
      <c r="AE151" s="514"/>
      <c r="AF151" s="17"/>
      <c r="AI151" s="337"/>
      <c r="AM151" s="337"/>
      <c r="AQ151" s="337"/>
    </row>
    <row r="152" spans="2:43">
      <c r="B152" s="541"/>
      <c r="D152" s="337"/>
      <c r="G152" s="337"/>
      <c r="K152" s="337"/>
      <c r="O152" s="337"/>
      <c r="S152" s="337"/>
      <c r="T152" s="14"/>
      <c r="W152" s="337"/>
      <c r="X152" s="513"/>
      <c r="AA152" s="337"/>
      <c r="AB152" s="17"/>
      <c r="AC152" s="180"/>
      <c r="AD152" s="180"/>
      <c r="AE152" s="514"/>
      <c r="AF152" s="17"/>
      <c r="AI152" s="337"/>
      <c r="AM152" s="337"/>
      <c r="AQ152" s="337"/>
    </row>
    <row r="153" spans="2:43">
      <c r="B153" s="541"/>
      <c r="D153" s="337"/>
      <c r="G153" s="337"/>
      <c r="K153" s="337"/>
      <c r="O153" s="337"/>
      <c r="S153" s="337"/>
      <c r="T153" s="14"/>
      <c r="W153" s="337"/>
      <c r="X153" s="513"/>
      <c r="AA153" s="337"/>
      <c r="AB153" s="17"/>
      <c r="AC153" s="180"/>
      <c r="AD153" s="180"/>
      <c r="AE153" s="514"/>
      <c r="AF153" s="17"/>
      <c r="AI153" s="337"/>
      <c r="AM153" s="337"/>
      <c r="AQ153" s="337"/>
    </row>
    <row r="154" spans="2:43">
      <c r="B154" s="541"/>
      <c r="D154" s="337"/>
      <c r="G154" s="337"/>
      <c r="K154" s="337"/>
      <c r="O154" s="337"/>
      <c r="S154" s="337"/>
      <c r="T154" s="14"/>
      <c r="W154" s="337"/>
      <c r="X154" s="513"/>
      <c r="AA154" s="337"/>
      <c r="AB154" s="17"/>
      <c r="AC154" s="180"/>
      <c r="AD154" s="180"/>
      <c r="AE154" s="514"/>
      <c r="AF154" s="17"/>
      <c r="AI154" s="337"/>
      <c r="AM154" s="337"/>
      <c r="AQ154" s="337"/>
    </row>
    <row r="155" spans="2:43">
      <c r="B155" s="541"/>
      <c r="D155" s="337"/>
      <c r="G155" s="337"/>
      <c r="K155" s="337"/>
      <c r="O155" s="337"/>
      <c r="S155" s="337"/>
      <c r="T155" s="14"/>
      <c r="W155" s="337"/>
      <c r="X155" s="513"/>
      <c r="AA155" s="337"/>
      <c r="AB155" s="17"/>
      <c r="AC155" s="180"/>
      <c r="AD155" s="180"/>
      <c r="AE155" s="514"/>
      <c r="AF155" s="17"/>
      <c r="AI155" s="337"/>
      <c r="AM155" s="337"/>
      <c r="AQ155" s="337"/>
    </row>
    <row r="156" spans="2:43">
      <c r="B156" s="541"/>
      <c r="D156" s="337"/>
      <c r="G156" s="337"/>
      <c r="K156" s="337"/>
      <c r="O156" s="337"/>
      <c r="S156" s="337"/>
      <c r="T156" s="14"/>
      <c r="W156" s="337"/>
      <c r="X156" s="513"/>
      <c r="AA156" s="337"/>
      <c r="AB156" s="17"/>
      <c r="AC156" s="180"/>
      <c r="AD156" s="180"/>
      <c r="AE156" s="514"/>
      <c r="AF156" s="17"/>
      <c r="AI156" s="337"/>
      <c r="AM156" s="337"/>
      <c r="AQ156" s="337"/>
    </row>
    <row r="157" spans="2:43">
      <c r="B157" s="541"/>
      <c r="D157" s="337"/>
      <c r="G157" s="337"/>
      <c r="K157" s="337"/>
      <c r="O157" s="337"/>
      <c r="S157" s="337"/>
      <c r="T157" s="14"/>
      <c r="W157" s="337"/>
      <c r="X157" s="513"/>
      <c r="AA157" s="337"/>
      <c r="AB157" s="17"/>
      <c r="AC157" s="180"/>
      <c r="AD157" s="180"/>
      <c r="AE157" s="514"/>
      <c r="AF157" s="17"/>
      <c r="AI157" s="337"/>
      <c r="AM157" s="337"/>
      <c r="AQ157" s="337"/>
    </row>
    <row r="158" spans="2:43">
      <c r="B158" s="541"/>
      <c r="D158" s="337"/>
      <c r="G158" s="337"/>
      <c r="K158" s="337"/>
      <c r="O158" s="337"/>
      <c r="S158" s="337"/>
      <c r="T158" s="14"/>
      <c r="W158" s="337"/>
      <c r="X158" s="513"/>
      <c r="AA158" s="337"/>
      <c r="AB158" s="17"/>
      <c r="AC158" s="180"/>
      <c r="AD158" s="180"/>
      <c r="AE158" s="514"/>
      <c r="AF158" s="17"/>
      <c r="AI158" s="337"/>
      <c r="AM158" s="337"/>
      <c r="AQ158" s="337"/>
    </row>
    <row r="159" spans="2:43">
      <c r="B159" s="541"/>
      <c r="D159" s="337"/>
      <c r="G159" s="337"/>
      <c r="K159" s="337"/>
      <c r="O159" s="337"/>
      <c r="S159" s="337"/>
      <c r="T159" s="14"/>
      <c r="W159" s="337"/>
      <c r="X159" s="513"/>
      <c r="AA159" s="337"/>
      <c r="AB159" s="17"/>
      <c r="AC159" s="180"/>
      <c r="AD159" s="180"/>
      <c r="AE159" s="514"/>
      <c r="AF159" s="17"/>
      <c r="AI159" s="337"/>
      <c r="AM159" s="337"/>
      <c r="AQ159" s="337"/>
    </row>
    <row r="160" spans="2:43">
      <c r="B160" s="541"/>
      <c r="D160" s="337"/>
      <c r="G160" s="337"/>
      <c r="K160" s="337"/>
      <c r="O160" s="337"/>
      <c r="S160" s="337"/>
      <c r="T160" s="14"/>
      <c r="W160" s="337"/>
      <c r="X160" s="513"/>
      <c r="AA160" s="337"/>
      <c r="AB160" s="17"/>
      <c r="AC160" s="180"/>
      <c r="AD160" s="180"/>
      <c r="AE160" s="514"/>
      <c r="AF160" s="17"/>
      <c r="AI160" s="337"/>
      <c r="AM160" s="337"/>
      <c r="AQ160" s="337"/>
    </row>
    <row r="161" spans="2:43">
      <c r="B161" s="541"/>
      <c r="D161" s="337"/>
      <c r="G161" s="337"/>
      <c r="K161" s="337"/>
      <c r="O161" s="337"/>
      <c r="S161" s="337"/>
      <c r="T161" s="14"/>
      <c r="W161" s="337"/>
      <c r="X161" s="513"/>
      <c r="AA161" s="337"/>
      <c r="AB161" s="17"/>
      <c r="AC161" s="180"/>
      <c r="AD161" s="180"/>
      <c r="AE161" s="514"/>
      <c r="AF161" s="17"/>
      <c r="AI161" s="337"/>
      <c r="AM161" s="337"/>
      <c r="AQ161" s="337"/>
    </row>
    <row r="162" spans="2:43">
      <c r="B162" s="541"/>
      <c r="D162" s="337"/>
      <c r="G162" s="337"/>
      <c r="K162" s="337"/>
      <c r="O162" s="337"/>
      <c r="S162" s="337"/>
      <c r="T162" s="14"/>
      <c r="W162" s="337"/>
      <c r="X162" s="513"/>
      <c r="AA162" s="337"/>
      <c r="AB162" s="17"/>
      <c r="AC162" s="180"/>
      <c r="AD162" s="180"/>
      <c r="AE162" s="514"/>
      <c r="AF162" s="17"/>
      <c r="AI162" s="337"/>
      <c r="AM162" s="337"/>
      <c r="AQ162" s="337"/>
    </row>
    <row r="163" spans="2:43">
      <c r="B163" s="541"/>
      <c r="D163" s="337"/>
      <c r="G163" s="337"/>
      <c r="K163" s="337"/>
      <c r="O163" s="337"/>
      <c r="S163" s="337"/>
      <c r="T163" s="14"/>
      <c r="W163" s="337"/>
      <c r="X163" s="513"/>
      <c r="AA163" s="337"/>
      <c r="AB163" s="17"/>
      <c r="AC163" s="180"/>
      <c r="AD163" s="180"/>
      <c r="AE163" s="514"/>
      <c r="AF163" s="17"/>
      <c r="AI163" s="337"/>
      <c r="AM163" s="337"/>
      <c r="AQ163" s="337"/>
    </row>
    <row r="164" spans="2:43">
      <c r="B164" s="541"/>
      <c r="D164" s="337"/>
      <c r="G164" s="337"/>
      <c r="K164" s="337"/>
      <c r="O164" s="337"/>
      <c r="S164" s="337"/>
      <c r="T164" s="14"/>
      <c r="W164" s="337"/>
      <c r="X164" s="513"/>
      <c r="AA164" s="337"/>
      <c r="AB164" s="17"/>
      <c r="AC164" s="180"/>
      <c r="AD164" s="180"/>
      <c r="AE164" s="514"/>
      <c r="AF164" s="17"/>
      <c r="AI164" s="337"/>
      <c r="AM164" s="337"/>
      <c r="AQ164" s="337"/>
    </row>
    <row r="165" spans="2:43">
      <c r="B165" s="541"/>
      <c r="D165" s="337"/>
      <c r="G165" s="337"/>
      <c r="K165" s="337"/>
      <c r="O165" s="337"/>
      <c r="S165" s="337"/>
      <c r="T165" s="14"/>
      <c r="W165" s="337"/>
      <c r="X165" s="513"/>
      <c r="AA165" s="337"/>
      <c r="AB165" s="17"/>
      <c r="AC165" s="180"/>
      <c r="AD165" s="180"/>
      <c r="AE165" s="514"/>
      <c r="AF165" s="17"/>
      <c r="AI165" s="337"/>
      <c r="AM165" s="337"/>
      <c r="AQ165" s="337"/>
    </row>
    <row r="166" spans="2:43">
      <c r="B166" s="541"/>
      <c r="D166" s="337"/>
      <c r="G166" s="337"/>
      <c r="K166" s="337"/>
      <c r="O166" s="337"/>
      <c r="S166" s="337"/>
      <c r="T166" s="14"/>
      <c r="W166" s="337"/>
      <c r="X166" s="513"/>
      <c r="AA166" s="337"/>
      <c r="AB166" s="17"/>
      <c r="AC166" s="180"/>
      <c r="AD166" s="180"/>
      <c r="AE166" s="514"/>
      <c r="AF166" s="17"/>
      <c r="AI166" s="337"/>
      <c r="AM166" s="337"/>
      <c r="AQ166" s="337"/>
    </row>
    <row r="167" spans="2:43">
      <c r="B167" s="541"/>
      <c r="D167" s="337"/>
      <c r="G167" s="337"/>
      <c r="K167" s="337"/>
      <c r="O167" s="337"/>
      <c r="S167" s="337"/>
      <c r="T167" s="14"/>
      <c r="W167" s="337"/>
      <c r="X167" s="513"/>
      <c r="AA167" s="337"/>
      <c r="AB167" s="17"/>
      <c r="AC167" s="180"/>
      <c r="AD167" s="180"/>
      <c r="AE167" s="514"/>
      <c r="AF167" s="17"/>
      <c r="AI167" s="337"/>
      <c r="AM167" s="337"/>
      <c r="AQ167" s="337"/>
    </row>
    <row r="168" spans="2:43">
      <c r="B168" s="541"/>
      <c r="D168" s="337"/>
      <c r="G168" s="337"/>
      <c r="K168" s="337"/>
      <c r="O168" s="337"/>
      <c r="S168" s="337"/>
      <c r="T168" s="14"/>
      <c r="W168" s="337"/>
      <c r="X168" s="513"/>
      <c r="AA168" s="337"/>
      <c r="AB168" s="17"/>
      <c r="AC168" s="180"/>
      <c r="AD168" s="180"/>
      <c r="AE168" s="514"/>
      <c r="AF168" s="17"/>
      <c r="AI168" s="337"/>
      <c r="AM168" s="337"/>
      <c r="AQ168" s="337"/>
    </row>
    <row r="169" spans="2:43">
      <c r="B169" s="541"/>
      <c r="D169" s="337"/>
      <c r="G169" s="337"/>
      <c r="K169" s="337"/>
      <c r="O169" s="337"/>
      <c r="S169" s="337"/>
      <c r="T169" s="14"/>
      <c r="W169" s="337"/>
      <c r="X169" s="513"/>
      <c r="AA169" s="337"/>
      <c r="AB169" s="17"/>
      <c r="AC169" s="180"/>
      <c r="AD169" s="180"/>
      <c r="AE169" s="514"/>
      <c r="AF169" s="17"/>
      <c r="AI169" s="337"/>
      <c r="AM169" s="337"/>
      <c r="AQ169" s="337"/>
    </row>
    <row r="170" spans="2:43">
      <c r="B170" s="541"/>
      <c r="D170" s="337"/>
      <c r="G170" s="337"/>
      <c r="K170" s="337"/>
      <c r="O170" s="337"/>
      <c r="S170" s="337"/>
      <c r="T170" s="14"/>
      <c r="W170" s="337"/>
      <c r="X170" s="513"/>
      <c r="AA170" s="337"/>
      <c r="AB170" s="17"/>
      <c r="AC170" s="180"/>
      <c r="AD170" s="180"/>
      <c r="AE170" s="514"/>
      <c r="AF170" s="17"/>
      <c r="AI170" s="337"/>
      <c r="AM170" s="337"/>
      <c r="AQ170" s="337"/>
    </row>
    <row r="171" spans="2:43">
      <c r="B171" s="541"/>
      <c r="D171" s="337"/>
      <c r="G171" s="337"/>
      <c r="K171" s="337"/>
      <c r="O171" s="337"/>
      <c r="S171" s="337"/>
      <c r="T171" s="14"/>
      <c r="W171" s="337"/>
      <c r="X171" s="513"/>
      <c r="AA171" s="337"/>
      <c r="AB171" s="17"/>
      <c r="AC171" s="180"/>
      <c r="AD171" s="180"/>
      <c r="AE171" s="514"/>
      <c r="AF171" s="17"/>
      <c r="AI171" s="337"/>
      <c r="AM171" s="337"/>
      <c r="AQ171" s="337"/>
    </row>
    <row r="172" spans="2:43">
      <c r="B172" s="541"/>
      <c r="D172" s="337"/>
      <c r="G172" s="337"/>
      <c r="K172" s="337"/>
      <c r="O172" s="337"/>
      <c r="S172" s="337"/>
      <c r="T172" s="14"/>
      <c r="W172" s="337"/>
      <c r="X172" s="513"/>
      <c r="AA172" s="337"/>
      <c r="AB172" s="17"/>
      <c r="AC172" s="180"/>
      <c r="AD172" s="180"/>
      <c r="AE172" s="514"/>
      <c r="AF172" s="17"/>
      <c r="AI172" s="337"/>
      <c r="AM172" s="337"/>
      <c r="AQ172" s="337"/>
    </row>
    <row r="173" spans="2:43">
      <c r="B173" s="541"/>
      <c r="D173" s="337"/>
      <c r="G173" s="337"/>
      <c r="K173" s="337"/>
      <c r="O173" s="337"/>
      <c r="S173" s="337"/>
      <c r="T173" s="14"/>
      <c r="W173" s="337"/>
      <c r="X173" s="513"/>
      <c r="AA173" s="337"/>
      <c r="AB173" s="17"/>
      <c r="AC173" s="180"/>
      <c r="AD173" s="180"/>
      <c r="AE173" s="514"/>
      <c r="AF173" s="17"/>
      <c r="AI173" s="337"/>
      <c r="AM173" s="337"/>
      <c r="AQ173" s="337"/>
    </row>
    <row r="174" spans="2:43">
      <c r="B174" s="541"/>
      <c r="D174" s="337"/>
      <c r="G174" s="337"/>
      <c r="K174" s="337"/>
      <c r="O174" s="337"/>
      <c r="S174" s="337"/>
      <c r="T174" s="14"/>
      <c r="W174" s="337"/>
      <c r="X174" s="513"/>
      <c r="AA174" s="337"/>
      <c r="AB174" s="17"/>
      <c r="AC174" s="180"/>
      <c r="AD174" s="180"/>
      <c r="AE174" s="514"/>
      <c r="AF174" s="17"/>
      <c r="AI174" s="337"/>
      <c r="AM174" s="337"/>
      <c r="AQ174" s="337"/>
    </row>
    <row r="175" spans="2:43">
      <c r="B175" s="541"/>
      <c r="D175" s="337"/>
      <c r="G175" s="337"/>
      <c r="K175" s="337"/>
      <c r="O175" s="337"/>
      <c r="S175" s="337"/>
      <c r="T175" s="14"/>
      <c r="W175" s="337"/>
      <c r="X175" s="513"/>
      <c r="AA175" s="337"/>
      <c r="AB175" s="17"/>
      <c r="AC175" s="180"/>
      <c r="AD175" s="180"/>
      <c r="AE175" s="514"/>
      <c r="AF175" s="17"/>
      <c r="AI175" s="337"/>
      <c r="AM175" s="337"/>
      <c r="AQ175" s="337"/>
    </row>
    <row r="176" spans="2:43">
      <c r="B176" s="541"/>
      <c r="D176" s="337"/>
      <c r="G176" s="337"/>
      <c r="K176" s="337"/>
      <c r="O176" s="337"/>
      <c r="S176" s="337"/>
      <c r="T176" s="14"/>
      <c r="W176" s="337"/>
      <c r="X176" s="513"/>
      <c r="AA176" s="337"/>
      <c r="AB176" s="17"/>
      <c r="AC176" s="180"/>
      <c r="AD176" s="180"/>
      <c r="AE176" s="514"/>
      <c r="AF176" s="17"/>
      <c r="AI176" s="337"/>
      <c r="AM176" s="337"/>
      <c r="AQ176" s="337"/>
    </row>
    <row r="177" spans="2:43">
      <c r="B177" s="541"/>
      <c r="D177" s="337"/>
      <c r="G177" s="337"/>
      <c r="K177" s="337"/>
      <c r="O177" s="337"/>
      <c r="S177" s="337"/>
      <c r="T177" s="14"/>
      <c r="W177" s="337"/>
      <c r="X177" s="513"/>
      <c r="AA177" s="337"/>
      <c r="AB177" s="17"/>
      <c r="AC177" s="180"/>
      <c r="AD177" s="180"/>
      <c r="AE177" s="514"/>
      <c r="AF177" s="17"/>
      <c r="AI177" s="337"/>
      <c r="AM177" s="337"/>
      <c r="AQ177" s="337"/>
    </row>
    <row r="178" spans="2:43">
      <c r="B178" s="541"/>
      <c r="D178" s="337"/>
      <c r="G178" s="337"/>
      <c r="K178" s="337"/>
      <c r="O178" s="337"/>
      <c r="S178" s="337"/>
      <c r="T178" s="14"/>
      <c r="W178" s="337"/>
      <c r="X178" s="513"/>
      <c r="AA178" s="337"/>
      <c r="AB178" s="17"/>
      <c r="AC178" s="180"/>
      <c r="AD178" s="180"/>
      <c r="AE178" s="514"/>
      <c r="AF178" s="17"/>
      <c r="AI178" s="337"/>
      <c r="AM178" s="337"/>
      <c r="AQ178" s="337"/>
    </row>
    <row r="179" spans="2:43">
      <c r="B179" s="541"/>
      <c r="D179" s="337"/>
      <c r="G179" s="337"/>
      <c r="K179" s="337"/>
      <c r="O179" s="337"/>
      <c r="S179" s="337"/>
      <c r="T179" s="14"/>
      <c r="W179" s="337"/>
      <c r="X179" s="513"/>
      <c r="AA179" s="337"/>
      <c r="AB179" s="17"/>
      <c r="AC179" s="180"/>
      <c r="AD179" s="180"/>
      <c r="AE179" s="514"/>
      <c r="AF179" s="17"/>
      <c r="AI179" s="337"/>
      <c r="AM179" s="337"/>
      <c r="AQ179" s="337"/>
    </row>
    <row r="180" spans="2:43">
      <c r="B180" s="541"/>
      <c r="D180" s="337"/>
      <c r="G180" s="337"/>
      <c r="K180" s="337"/>
      <c r="O180" s="337"/>
      <c r="S180" s="337"/>
      <c r="T180" s="14"/>
      <c r="W180" s="337"/>
      <c r="X180" s="513"/>
      <c r="AA180" s="337"/>
      <c r="AB180" s="17"/>
      <c r="AC180" s="180"/>
      <c r="AD180" s="180"/>
      <c r="AE180" s="514"/>
      <c r="AF180" s="17"/>
      <c r="AI180" s="337"/>
      <c r="AM180" s="337"/>
      <c r="AQ180" s="337"/>
    </row>
    <row r="181" spans="2:43">
      <c r="B181" s="541"/>
      <c r="D181" s="337"/>
      <c r="G181" s="337"/>
      <c r="K181" s="337"/>
      <c r="O181" s="337"/>
      <c r="S181" s="337"/>
      <c r="T181" s="14"/>
      <c r="W181" s="337"/>
      <c r="X181" s="513"/>
      <c r="AA181" s="337"/>
      <c r="AB181" s="17"/>
      <c r="AC181" s="180"/>
      <c r="AD181" s="180"/>
      <c r="AE181" s="514"/>
      <c r="AF181" s="17"/>
      <c r="AI181" s="337"/>
      <c r="AM181" s="337"/>
      <c r="AQ181" s="337"/>
    </row>
    <row r="182" spans="2:43">
      <c r="B182" s="541"/>
      <c r="D182" s="337"/>
      <c r="G182" s="337"/>
      <c r="K182" s="337"/>
      <c r="O182" s="337"/>
      <c r="S182" s="337"/>
      <c r="T182" s="14"/>
      <c r="W182" s="337"/>
      <c r="X182" s="513"/>
      <c r="AA182" s="337"/>
      <c r="AB182" s="17"/>
      <c r="AC182" s="180"/>
      <c r="AD182" s="180"/>
      <c r="AE182" s="514"/>
      <c r="AF182" s="17"/>
      <c r="AI182" s="337"/>
      <c r="AM182" s="337"/>
      <c r="AQ182" s="337"/>
    </row>
    <row r="183" spans="2:43">
      <c r="B183" s="541"/>
      <c r="D183" s="337"/>
      <c r="G183" s="337"/>
      <c r="K183" s="337"/>
      <c r="O183" s="337"/>
      <c r="S183" s="337"/>
      <c r="T183" s="14"/>
      <c r="W183" s="337"/>
      <c r="X183" s="513"/>
      <c r="AA183" s="337"/>
      <c r="AB183" s="17"/>
      <c r="AC183" s="180"/>
      <c r="AD183" s="180"/>
      <c r="AE183" s="514"/>
      <c r="AF183" s="17"/>
      <c r="AI183" s="337"/>
      <c r="AM183" s="337"/>
      <c r="AQ183" s="337"/>
    </row>
    <row r="184" spans="2:43">
      <c r="B184" s="541"/>
      <c r="D184" s="337"/>
      <c r="G184" s="337"/>
      <c r="K184" s="337"/>
      <c r="O184" s="337"/>
      <c r="S184" s="337"/>
      <c r="T184" s="14"/>
      <c r="W184" s="337"/>
      <c r="X184" s="513"/>
      <c r="AA184" s="337"/>
      <c r="AB184" s="17"/>
      <c r="AC184" s="180"/>
      <c r="AD184" s="180"/>
      <c r="AE184" s="514"/>
      <c r="AF184" s="17"/>
      <c r="AI184" s="337"/>
      <c r="AM184" s="337"/>
      <c r="AQ184" s="337"/>
    </row>
    <row r="185" spans="2:43">
      <c r="B185" s="541"/>
      <c r="D185" s="337"/>
      <c r="G185" s="337"/>
      <c r="K185" s="337"/>
      <c r="O185" s="337"/>
      <c r="S185" s="337"/>
      <c r="T185" s="14"/>
      <c r="W185" s="337"/>
      <c r="X185" s="513"/>
      <c r="AA185" s="337"/>
      <c r="AB185" s="17"/>
      <c r="AC185" s="180"/>
      <c r="AD185" s="180"/>
      <c r="AE185" s="514"/>
      <c r="AF185" s="17"/>
      <c r="AI185" s="337"/>
      <c r="AM185" s="337"/>
      <c r="AQ185" s="337"/>
    </row>
    <row r="186" spans="2:43">
      <c r="B186" s="541"/>
      <c r="D186" s="337"/>
      <c r="G186" s="337"/>
      <c r="K186" s="337"/>
      <c r="O186" s="337"/>
      <c r="S186" s="337"/>
      <c r="T186" s="14"/>
      <c r="W186" s="337"/>
      <c r="X186" s="513"/>
      <c r="AA186" s="337"/>
      <c r="AB186" s="17"/>
      <c r="AC186" s="180"/>
      <c r="AD186" s="180"/>
      <c r="AE186" s="514"/>
      <c r="AF186" s="17"/>
      <c r="AI186" s="337"/>
      <c r="AM186" s="337"/>
      <c r="AQ186" s="337"/>
    </row>
    <row r="187" spans="2:43">
      <c r="B187" s="541"/>
      <c r="D187" s="337"/>
      <c r="G187" s="337"/>
      <c r="K187" s="337"/>
      <c r="O187" s="337"/>
      <c r="S187" s="337"/>
      <c r="T187" s="14"/>
      <c r="W187" s="337"/>
      <c r="X187" s="513"/>
      <c r="AA187" s="337"/>
      <c r="AB187" s="17"/>
      <c r="AC187" s="180"/>
      <c r="AD187" s="180"/>
      <c r="AE187" s="514"/>
      <c r="AF187" s="17"/>
      <c r="AI187" s="337"/>
      <c r="AM187" s="337"/>
      <c r="AQ187" s="337"/>
    </row>
    <row r="188" spans="2:43">
      <c r="B188" s="541"/>
      <c r="D188" s="337"/>
      <c r="G188" s="337"/>
      <c r="K188" s="337"/>
      <c r="O188" s="337"/>
      <c r="S188" s="337"/>
      <c r="T188" s="14"/>
      <c r="W188" s="337"/>
      <c r="X188" s="513"/>
      <c r="AA188" s="337"/>
      <c r="AB188" s="17"/>
      <c r="AC188" s="180"/>
      <c r="AD188" s="180"/>
      <c r="AE188" s="514"/>
      <c r="AF188" s="17"/>
      <c r="AI188" s="337"/>
      <c r="AM188" s="337"/>
      <c r="AQ188" s="337"/>
    </row>
    <row r="189" spans="2:43">
      <c r="B189" s="541"/>
      <c r="D189" s="337"/>
      <c r="G189" s="337"/>
      <c r="K189" s="337"/>
      <c r="O189" s="337"/>
      <c r="S189" s="337"/>
      <c r="T189" s="14"/>
      <c r="W189" s="337"/>
      <c r="X189" s="513"/>
      <c r="AA189" s="337"/>
      <c r="AB189" s="17"/>
      <c r="AC189" s="180"/>
      <c r="AD189" s="180"/>
      <c r="AE189" s="514"/>
      <c r="AF189" s="17"/>
      <c r="AI189" s="337"/>
      <c r="AM189" s="337"/>
      <c r="AQ189" s="337"/>
    </row>
    <row r="190" spans="2:43">
      <c r="B190" s="541"/>
      <c r="D190" s="337"/>
      <c r="G190" s="337"/>
      <c r="K190" s="337"/>
      <c r="O190" s="337"/>
      <c r="S190" s="337"/>
      <c r="T190" s="14"/>
      <c r="W190" s="337"/>
      <c r="X190" s="513"/>
      <c r="AA190" s="337"/>
      <c r="AB190" s="17"/>
      <c r="AC190" s="180"/>
      <c r="AD190" s="180"/>
      <c r="AE190" s="514"/>
      <c r="AF190" s="17"/>
      <c r="AI190" s="337"/>
      <c r="AM190" s="337"/>
      <c r="AQ190" s="337"/>
    </row>
    <row r="191" spans="2:43">
      <c r="B191" s="541"/>
      <c r="D191" s="337"/>
      <c r="G191" s="337"/>
      <c r="K191" s="337"/>
      <c r="O191" s="337"/>
      <c r="S191" s="337"/>
      <c r="T191" s="14"/>
      <c r="W191" s="337"/>
      <c r="X191" s="513"/>
      <c r="AA191" s="337"/>
      <c r="AB191" s="17"/>
      <c r="AC191" s="180"/>
      <c r="AD191" s="180"/>
      <c r="AE191" s="514"/>
      <c r="AF191" s="17"/>
      <c r="AI191" s="337"/>
      <c r="AM191" s="337"/>
      <c r="AQ191" s="337"/>
    </row>
    <row r="192" spans="2:43">
      <c r="B192" s="541"/>
      <c r="D192" s="337"/>
      <c r="G192" s="337"/>
      <c r="K192" s="337"/>
      <c r="O192" s="337"/>
      <c r="S192" s="337"/>
      <c r="T192" s="14"/>
      <c r="W192" s="337"/>
      <c r="X192" s="513"/>
      <c r="AA192" s="337"/>
      <c r="AB192" s="17"/>
      <c r="AC192" s="180"/>
      <c r="AD192" s="180"/>
      <c r="AE192" s="514"/>
      <c r="AF192" s="17"/>
      <c r="AI192" s="337"/>
      <c r="AM192" s="337"/>
      <c r="AQ192" s="337"/>
    </row>
    <row r="193" spans="2:43">
      <c r="B193" s="541"/>
      <c r="D193" s="337"/>
      <c r="G193" s="337"/>
      <c r="K193" s="337"/>
      <c r="O193" s="337"/>
      <c r="S193" s="337"/>
      <c r="T193" s="14"/>
      <c r="W193" s="337"/>
      <c r="X193" s="513"/>
      <c r="AA193" s="337"/>
      <c r="AB193" s="17"/>
      <c r="AC193" s="180"/>
      <c r="AD193" s="180"/>
      <c r="AE193" s="514"/>
      <c r="AF193" s="17"/>
      <c r="AI193" s="337"/>
      <c r="AM193" s="337"/>
      <c r="AQ193" s="337"/>
    </row>
    <row r="194" spans="2:43">
      <c r="B194" s="541"/>
      <c r="D194" s="337"/>
      <c r="G194" s="337"/>
      <c r="K194" s="337"/>
      <c r="O194" s="337"/>
      <c r="S194" s="337"/>
      <c r="T194" s="14"/>
      <c r="W194" s="337"/>
      <c r="X194" s="513"/>
      <c r="AA194" s="337"/>
      <c r="AB194" s="17"/>
      <c r="AC194" s="180"/>
      <c r="AD194" s="180"/>
      <c r="AE194" s="514"/>
      <c r="AF194" s="17"/>
      <c r="AI194" s="337"/>
      <c r="AM194" s="337"/>
      <c r="AQ194" s="337"/>
    </row>
    <row r="195" spans="2:43">
      <c r="B195" s="541"/>
      <c r="D195" s="337"/>
      <c r="G195" s="337"/>
      <c r="K195" s="337"/>
      <c r="O195" s="337"/>
      <c r="S195" s="337"/>
      <c r="T195" s="14"/>
      <c r="W195" s="337"/>
      <c r="X195" s="513"/>
      <c r="AA195" s="337"/>
      <c r="AB195" s="17"/>
      <c r="AC195" s="180"/>
      <c r="AD195" s="180"/>
      <c r="AE195" s="514"/>
      <c r="AF195" s="17"/>
      <c r="AI195" s="337"/>
      <c r="AM195" s="337"/>
      <c r="AQ195" s="337"/>
    </row>
    <row r="196" spans="2:43">
      <c r="B196" s="541"/>
      <c r="D196" s="337"/>
      <c r="G196" s="337"/>
      <c r="K196" s="337"/>
      <c r="O196" s="337"/>
      <c r="S196" s="337"/>
      <c r="T196" s="14"/>
      <c r="W196" s="337"/>
      <c r="X196" s="513"/>
      <c r="AA196" s="337"/>
      <c r="AB196" s="17"/>
      <c r="AC196" s="180"/>
      <c r="AD196" s="180"/>
      <c r="AE196" s="514"/>
      <c r="AF196" s="17"/>
      <c r="AI196" s="337"/>
      <c r="AM196" s="337"/>
      <c r="AQ196" s="337"/>
    </row>
    <row r="197" spans="2:43">
      <c r="B197" s="541"/>
      <c r="D197" s="337"/>
      <c r="G197" s="337"/>
      <c r="K197" s="337"/>
      <c r="O197" s="337"/>
      <c r="S197" s="337"/>
      <c r="T197" s="14"/>
      <c r="W197" s="337"/>
      <c r="X197" s="513"/>
      <c r="AA197" s="337"/>
      <c r="AB197" s="17"/>
      <c r="AC197" s="180"/>
      <c r="AD197" s="180"/>
      <c r="AE197" s="514"/>
      <c r="AF197" s="17"/>
      <c r="AI197" s="337"/>
      <c r="AM197" s="337"/>
      <c r="AQ197" s="337"/>
    </row>
    <row r="198" spans="2:43">
      <c r="B198" s="541"/>
      <c r="D198" s="337"/>
      <c r="G198" s="337"/>
      <c r="K198" s="337"/>
      <c r="O198" s="337"/>
      <c r="S198" s="337"/>
      <c r="T198" s="14"/>
      <c r="W198" s="337"/>
      <c r="X198" s="513"/>
      <c r="AA198" s="337"/>
      <c r="AB198" s="17"/>
      <c r="AC198" s="180"/>
      <c r="AD198" s="180"/>
      <c r="AE198" s="514"/>
      <c r="AF198" s="17"/>
      <c r="AI198" s="337"/>
      <c r="AM198" s="337"/>
      <c r="AQ198" s="337"/>
    </row>
    <row r="199" spans="2:43">
      <c r="B199" s="541"/>
      <c r="D199" s="337"/>
      <c r="G199" s="337"/>
      <c r="K199" s="337"/>
      <c r="O199" s="337"/>
      <c r="S199" s="337"/>
      <c r="T199" s="14"/>
      <c r="W199" s="337"/>
      <c r="X199" s="513"/>
      <c r="AA199" s="337"/>
      <c r="AB199" s="17"/>
      <c r="AC199" s="180"/>
      <c r="AD199" s="180"/>
      <c r="AE199" s="514"/>
      <c r="AF199" s="17"/>
      <c r="AI199" s="337"/>
      <c r="AM199" s="337"/>
      <c r="AQ199" s="337"/>
    </row>
    <row r="200" spans="2:43">
      <c r="B200" s="541"/>
      <c r="D200" s="337"/>
      <c r="G200" s="337"/>
      <c r="K200" s="337"/>
      <c r="O200" s="337"/>
      <c r="S200" s="337"/>
      <c r="T200" s="14"/>
      <c r="W200" s="337"/>
      <c r="X200" s="513"/>
      <c r="AA200" s="337"/>
      <c r="AB200" s="17"/>
      <c r="AC200" s="180"/>
      <c r="AD200" s="180"/>
      <c r="AE200" s="514"/>
      <c r="AF200" s="17"/>
      <c r="AI200" s="337"/>
      <c r="AM200" s="337"/>
      <c r="AQ200" s="337"/>
    </row>
    <row r="201" spans="2:43">
      <c r="B201" s="541"/>
      <c r="D201" s="337"/>
      <c r="G201" s="337"/>
      <c r="K201" s="337"/>
      <c r="O201" s="337"/>
      <c r="S201" s="337"/>
      <c r="T201" s="14"/>
      <c r="W201" s="337"/>
      <c r="X201" s="513"/>
      <c r="AA201" s="337"/>
      <c r="AB201" s="17"/>
      <c r="AC201" s="180"/>
      <c r="AD201" s="180"/>
      <c r="AE201" s="514"/>
      <c r="AF201" s="17"/>
      <c r="AI201" s="337"/>
      <c r="AM201" s="337"/>
      <c r="AQ201" s="337"/>
    </row>
    <row r="202" spans="2:43">
      <c r="B202" s="541"/>
      <c r="D202" s="337"/>
      <c r="G202" s="337"/>
      <c r="K202" s="337"/>
      <c r="O202" s="337"/>
      <c r="S202" s="337"/>
      <c r="T202" s="14"/>
      <c r="W202" s="337"/>
      <c r="X202" s="513"/>
      <c r="AA202" s="337"/>
      <c r="AB202" s="17"/>
      <c r="AC202" s="180"/>
      <c r="AD202" s="180"/>
      <c r="AE202" s="514"/>
      <c r="AF202" s="17"/>
      <c r="AI202" s="337"/>
      <c r="AM202" s="337"/>
      <c r="AQ202" s="337"/>
    </row>
    <row r="203" spans="2:43">
      <c r="B203" s="541"/>
      <c r="D203" s="337"/>
      <c r="G203" s="337"/>
      <c r="K203" s="337"/>
      <c r="O203" s="337"/>
      <c r="S203" s="337"/>
      <c r="T203" s="14"/>
      <c r="W203" s="337"/>
      <c r="X203" s="513"/>
      <c r="AA203" s="337"/>
      <c r="AB203" s="17"/>
      <c r="AC203" s="180"/>
      <c r="AD203" s="180"/>
      <c r="AE203" s="514"/>
      <c r="AF203" s="17"/>
      <c r="AI203" s="337"/>
      <c r="AM203" s="337"/>
      <c r="AQ203" s="337"/>
    </row>
    <row r="204" spans="2:43">
      <c r="B204" s="541"/>
      <c r="D204" s="337"/>
      <c r="G204" s="337"/>
      <c r="K204" s="337"/>
      <c r="O204" s="337"/>
      <c r="S204" s="337"/>
      <c r="T204" s="14"/>
      <c r="W204" s="337"/>
      <c r="X204" s="513"/>
      <c r="AA204" s="337"/>
      <c r="AB204" s="17"/>
      <c r="AC204" s="180"/>
      <c r="AD204" s="180"/>
      <c r="AE204" s="514"/>
      <c r="AF204" s="17"/>
      <c r="AI204" s="337"/>
      <c r="AM204" s="337"/>
      <c r="AQ204" s="337"/>
    </row>
    <row r="205" spans="2:43">
      <c r="B205" s="541"/>
      <c r="D205" s="337"/>
      <c r="G205" s="337"/>
      <c r="K205" s="337"/>
      <c r="O205" s="337"/>
      <c r="S205" s="337"/>
      <c r="T205" s="14"/>
      <c r="W205" s="337"/>
      <c r="X205" s="513"/>
      <c r="AA205" s="337"/>
      <c r="AB205" s="17"/>
      <c r="AC205" s="180"/>
      <c r="AD205" s="180"/>
      <c r="AE205" s="514"/>
      <c r="AF205" s="17"/>
      <c r="AI205" s="337"/>
      <c r="AM205" s="337"/>
      <c r="AQ205" s="337"/>
    </row>
    <row r="206" spans="2:43">
      <c r="B206" s="541"/>
      <c r="D206" s="337"/>
      <c r="G206" s="337"/>
      <c r="K206" s="337"/>
      <c r="O206" s="337"/>
      <c r="S206" s="337"/>
      <c r="T206" s="14"/>
      <c r="W206" s="337"/>
      <c r="X206" s="513"/>
      <c r="AA206" s="337"/>
      <c r="AB206" s="17"/>
      <c r="AC206" s="180"/>
      <c r="AD206" s="180"/>
      <c r="AE206" s="514"/>
      <c r="AF206" s="17"/>
      <c r="AI206" s="337"/>
      <c r="AM206" s="337"/>
      <c r="AQ206" s="337"/>
    </row>
    <row r="207" spans="2:43">
      <c r="B207" s="541"/>
      <c r="D207" s="337"/>
      <c r="G207" s="337"/>
      <c r="K207" s="337"/>
      <c r="O207" s="337"/>
      <c r="S207" s="337"/>
      <c r="T207" s="14"/>
      <c r="W207" s="337"/>
      <c r="X207" s="513"/>
      <c r="AA207" s="337"/>
      <c r="AB207" s="17"/>
      <c r="AC207" s="180"/>
      <c r="AD207" s="180"/>
      <c r="AE207" s="514"/>
      <c r="AF207" s="17"/>
      <c r="AI207" s="337"/>
      <c r="AM207" s="337"/>
      <c r="AQ207" s="337"/>
    </row>
    <row r="208" spans="2:43">
      <c r="B208" s="541"/>
      <c r="D208" s="337"/>
      <c r="G208" s="337"/>
      <c r="K208" s="337"/>
      <c r="O208" s="337"/>
      <c r="S208" s="337"/>
      <c r="T208" s="14"/>
      <c r="W208" s="337"/>
      <c r="X208" s="513"/>
      <c r="AA208" s="337"/>
      <c r="AB208" s="17"/>
      <c r="AC208" s="180"/>
      <c r="AD208" s="180"/>
      <c r="AE208" s="514"/>
      <c r="AF208" s="17"/>
      <c r="AI208" s="337"/>
      <c r="AM208" s="337"/>
      <c r="AQ208" s="337"/>
    </row>
    <row r="209" spans="2:43">
      <c r="B209" s="541"/>
      <c r="D209" s="337"/>
      <c r="G209" s="337"/>
      <c r="K209" s="337"/>
      <c r="O209" s="337"/>
      <c r="S209" s="337"/>
      <c r="T209" s="14"/>
      <c r="W209" s="337"/>
      <c r="X209" s="513"/>
      <c r="AA209" s="337"/>
      <c r="AB209" s="17"/>
      <c r="AC209" s="180"/>
      <c r="AD209" s="180"/>
      <c r="AE209" s="514"/>
      <c r="AF209" s="17"/>
      <c r="AI209" s="337"/>
      <c r="AM209" s="337"/>
      <c r="AQ209" s="337"/>
    </row>
    <row r="210" spans="2:43">
      <c r="B210" s="541"/>
      <c r="D210" s="337"/>
      <c r="G210" s="337"/>
      <c r="K210" s="337"/>
      <c r="O210" s="337"/>
      <c r="S210" s="337"/>
      <c r="T210" s="14"/>
      <c r="W210" s="337"/>
      <c r="X210" s="513"/>
      <c r="AA210" s="337"/>
      <c r="AB210" s="17"/>
      <c r="AC210" s="180"/>
      <c r="AD210" s="180"/>
      <c r="AE210" s="514"/>
      <c r="AF210" s="17"/>
      <c r="AI210" s="337"/>
      <c r="AM210" s="337"/>
      <c r="AQ210" s="337"/>
    </row>
    <row r="211" spans="2:43">
      <c r="B211" s="541"/>
      <c r="D211" s="337"/>
      <c r="G211" s="337"/>
      <c r="K211" s="337"/>
      <c r="O211" s="337"/>
      <c r="S211" s="337"/>
      <c r="T211" s="14"/>
      <c r="W211" s="337"/>
      <c r="X211" s="513"/>
      <c r="AA211" s="337"/>
      <c r="AB211" s="17"/>
      <c r="AC211" s="180"/>
      <c r="AD211" s="180"/>
      <c r="AE211" s="514"/>
      <c r="AF211" s="17"/>
      <c r="AI211" s="337"/>
      <c r="AM211" s="337"/>
      <c r="AQ211" s="337"/>
    </row>
    <row r="212" spans="2:43">
      <c r="B212" s="541"/>
      <c r="D212" s="337"/>
      <c r="G212" s="337"/>
      <c r="K212" s="337"/>
      <c r="O212" s="337"/>
      <c r="S212" s="337"/>
      <c r="T212" s="14"/>
      <c r="W212" s="337"/>
      <c r="X212" s="513"/>
      <c r="AA212" s="337"/>
      <c r="AB212" s="17"/>
      <c r="AC212" s="180"/>
      <c r="AD212" s="180"/>
      <c r="AE212" s="514"/>
      <c r="AF212" s="17"/>
      <c r="AI212" s="337"/>
      <c r="AM212" s="337"/>
      <c r="AQ212" s="337"/>
    </row>
    <row r="213" spans="2:43">
      <c r="B213" s="541"/>
      <c r="D213" s="337"/>
      <c r="G213" s="337"/>
      <c r="K213" s="337"/>
      <c r="O213" s="337"/>
      <c r="S213" s="337"/>
      <c r="T213" s="14"/>
      <c r="W213" s="337"/>
      <c r="X213" s="513"/>
      <c r="AA213" s="337"/>
      <c r="AB213" s="17"/>
      <c r="AC213" s="180"/>
      <c r="AD213" s="180"/>
      <c r="AE213" s="514"/>
      <c r="AF213" s="17"/>
      <c r="AI213" s="337"/>
      <c r="AM213" s="337"/>
      <c r="AQ213" s="337"/>
    </row>
    <row r="214" spans="2:43">
      <c r="B214" s="541"/>
      <c r="D214" s="337"/>
      <c r="G214" s="337"/>
      <c r="K214" s="337"/>
      <c r="O214" s="337"/>
      <c r="S214" s="337"/>
      <c r="T214" s="14"/>
      <c r="W214" s="337"/>
      <c r="X214" s="513"/>
      <c r="AA214" s="337"/>
      <c r="AB214" s="17"/>
      <c r="AC214" s="180"/>
      <c r="AD214" s="180"/>
      <c r="AE214" s="514"/>
      <c r="AF214" s="17"/>
      <c r="AI214" s="337"/>
      <c r="AM214" s="337"/>
      <c r="AQ214" s="337"/>
    </row>
    <row r="215" spans="2:43">
      <c r="B215" s="541"/>
      <c r="D215" s="337"/>
      <c r="G215" s="337"/>
      <c r="K215" s="337"/>
      <c r="O215" s="337"/>
      <c r="S215" s="337"/>
      <c r="T215" s="14"/>
      <c r="W215" s="337"/>
      <c r="X215" s="513"/>
      <c r="AA215" s="337"/>
      <c r="AB215" s="17"/>
      <c r="AC215" s="180"/>
      <c r="AD215" s="180"/>
      <c r="AE215" s="514"/>
      <c r="AF215" s="17"/>
      <c r="AI215" s="337"/>
      <c r="AM215" s="337"/>
      <c r="AQ215" s="337"/>
    </row>
    <row r="216" spans="2:43">
      <c r="B216" s="541"/>
      <c r="D216" s="337"/>
      <c r="G216" s="337"/>
      <c r="K216" s="337"/>
      <c r="O216" s="337"/>
      <c r="S216" s="337"/>
      <c r="T216" s="14"/>
      <c r="W216" s="337"/>
      <c r="X216" s="513"/>
      <c r="AA216" s="337"/>
      <c r="AB216" s="17"/>
      <c r="AC216" s="180"/>
      <c r="AD216" s="180"/>
      <c r="AE216" s="514"/>
      <c r="AF216" s="17"/>
      <c r="AI216" s="337"/>
      <c r="AM216" s="337"/>
      <c r="AQ216" s="337"/>
    </row>
    <row r="217" spans="2:43">
      <c r="B217" s="541"/>
      <c r="D217" s="337"/>
      <c r="G217" s="337"/>
      <c r="K217" s="337"/>
      <c r="O217" s="337"/>
      <c r="S217" s="337"/>
      <c r="T217" s="14"/>
      <c r="W217" s="337"/>
      <c r="X217" s="513"/>
      <c r="AA217" s="337"/>
      <c r="AB217" s="17"/>
      <c r="AC217" s="180"/>
      <c r="AD217" s="180"/>
      <c r="AE217" s="514"/>
      <c r="AF217" s="17"/>
      <c r="AI217" s="337"/>
      <c r="AM217" s="337"/>
      <c r="AQ217" s="337"/>
    </row>
    <row r="218" spans="2:43">
      <c r="B218" s="541"/>
      <c r="D218" s="337"/>
      <c r="G218" s="337"/>
      <c r="K218" s="337"/>
      <c r="O218" s="337"/>
      <c r="S218" s="337"/>
      <c r="T218" s="14"/>
      <c r="W218" s="337"/>
      <c r="X218" s="513"/>
      <c r="AA218" s="337"/>
      <c r="AB218" s="17"/>
      <c r="AC218" s="180"/>
      <c r="AD218" s="180"/>
      <c r="AE218" s="514"/>
      <c r="AF218" s="17"/>
      <c r="AI218" s="337"/>
      <c r="AM218" s="337"/>
      <c r="AQ218" s="337"/>
    </row>
    <row r="219" spans="2:43">
      <c r="B219" s="541"/>
      <c r="D219" s="337"/>
      <c r="G219" s="337"/>
      <c r="K219" s="337"/>
      <c r="O219" s="337"/>
      <c r="S219" s="337"/>
      <c r="T219" s="14"/>
      <c r="W219" s="337"/>
      <c r="X219" s="513"/>
      <c r="AA219" s="337"/>
      <c r="AB219" s="17"/>
      <c r="AC219" s="180"/>
      <c r="AD219" s="180"/>
      <c r="AE219" s="514"/>
      <c r="AF219" s="17"/>
      <c r="AI219" s="337"/>
      <c r="AM219" s="337"/>
      <c r="AQ219" s="337"/>
    </row>
    <row r="220" spans="2:43">
      <c r="B220" s="541"/>
      <c r="D220" s="337"/>
      <c r="G220" s="337"/>
      <c r="K220" s="337"/>
      <c r="O220" s="337"/>
      <c r="S220" s="337"/>
      <c r="T220" s="14"/>
      <c r="W220" s="337"/>
      <c r="X220" s="513"/>
      <c r="AA220" s="337"/>
      <c r="AB220" s="17"/>
      <c r="AC220" s="180"/>
      <c r="AD220" s="180"/>
      <c r="AE220" s="514"/>
      <c r="AF220" s="17"/>
      <c r="AI220" s="337"/>
      <c r="AM220" s="337"/>
      <c r="AQ220" s="337"/>
    </row>
    <row r="221" spans="2:43">
      <c r="B221" s="541"/>
      <c r="D221" s="337"/>
      <c r="G221" s="337"/>
      <c r="K221" s="337"/>
      <c r="O221" s="337"/>
      <c r="S221" s="337"/>
      <c r="T221" s="14"/>
      <c r="W221" s="337"/>
      <c r="X221" s="513"/>
      <c r="AA221" s="337"/>
      <c r="AB221" s="17"/>
      <c r="AC221" s="180"/>
      <c r="AD221" s="180"/>
      <c r="AE221" s="514"/>
      <c r="AF221" s="17"/>
      <c r="AI221" s="337"/>
      <c r="AM221" s="337"/>
      <c r="AQ221" s="337"/>
    </row>
    <row r="222" spans="2:43">
      <c r="B222" s="541"/>
      <c r="D222" s="337"/>
      <c r="G222" s="337"/>
      <c r="K222" s="337"/>
      <c r="O222" s="337"/>
      <c r="S222" s="337"/>
      <c r="T222" s="14"/>
      <c r="W222" s="337"/>
      <c r="X222" s="513"/>
      <c r="AA222" s="337"/>
      <c r="AB222" s="17"/>
      <c r="AC222" s="180"/>
      <c r="AD222" s="180"/>
      <c r="AE222" s="514"/>
      <c r="AF222" s="17"/>
      <c r="AI222" s="337"/>
      <c r="AM222" s="337"/>
      <c r="AQ222" s="337"/>
    </row>
    <row r="223" spans="2:43">
      <c r="B223" s="541"/>
      <c r="D223" s="337"/>
      <c r="G223" s="337"/>
      <c r="K223" s="337"/>
      <c r="O223" s="337"/>
      <c r="S223" s="337"/>
      <c r="T223" s="14"/>
      <c r="W223" s="337"/>
      <c r="X223" s="513"/>
      <c r="AA223" s="337"/>
      <c r="AB223" s="17"/>
      <c r="AC223" s="180"/>
      <c r="AD223" s="180"/>
      <c r="AE223" s="514"/>
      <c r="AF223" s="17"/>
      <c r="AI223" s="337"/>
      <c r="AM223" s="337"/>
      <c r="AQ223" s="337"/>
    </row>
    <row r="224" spans="2:43">
      <c r="B224" s="541"/>
      <c r="D224" s="337"/>
      <c r="G224" s="337"/>
      <c r="K224" s="337"/>
      <c r="O224" s="337"/>
      <c r="S224" s="337"/>
      <c r="T224" s="14"/>
      <c r="W224" s="337"/>
      <c r="X224" s="513"/>
      <c r="AA224" s="337"/>
      <c r="AB224" s="17"/>
      <c r="AC224" s="180"/>
      <c r="AD224" s="180"/>
      <c r="AE224" s="514"/>
      <c r="AF224" s="17"/>
      <c r="AI224" s="337"/>
      <c r="AM224" s="337"/>
      <c r="AQ224" s="337"/>
    </row>
    <row r="225" spans="2:43">
      <c r="B225" s="541"/>
      <c r="D225" s="337"/>
      <c r="G225" s="337"/>
      <c r="K225" s="337"/>
      <c r="O225" s="337"/>
      <c r="S225" s="337"/>
      <c r="T225" s="14"/>
      <c r="W225" s="337"/>
      <c r="X225" s="513"/>
      <c r="AA225" s="337"/>
      <c r="AB225" s="17"/>
      <c r="AC225" s="180"/>
      <c r="AD225" s="180"/>
      <c r="AE225" s="514"/>
      <c r="AF225" s="17"/>
      <c r="AI225" s="337"/>
      <c r="AM225" s="337"/>
      <c r="AQ225" s="337"/>
    </row>
    <row r="226" spans="2:43">
      <c r="B226" s="541"/>
      <c r="D226" s="337"/>
      <c r="G226" s="337"/>
      <c r="K226" s="337"/>
      <c r="O226" s="337"/>
      <c r="S226" s="337"/>
      <c r="T226" s="14"/>
      <c r="W226" s="337"/>
      <c r="X226" s="513"/>
      <c r="AA226" s="337"/>
      <c r="AB226" s="17"/>
      <c r="AC226" s="180"/>
      <c r="AD226" s="180"/>
      <c r="AE226" s="514"/>
      <c r="AF226" s="17"/>
      <c r="AI226" s="337"/>
      <c r="AM226" s="337"/>
      <c r="AQ226" s="337"/>
    </row>
    <row r="227" spans="2:43">
      <c r="B227" s="541"/>
      <c r="D227" s="337"/>
      <c r="G227" s="337"/>
      <c r="K227" s="337"/>
      <c r="O227" s="337"/>
      <c r="S227" s="337"/>
      <c r="T227" s="14"/>
      <c r="W227" s="337"/>
      <c r="X227" s="513"/>
      <c r="AA227" s="337"/>
      <c r="AB227" s="17"/>
      <c r="AC227" s="180"/>
      <c r="AD227" s="180"/>
      <c r="AE227" s="514"/>
      <c r="AF227" s="17"/>
      <c r="AI227" s="337"/>
      <c r="AM227" s="337"/>
      <c r="AQ227" s="337"/>
    </row>
    <row r="228" spans="2:43">
      <c r="B228" s="541"/>
      <c r="D228" s="337"/>
      <c r="G228" s="337"/>
      <c r="K228" s="337"/>
      <c r="O228" s="337"/>
      <c r="S228" s="337"/>
      <c r="T228" s="14"/>
      <c r="W228" s="337"/>
      <c r="X228" s="513"/>
      <c r="AA228" s="337"/>
      <c r="AB228" s="17"/>
      <c r="AC228" s="180"/>
      <c r="AD228" s="180"/>
      <c r="AE228" s="514"/>
      <c r="AF228" s="17"/>
      <c r="AI228" s="337"/>
      <c r="AM228" s="337"/>
      <c r="AQ228" s="337"/>
    </row>
    <row r="229" spans="2:43">
      <c r="B229" s="541"/>
      <c r="D229" s="337"/>
      <c r="G229" s="337"/>
      <c r="K229" s="337"/>
      <c r="O229" s="337"/>
      <c r="S229" s="337"/>
      <c r="T229" s="14"/>
      <c r="W229" s="337"/>
      <c r="X229" s="513"/>
      <c r="AA229" s="337"/>
      <c r="AB229" s="17"/>
      <c r="AC229" s="180"/>
      <c r="AD229" s="180"/>
      <c r="AE229" s="514"/>
      <c r="AF229" s="17"/>
      <c r="AI229" s="337"/>
      <c r="AM229" s="337"/>
      <c r="AQ229" s="337"/>
    </row>
    <row r="230" spans="2:43">
      <c r="B230" s="541"/>
      <c r="D230" s="337"/>
      <c r="G230" s="337"/>
      <c r="K230" s="337"/>
      <c r="O230" s="337"/>
      <c r="S230" s="337"/>
      <c r="T230" s="14"/>
      <c r="W230" s="337"/>
      <c r="X230" s="513"/>
      <c r="AA230" s="337"/>
      <c r="AB230" s="17"/>
      <c r="AC230" s="180"/>
      <c r="AD230" s="180"/>
      <c r="AE230" s="514"/>
      <c r="AF230" s="17"/>
      <c r="AI230" s="337"/>
      <c r="AM230" s="337"/>
      <c r="AQ230" s="337"/>
    </row>
    <row r="231" spans="2:43">
      <c r="B231" s="541"/>
      <c r="D231" s="337"/>
      <c r="G231" s="337"/>
      <c r="K231" s="337"/>
      <c r="O231" s="337"/>
      <c r="S231" s="337"/>
      <c r="T231" s="14"/>
      <c r="W231" s="337"/>
      <c r="X231" s="513"/>
      <c r="AA231" s="337"/>
      <c r="AB231" s="17"/>
      <c r="AC231" s="180"/>
      <c r="AD231" s="180"/>
      <c r="AE231" s="514"/>
      <c r="AF231" s="17"/>
      <c r="AI231" s="337"/>
      <c r="AM231" s="337"/>
      <c r="AQ231" s="337"/>
    </row>
    <row r="232" spans="2:43">
      <c r="B232" s="541"/>
      <c r="D232" s="337"/>
      <c r="G232" s="337"/>
      <c r="K232" s="337"/>
      <c r="O232" s="337"/>
      <c r="S232" s="337"/>
      <c r="T232" s="14"/>
      <c r="W232" s="337"/>
      <c r="X232" s="513"/>
      <c r="AA232" s="337"/>
      <c r="AB232" s="17"/>
      <c r="AC232" s="180"/>
      <c r="AD232" s="180"/>
      <c r="AE232" s="514"/>
      <c r="AF232" s="17"/>
      <c r="AI232" s="337"/>
      <c r="AM232" s="337"/>
      <c r="AQ232" s="337"/>
    </row>
    <row r="233" spans="2:43">
      <c r="B233" s="541"/>
      <c r="D233" s="337"/>
      <c r="G233" s="337"/>
      <c r="K233" s="337"/>
      <c r="O233" s="337"/>
      <c r="S233" s="337"/>
      <c r="T233" s="14"/>
      <c r="W233" s="337"/>
      <c r="X233" s="513"/>
      <c r="AA233" s="337"/>
      <c r="AB233" s="17"/>
      <c r="AC233" s="180"/>
      <c r="AD233" s="180"/>
      <c r="AE233" s="514"/>
      <c r="AF233" s="17"/>
      <c r="AI233" s="337"/>
      <c r="AM233" s="337"/>
      <c r="AQ233" s="337"/>
    </row>
    <row r="234" spans="2:43">
      <c r="B234" s="541"/>
      <c r="D234" s="337"/>
      <c r="G234" s="337"/>
      <c r="K234" s="337"/>
      <c r="O234" s="337"/>
      <c r="S234" s="337"/>
      <c r="T234" s="14"/>
      <c r="W234" s="337"/>
      <c r="X234" s="513"/>
      <c r="AA234" s="337"/>
      <c r="AB234" s="17"/>
      <c r="AC234" s="180"/>
      <c r="AD234" s="180"/>
      <c r="AE234" s="514"/>
      <c r="AF234" s="17"/>
      <c r="AI234" s="337"/>
      <c r="AM234" s="337"/>
      <c r="AQ234" s="337"/>
    </row>
    <row r="235" spans="2:43">
      <c r="B235" s="541"/>
      <c r="D235" s="337"/>
      <c r="G235" s="337"/>
      <c r="K235" s="337"/>
      <c r="O235" s="337"/>
      <c r="S235" s="337"/>
      <c r="T235" s="14"/>
      <c r="W235" s="337"/>
      <c r="X235" s="513"/>
      <c r="AA235" s="337"/>
      <c r="AB235" s="17"/>
      <c r="AC235" s="180"/>
      <c r="AD235" s="180"/>
      <c r="AE235" s="514"/>
      <c r="AF235" s="17"/>
      <c r="AI235" s="337"/>
      <c r="AM235" s="337"/>
      <c r="AQ235" s="337"/>
    </row>
    <row r="236" spans="2:43">
      <c r="B236" s="541"/>
      <c r="D236" s="337"/>
      <c r="G236" s="337"/>
      <c r="K236" s="337"/>
      <c r="O236" s="337"/>
      <c r="S236" s="337"/>
      <c r="T236" s="14"/>
      <c r="W236" s="337"/>
      <c r="X236" s="513"/>
      <c r="AA236" s="337"/>
      <c r="AB236" s="17"/>
      <c r="AC236" s="180"/>
      <c r="AD236" s="180"/>
      <c r="AE236" s="514"/>
      <c r="AF236" s="17"/>
      <c r="AI236" s="337"/>
      <c r="AM236" s="337"/>
      <c r="AQ236" s="337"/>
    </row>
    <row r="237" spans="2:43">
      <c r="B237" s="541"/>
      <c r="D237" s="337"/>
      <c r="G237" s="337"/>
      <c r="K237" s="337"/>
      <c r="O237" s="337"/>
      <c r="S237" s="337"/>
      <c r="T237" s="14"/>
      <c r="W237" s="337"/>
      <c r="X237" s="513"/>
      <c r="AA237" s="337"/>
      <c r="AB237" s="17"/>
      <c r="AC237" s="180"/>
      <c r="AD237" s="180"/>
      <c r="AE237" s="514"/>
      <c r="AF237" s="17"/>
      <c r="AI237" s="337"/>
      <c r="AM237" s="337"/>
      <c r="AQ237" s="337"/>
    </row>
    <row r="238" spans="2:43">
      <c r="B238" s="541"/>
      <c r="D238" s="337"/>
      <c r="G238" s="337"/>
      <c r="K238" s="337"/>
      <c r="O238" s="337"/>
      <c r="S238" s="337"/>
      <c r="T238" s="14"/>
      <c r="W238" s="337"/>
      <c r="X238" s="513"/>
      <c r="AA238" s="337"/>
      <c r="AB238" s="17"/>
      <c r="AC238" s="180"/>
      <c r="AD238" s="180"/>
      <c r="AE238" s="514"/>
      <c r="AF238" s="17"/>
      <c r="AI238" s="337"/>
      <c r="AM238" s="337"/>
      <c r="AQ238" s="337"/>
    </row>
    <row r="239" spans="2:43">
      <c r="B239" s="541"/>
      <c r="D239" s="337"/>
      <c r="G239" s="337"/>
      <c r="K239" s="337"/>
      <c r="O239" s="337"/>
      <c r="S239" s="337"/>
      <c r="T239" s="14"/>
      <c r="W239" s="337"/>
      <c r="X239" s="513"/>
      <c r="AA239" s="337"/>
      <c r="AB239" s="17"/>
      <c r="AC239" s="180"/>
      <c r="AD239" s="180"/>
      <c r="AE239" s="514"/>
      <c r="AF239" s="17"/>
      <c r="AI239" s="337"/>
      <c r="AM239" s="337"/>
      <c r="AQ239" s="337"/>
    </row>
    <row r="240" spans="2:43">
      <c r="B240" s="541"/>
      <c r="D240" s="337"/>
      <c r="G240" s="337"/>
      <c r="K240" s="337"/>
      <c r="O240" s="337"/>
      <c r="S240" s="337"/>
      <c r="T240" s="14"/>
      <c r="W240" s="337"/>
      <c r="X240" s="513"/>
      <c r="AA240" s="337"/>
      <c r="AB240" s="17"/>
      <c r="AC240" s="180"/>
      <c r="AD240" s="180"/>
      <c r="AE240" s="514"/>
      <c r="AF240" s="17"/>
      <c r="AI240" s="337"/>
      <c r="AM240" s="337"/>
      <c r="AQ240" s="337"/>
    </row>
    <row r="241" spans="2:43">
      <c r="B241" s="541"/>
      <c r="D241" s="337"/>
      <c r="G241" s="337"/>
      <c r="K241" s="337"/>
      <c r="O241" s="337"/>
      <c r="S241" s="337"/>
      <c r="T241" s="14"/>
      <c r="W241" s="337"/>
      <c r="X241" s="513"/>
      <c r="AA241" s="337"/>
      <c r="AB241" s="17"/>
      <c r="AC241" s="180"/>
      <c r="AD241" s="180"/>
      <c r="AE241" s="514"/>
      <c r="AF241" s="17"/>
      <c r="AI241" s="337"/>
      <c r="AM241" s="337"/>
      <c r="AQ241" s="337"/>
    </row>
    <row r="242" spans="2:43">
      <c r="B242" s="541"/>
      <c r="D242" s="337"/>
      <c r="G242" s="337"/>
      <c r="K242" s="337"/>
      <c r="O242" s="337"/>
      <c r="S242" s="337"/>
      <c r="T242" s="14"/>
      <c r="W242" s="337"/>
      <c r="X242" s="513"/>
      <c r="AA242" s="337"/>
      <c r="AB242" s="17"/>
      <c r="AC242" s="180"/>
      <c r="AD242" s="180"/>
      <c r="AE242" s="514"/>
      <c r="AF242" s="17"/>
      <c r="AI242" s="337"/>
      <c r="AM242" s="337"/>
      <c r="AQ242" s="337"/>
    </row>
    <row r="243" spans="2:43">
      <c r="B243" s="541"/>
      <c r="D243" s="337"/>
      <c r="G243" s="337"/>
      <c r="K243" s="337"/>
      <c r="O243" s="337"/>
      <c r="S243" s="337"/>
      <c r="T243" s="14"/>
      <c r="W243" s="337"/>
      <c r="X243" s="513"/>
      <c r="AA243" s="337"/>
      <c r="AB243" s="17"/>
      <c r="AC243" s="180"/>
      <c r="AD243" s="180"/>
      <c r="AE243" s="514"/>
      <c r="AF243" s="17"/>
      <c r="AI243" s="337"/>
      <c r="AM243" s="337"/>
      <c r="AQ243" s="337"/>
    </row>
    <row r="244" spans="2:43">
      <c r="B244" s="541"/>
      <c r="D244" s="337"/>
      <c r="G244" s="337"/>
      <c r="K244" s="337"/>
      <c r="O244" s="337"/>
      <c r="S244" s="337"/>
      <c r="T244" s="14"/>
      <c r="W244" s="337"/>
      <c r="X244" s="513"/>
      <c r="AA244" s="337"/>
      <c r="AB244" s="17"/>
      <c r="AC244" s="180"/>
      <c r="AD244" s="180"/>
      <c r="AE244" s="514"/>
      <c r="AF244" s="17"/>
      <c r="AI244" s="337"/>
      <c r="AM244" s="337"/>
      <c r="AQ244" s="337"/>
    </row>
    <row r="245" spans="2:43">
      <c r="B245" s="541"/>
      <c r="D245" s="337"/>
      <c r="G245" s="337"/>
      <c r="K245" s="337"/>
      <c r="O245" s="337"/>
      <c r="S245" s="337"/>
      <c r="T245" s="14"/>
      <c r="W245" s="337"/>
      <c r="X245" s="513"/>
      <c r="AA245" s="337"/>
      <c r="AB245" s="17"/>
      <c r="AC245" s="180"/>
      <c r="AD245" s="180"/>
      <c r="AE245" s="514"/>
      <c r="AF245" s="17"/>
      <c r="AI245" s="337"/>
      <c r="AM245" s="337"/>
      <c r="AQ245" s="337"/>
    </row>
    <row r="246" spans="2:43">
      <c r="B246" s="541"/>
      <c r="D246" s="337"/>
      <c r="G246" s="337"/>
      <c r="K246" s="337"/>
      <c r="O246" s="337"/>
      <c r="S246" s="337"/>
      <c r="T246" s="14"/>
      <c r="W246" s="337"/>
      <c r="X246" s="513"/>
      <c r="AA246" s="337"/>
      <c r="AB246" s="17"/>
      <c r="AC246" s="180"/>
      <c r="AD246" s="180"/>
      <c r="AE246" s="514"/>
      <c r="AF246" s="17"/>
      <c r="AI246" s="337"/>
      <c r="AM246" s="337"/>
      <c r="AQ246" s="337"/>
    </row>
    <row r="247" spans="2:43">
      <c r="B247" s="541"/>
      <c r="D247" s="337"/>
      <c r="G247" s="337"/>
      <c r="K247" s="337"/>
      <c r="O247" s="337"/>
      <c r="S247" s="337"/>
      <c r="T247" s="14"/>
      <c r="W247" s="337"/>
      <c r="X247" s="513"/>
      <c r="AA247" s="337"/>
      <c r="AB247" s="17"/>
      <c r="AC247" s="180"/>
      <c r="AD247" s="180"/>
      <c r="AE247" s="514"/>
      <c r="AF247" s="17"/>
      <c r="AI247" s="337"/>
      <c r="AM247" s="337"/>
      <c r="AQ247" s="337"/>
    </row>
    <row r="248" spans="2:43">
      <c r="B248" s="541"/>
      <c r="D248" s="337"/>
      <c r="G248" s="337"/>
      <c r="K248" s="337"/>
      <c r="O248" s="337"/>
      <c r="S248" s="337"/>
      <c r="T248" s="14"/>
      <c r="W248" s="337"/>
      <c r="X248" s="513"/>
      <c r="AA248" s="337"/>
      <c r="AB248" s="17"/>
      <c r="AC248" s="180"/>
      <c r="AD248" s="180"/>
      <c r="AE248" s="514"/>
      <c r="AF248" s="17"/>
      <c r="AI248" s="337"/>
      <c r="AM248" s="337"/>
      <c r="AQ248" s="337"/>
    </row>
    <row r="249" spans="2:43">
      <c r="B249" s="541"/>
      <c r="D249" s="337"/>
      <c r="G249" s="337"/>
      <c r="K249" s="337"/>
      <c r="O249" s="337"/>
      <c r="S249" s="337"/>
      <c r="T249" s="14"/>
      <c r="W249" s="337"/>
      <c r="X249" s="513"/>
      <c r="AA249" s="337"/>
      <c r="AB249" s="17"/>
      <c r="AC249" s="180"/>
      <c r="AD249" s="180"/>
      <c r="AE249" s="514"/>
      <c r="AF249" s="17"/>
      <c r="AI249" s="337"/>
      <c r="AM249" s="337"/>
      <c r="AQ249" s="337"/>
    </row>
    <row r="250" spans="2:43">
      <c r="B250" s="541"/>
      <c r="D250" s="337"/>
      <c r="G250" s="337"/>
      <c r="K250" s="337"/>
      <c r="O250" s="337"/>
      <c r="S250" s="337"/>
      <c r="T250" s="14"/>
      <c r="W250" s="337"/>
      <c r="X250" s="513"/>
      <c r="AA250" s="337"/>
      <c r="AB250" s="17"/>
      <c r="AC250" s="180"/>
      <c r="AD250" s="180"/>
      <c r="AE250" s="514"/>
      <c r="AF250" s="17"/>
      <c r="AI250" s="337"/>
      <c r="AM250" s="337"/>
      <c r="AQ250" s="337"/>
    </row>
    <row r="251" spans="2:43">
      <c r="B251" s="541"/>
      <c r="D251" s="337"/>
      <c r="G251" s="337"/>
      <c r="K251" s="337"/>
      <c r="O251" s="337"/>
      <c r="S251" s="337"/>
      <c r="T251" s="14"/>
      <c r="W251" s="337"/>
      <c r="X251" s="513"/>
      <c r="AA251" s="337"/>
      <c r="AB251" s="17"/>
      <c r="AC251" s="180"/>
      <c r="AD251" s="180"/>
      <c r="AE251" s="514"/>
      <c r="AF251" s="17"/>
      <c r="AI251" s="337"/>
      <c r="AM251" s="337"/>
      <c r="AQ251" s="337"/>
    </row>
    <row r="252" spans="2:43">
      <c r="B252" s="541"/>
      <c r="D252" s="337"/>
      <c r="G252" s="337"/>
      <c r="K252" s="337"/>
      <c r="O252" s="337"/>
      <c r="S252" s="337"/>
      <c r="T252" s="14"/>
      <c r="W252" s="337"/>
      <c r="X252" s="513"/>
      <c r="AA252" s="337"/>
      <c r="AB252" s="17"/>
      <c r="AC252" s="180"/>
      <c r="AD252" s="180"/>
      <c r="AE252" s="514"/>
      <c r="AF252" s="17"/>
      <c r="AI252" s="337"/>
      <c r="AM252" s="337"/>
      <c r="AQ252" s="337"/>
    </row>
    <row r="253" spans="2:43">
      <c r="B253" s="541"/>
      <c r="D253" s="337"/>
      <c r="G253" s="337"/>
      <c r="K253" s="337"/>
      <c r="O253" s="337"/>
      <c r="S253" s="337"/>
      <c r="T253" s="14"/>
      <c r="W253" s="337"/>
      <c r="X253" s="513"/>
      <c r="AA253" s="337"/>
      <c r="AB253" s="17"/>
      <c r="AC253" s="180"/>
      <c r="AD253" s="180"/>
      <c r="AE253" s="514"/>
      <c r="AF253" s="17"/>
      <c r="AI253" s="337"/>
      <c r="AM253" s="337"/>
      <c r="AQ253" s="337"/>
    </row>
    <row r="254" spans="2:43">
      <c r="B254" s="541"/>
      <c r="D254" s="337"/>
      <c r="G254" s="337"/>
      <c r="K254" s="337"/>
      <c r="O254" s="337"/>
      <c r="S254" s="337"/>
      <c r="T254" s="14"/>
      <c r="W254" s="337"/>
      <c r="X254" s="513"/>
      <c r="AA254" s="337"/>
      <c r="AB254" s="17"/>
      <c r="AC254" s="180"/>
      <c r="AD254" s="180"/>
      <c r="AE254" s="514"/>
      <c r="AF254" s="17"/>
      <c r="AI254" s="337"/>
      <c r="AM254" s="337"/>
      <c r="AQ254" s="337"/>
    </row>
    <row r="255" spans="2:43">
      <c r="B255" s="541"/>
      <c r="D255" s="337"/>
      <c r="G255" s="337"/>
      <c r="K255" s="337"/>
      <c r="O255" s="337"/>
      <c r="S255" s="337"/>
      <c r="T255" s="14"/>
      <c r="W255" s="337"/>
      <c r="X255" s="513"/>
      <c r="AA255" s="337"/>
      <c r="AB255" s="17"/>
      <c r="AC255" s="180"/>
      <c r="AD255" s="180"/>
      <c r="AE255" s="514"/>
      <c r="AF255" s="17"/>
      <c r="AI255" s="337"/>
      <c r="AM255" s="337"/>
      <c r="AQ255" s="337"/>
    </row>
    <row r="256" spans="2:43">
      <c r="B256" s="541"/>
      <c r="D256" s="337"/>
      <c r="G256" s="337"/>
      <c r="K256" s="337"/>
      <c r="O256" s="337"/>
      <c r="S256" s="337"/>
      <c r="T256" s="14"/>
      <c r="W256" s="337"/>
      <c r="X256" s="513"/>
      <c r="AA256" s="337"/>
      <c r="AB256" s="17"/>
      <c r="AC256" s="180"/>
      <c r="AD256" s="180"/>
      <c r="AE256" s="514"/>
      <c r="AF256" s="17"/>
      <c r="AI256" s="337"/>
      <c r="AM256" s="337"/>
      <c r="AQ256" s="337"/>
    </row>
    <row r="257" spans="2:43">
      <c r="B257" s="541"/>
      <c r="D257" s="337"/>
      <c r="G257" s="337"/>
      <c r="K257" s="337"/>
      <c r="O257" s="337"/>
      <c r="S257" s="337"/>
      <c r="T257" s="14"/>
      <c r="W257" s="337"/>
      <c r="X257" s="513"/>
      <c r="AA257" s="337"/>
      <c r="AB257" s="17"/>
      <c r="AC257" s="180"/>
      <c r="AD257" s="180"/>
      <c r="AE257" s="514"/>
      <c r="AF257" s="17"/>
      <c r="AI257" s="337"/>
      <c r="AM257" s="337"/>
      <c r="AQ257" s="337"/>
    </row>
    <row r="258" spans="2:43">
      <c r="B258" s="541"/>
      <c r="D258" s="337"/>
      <c r="G258" s="337"/>
      <c r="K258" s="337"/>
      <c r="O258" s="337"/>
      <c r="S258" s="337"/>
      <c r="T258" s="14"/>
      <c r="W258" s="337"/>
      <c r="X258" s="513"/>
      <c r="AA258" s="337"/>
      <c r="AB258" s="17"/>
      <c r="AC258" s="180"/>
      <c r="AD258" s="180"/>
      <c r="AE258" s="514"/>
      <c r="AF258" s="17"/>
      <c r="AI258" s="337"/>
      <c r="AM258" s="337"/>
      <c r="AQ258" s="337"/>
    </row>
    <row r="259" spans="2:43">
      <c r="B259" s="541"/>
      <c r="D259" s="337"/>
      <c r="G259" s="337"/>
      <c r="K259" s="337"/>
      <c r="O259" s="337"/>
      <c r="S259" s="337"/>
      <c r="T259" s="14"/>
      <c r="W259" s="337"/>
      <c r="X259" s="513"/>
      <c r="AA259" s="337"/>
      <c r="AB259" s="17"/>
      <c r="AC259" s="180"/>
      <c r="AD259" s="180"/>
      <c r="AE259" s="514"/>
      <c r="AF259" s="17"/>
      <c r="AI259" s="337"/>
      <c r="AM259" s="337"/>
      <c r="AQ259" s="337"/>
    </row>
    <row r="260" spans="2:43">
      <c r="B260" s="541"/>
      <c r="D260" s="337"/>
      <c r="G260" s="337"/>
      <c r="K260" s="337"/>
      <c r="O260" s="337"/>
      <c r="S260" s="337"/>
      <c r="T260" s="14"/>
      <c r="W260" s="337"/>
      <c r="X260" s="513"/>
      <c r="AA260" s="337"/>
      <c r="AB260" s="17"/>
      <c r="AC260" s="180"/>
      <c r="AD260" s="180"/>
      <c r="AE260" s="514"/>
      <c r="AF260" s="17"/>
      <c r="AI260" s="337"/>
      <c r="AM260" s="337"/>
      <c r="AQ260" s="337"/>
    </row>
    <row r="261" spans="2:43">
      <c r="B261" s="541"/>
      <c r="D261" s="337"/>
      <c r="G261" s="337"/>
      <c r="K261" s="337"/>
      <c r="O261" s="337"/>
      <c r="S261" s="337"/>
      <c r="T261" s="14"/>
      <c r="W261" s="337"/>
      <c r="X261" s="513"/>
      <c r="AA261" s="337"/>
      <c r="AB261" s="17"/>
      <c r="AC261" s="180"/>
      <c r="AD261" s="180"/>
      <c r="AE261" s="514"/>
      <c r="AF261" s="17"/>
      <c r="AI261" s="337"/>
      <c r="AM261" s="337"/>
      <c r="AQ261" s="337"/>
    </row>
    <row r="262" spans="2:43">
      <c r="B262" s="541"/>
      <c r="D262" s="337"/>
      <c r="G262" s="337"/>
      <c r="K262" s="337"/>
      <c r="O262" s="337"/>
      <c r="S262" s="337"/>
      <c r="T262" s="14"/>
      <c r="W262" s="337"/>
      <c r="X262" s="513"/>
      <c r="AA262" s="337"/>
      <c r="AB262" s="17"/>
      <c r="AC262" s="180"/>
      <c r="AD262" s="180"/>
      <c r="AE262" s="514"/>
      <c r="AF262" s="17"/>
      <c r="AI262" s="337"/>
      <c r="AM262" s="337"/>
      <c r="AQ262" s="337"/>
    </row>
    <row r="263" spans="2:43">
      <c r="B263" s="541"/>
      <c r="D263" s="337"/>
      <c r="G263" s="337"/>
      <c r="K263" s="337"/>
      <c r="O263" s="337"/>
      <c r="S263" s="337"/>
      <c r="T263" s="14"/>
      <c r="W263" s="337"/>
      <c r="X263" s="513"/>
      <c r="AA263" s="337"/>
      <c r="AB263" s="17"/>
      <c r="AC263" s="180"/>
      <c r="AD263" s="180"/>
      <c r="AE263" s="514"/>
      <c r="AF263" s="17"/>
      <c r="AI263" s="337"/>
      <c r="AM263" s="337"/>
      <c r="AQ263" s="337"/>
    </row>
    <row r="264" spans="2:43">
      <c r="B264" s="541"/>
      <c r="D264" s="337"/>
      <c r="G264" s="337"/>
      <c r="K264" s="337"/>
      <c r="O264" s="337"/>
      <c r="S264" s="337"/>
      <c r="T264" s="14"/>
      <c r="W264" s="337"/>
      <c r="X264" s="513"/>
      <c r="AA264" s="337"/>
      <c r="AB264" s="17"/>
      <c r="AC264" s="180"/>
      <c r="AD264" s="180"/>
      <c r="AE264" s="514"/>
      <c r="AF264" s="17"/>
      <c r="AI264" s="337"/>
      <c r="AM264" s="337"/>
      <c r="AQ264" s="337"/>
    </row>
    <row r="265" spans="2:43">
      <c r="B265" s="541"/>
      <c r="D265" s="337"/>
      <c r="G265" s="337"/>
      <c r="K265" s="337"/>
      <c r="O265" s="337"/>
      <c r="S265" s="337"/>
      <c r="T265" s="14"/>
      <c r="W265" s="337"/>
      <c r="X265" s="513"/>
      <c r="AA265" s="337"/>
      <c r="AB265" s="17"/>
      <c r="AC265" s="180"/>
      <c r="AD265" s="180"/>
      <c r="AE265" s="514"/>
      <c r="AF265" s="17"/>
      <c r="AI265" s="337"/>
      <c r="AM265" s="337"/>
      <c r="AQ265" s="337"/>
    </row>
    <row r="266" spans="2:43">
      <c r="B266" s="541"/>
      <c r="D266" s="337"/>
      <c r="G266" s="337"/>
      <c r="K266" s="337"/>
      <c r="O266" s="337"/>
      <c r="S266" s="337"/>
      <c r="T266" s="14"/>
      <c r="W266" s="337"/>
      <c r="X266" s="513"/>
      <c r="AA266" s="337"/>
      <c r="AB266" s="17"/>
      <c r="AC266" s="180"/>
      <c r="AD266" s="180"/>
      <c r="AE266" s="514"/>
      <c r="AF266" s="17"/>
      <c r="AI266" s="337"/>
      <c r="AM266" s="337"/>
      <c r="AQ266" s="337"/>
    </row>
    <row r="267" spans="2:43">
      <c r="B267" s="541"/>
      <c r="D267" s="337"/>
      <c r="G267" s="337"/>
      <c r="K267" s="337"/>
      <c r="O267" s="337"/>
      <c r="S267" s="337"/>
      <c r="T267" s="14"/>
      <c r="W267" s="337"/>
      <c r="X267" s="513"/>
      <c r="AA267" s="337"/>
      <c r="AB267" s="17"/>
      <c r="AC267" s="180"/>
      <c r="AD267" s="180"/>
      <c r="AE267" s="514"/>
      <c r="AF267" s="17"/>
      <c r="AI267" s="337"/>
      <c r="AM267" s="337"/>
      <c r="AQ267" s="337"/>
    </row>
    <row r="268" spans="2:43">
      <c r="B268" s="541"/>
      <c r="D268" s="337"/>
      <c r="G268" s="337"/>
      <c r="K268" s="337"/>
      <c r="O268" s="337"/>
      <c r="S268" s="337"/>
      <c r="T268" s="14"/>
      <c r="W268" s="337"/>
      <c r="X268" s="513"/>
      <c r="AA268" s="337"/>
      <c r="AB268" s="17"/>
      <c r="AC268" s="180"/>
      <c r="AD268" s="180"/>
      <c r="AE268" s="514"/>
      <c r="AF268" s="17"/>
      <c r="AI268" s="337"/>
      <c r="AM268" s="337"/>
      <c r="AQ268" s="337"/>
    </row>
    <row r="269" spans="2:43">
      <c r="B269" s="541"/>
      <c r="D269" s="337"/>
      <c r="G269" s="337"/>
      <c r="K269" s="337"/>
      <c r="O269" s="337"/>
      <c r="S269" s="337"/>
      <c r="T269" s="14"/>
      <c r="W269" s="337"/>
      <c r="X269" s="513"/>
      <c r="AA269" s="337"/>
      <c r="AB269" s="17"/>
      <c r="AC269" s="180"/>
      <c r="AD269" s="180"/>
      <c r="AE269" s="514"/>
      <c r="AF269" s="17"/>
      <c r="AI269" s="337"/>
      <c r="AM269" s="337"/>
      <c r="AQ269" s="337"/>
    </row>
    <row r="270" spans="2:43">
      <c r="B270" s="541"/>
      <c r="D270" s="337"/>
      <c r="G270" s="337"/>
      <c r="K270" s="337"/>
      <c r="O270" s="337"/>
      <c r="S270" s="337"/>
      <c r="T270" s="14"/>
      <c r="W270" s="337"/>
      <c r="X270" s="513"/>
      <c r="AA270" s="337"/>
      <c r="AB270" s="17"/>
      <c r="AC270" s="180"/>
      <c r="AD270" s="180"/>
      <c r="AE270" s="514"/>
      <c r="AF270" s="17"/>
      <c r="AI270" s="337"/>
      <c r="AM270" s="337"/>
      <c r="AQ270" s="337"/>
    </row>
    <row r="271" spans="2:43">
      <c r="B271" s="541"/>
      <c r="D271" s="337"/>
      <c r="G271" s="337"/>
      <c r="K271" s="337"/>
      <c r="O271" s="337"/>
      <c r="S271" s="337"/>
      <c r="T271" s="14"/>
      <c r="W271" s="337"/>
      <c r="X271" s="513"/>
      <c r="AA271" s="337"/>
      <c r="AB271" s="17"/>
      <c r="AC271" s="180"/>
      <c r="AD271" s="180"/>
      <c r="AE271" s="514"/>
      <c r="AF271" s="17"/>
      <c r="AI271" s="337"/>
      <c r="AM271" s="337"/>
      <c r="AQ271" s="337"/>
    </row>
    <row r="272" spans="2:43">
      <c r="B272" s="541"/>
      <c r="D272" s="337"/>
      <c r="G272" s="337"/>
      <c r="K272" s="337"/>
      <c r="O272" s="337"/>
      <c r="S272" s="337"/>
      <c r="T272" s="14"/>
      <c r="W272" s="337"/>
      <c r="X272" s="513"/>
      <c r="AA272" s="337"/>
      <c r="AB272" s="17"/>
      <c r="AC272" s="180"/>
      <c r="AD272" s="180"/>
      <c r="AE272" s="514"/>
      <c r="AF272" s="17"/>
      <c r="AI272" s="337"/>
      <c r="AM272" s="337"/>
      <c r="AQ272" s="337"/>
    </row>
    <row r="273" spans="2:43">
      <c r="B273" s="541"/>
      <c r="D273" s="337"/>
      <c r="G273" s="337"/>
      <c r="K273" s="337"/>
      <c r="O273" s="337"/>
      <c r="S273" s="337"/>
      <c r="T273" s="14"/>
      <c r="W273" s="337"/>
      <c r="X273" s="513"/>
      <c r="AA273" s="337"/>
      <c r="AB273" s="17"/>
      <c r="AC273" s="180"/>
      <c r="AD273" s="180"/>
      <c r="AE273" s="514"/>
      <c r="AF273" s="17"/>
      <c r="AI273" s="337"/>
      <c r="AM273" s="337"/>
      <c r="AQ273" s="337"/>
    </row>
    <row r="274" spans="2:43">
      <c r="B274" s="541"/>
      <c r="D274" s="337"/>
      <c r="G274" s="337"/>
      <c r="K274" s="337"/>
      <c r="O274" s="337"/>
      <c r="S274" s="337"/>
      <c r="T274" s="14"/>
      <c r="W274" s="337"/>
      <c r="X274" s="513"/>
      <c r="AA274" s="337"/>
      <c r="AB274" s="17"/>
      <c r="AC274" s="180"/>
      <c r="AD274" s="180"/>
      <c r="AE274" s="514"/>
      <c r="AF274" s="17"/>
      <c r="AI274" s="337"/>
      <c r="AM274" s="337"/>
      <c r="AQ274" s="337"/>
    </row>
    <row r="275" spans="2:43">
      <c r="B275" s="541"/>
      <c r="D275" s="337"/>
      <c r="G275" s="337"/>
      <c r="K275" s="337"/>
      <c r="O275" s="337"/>
      <c r="S275" s="337"/>
      <c r="T275" s="14"/>
      <c r="W275" s="337"/>
      <c r="X275" s="513"/>
      <c r="AA275" s="337"/>
      <c r="AB275" s="17"/>
      <c r="AC275" s="180"/>
      <c r="AD275" s="180"/>
      <c r="AE275" s="514"/>
      <c r="AF275" s="17"/>
      <c r="AI275" s="337"/>
      <c r="AM275" s="337"/>
      <c r="AQ275" s="337"/>
    </row>
    <row r="276" spans="2:43">
      <c r="B276" s="541"/>
      <c r="D276" s="337"/>
      <c r="G276" s="337"/>
      <c r="K276" s="337"/>
      <c r="O276" s="337"/>
      <c r="S276" s="337"/>
      <c r="T276" s="14"/>
      <c r="W276" s="337"/>
      <c r="X276" s="513"/>
      <c r="AA276" s="337"/>
      <c r="AB276" s="17"/>
      <c r="AC276" s="180"/>
      <c r="AD276" s="180"/>
      <c r="AE276" s="514"/>
      <c r="AF276" s="17"/>
      <c r="AI276" s="337"/>
      <c r="AM276" s="337"/>
      <c r="AQ276" s="337"/>
    </row>
    <row r="277" spans="2:43">
      <c r="B277" s="541"/>
      <c r="D277" s="337"/>
      <c r="G277" s="337"/>
      <c r="K277" s="337"/>
      <c r="O277" s="337"/>
      <c r="S277" s="337"/>
      <c r="T277" s="14"/>
      <c r="W277" s="337"/>
      <c r="X277" s="513"/>
      <c r="AA277" s="337"/>
      <c r="AB277" s="17"/>
      <c r="AC277" s="180"/>
      <c r="AD277" s="180"/>
      <c r="AE277" s="514"/>
      <c r="AF277" s="17"/>
      <c r="AI277" s="337"/>
      <c r="AM277" s="337"/>
      <c r="AQ277" s="337"/>
    </row>
    <row r="278" spans="2:43">
      <c r="B278" s="541"/>
      <c r="D278" s="337"/>
      <c r="G278" s="337"/>
      <c r="K278" s="337"/>
      <c r="O278" s="337"/>
      <c r="S278" s="337"/>
      <c r="T278" s="14"/>
      <c r="W278" s="337"/>
      <c r="X278" s="513"/>
      <c r="AA278" s="337"/>
      <c r="AB278" s="17"/>
      <c r="AC278" s="180"/>
      <c r="AD278" s="180"/>
      <c r="AE278" s="514"/>
      <c r="AF278" s="17"/>
      <c r="AI278" s="337"/>
      <c r="AM278" s="337"/>
      <c r="AQ278" s="337"/>
    </row>
    <row r="279" spans="2:43">
      <c r="B279" s="541"/>
      <c r="D279" s="337"/>
      <c r="G279" s="337"/>
      <c r="K279" s="337"/>
      <c r="O279" s="337"/>
      <c r="S279" s="337"/>
      <c r="T279" s="14"/>
      <c r="W279" s="337"/>
      <c r="X279" s="513"/>
      <c r="AA279" s="337"/>
      <c r="AB279" s="17"/>
      <c r="AC279" s="180"/>
      <c r="AD279" s="180"/>
      <c r="AE279" s="514"/>
      <c r="AF279" s="17"/>
      <c r="AI279" s="337"/>
      <c r="AM279" s="337"/>
      <c r="AQ279" s="337"/>
    </row>
    <row r="280" spans="2:43">
      <c r="B280" s="541"/>
      <c r="D280" s="337"/>
      <c r="G280" s="337"/>
      <c r="K280" s="337"/>
      <c r="O280" s="337"/>
      <c r="S280" s="337"/>
      <c r="T280" s="14"/>
      <c r="W280" s="337"/>
      <c r="X280" s="513"/>
      <c r="AA280" s="337"/>
      <c r="AB280" s="17"/>
      <c r="AC280" s="180"/>
      <c r="AD280" s="180"/>
      <c r="AE280" s="514"/>
      <c r="AF280" s="17"/>
      <c r="AI280" s="337"/>
      <c r="AM280" s="337"/>
      <c r="AQ280" s="337"/>
    </row>
    <row r="281" spans="2:43">
      <c r="B281" s="541"/>
      <c r="D281" s="337"/>
      <c r="G281" s="337"/>
      <c r="K281" s="337"/>
      <c r="O281" s="337"/>
      <c r="S281" s="337"/>
      <c r="T281" s="14"/>
      <c r="W281" s="337"/>
      <c r="X281" s="513"/>
      <c r="AA281" s="337"/>
      <c r="AB281" s="17"/>
      <c r="AC281" s="180"/>
      <c r="AD281" s="180"/>
      <c r="AE281" s="514"/>
      <c r="AF281" s="17"/>
      <c r="AI281" s="337"/>
      <c r="AM281" s="337"/>
      <c r="AQ281" s="337"/>
    </row>
    <row r="282" spans="2:43">
      <c r="B282" s="541"/>
      <c r="D282" s="337"/>
      <c r="G282" s="337"/>
      <c r="K282" s="337"/>
      <c r="O282" s="337"/>
      <c r="S282" s="337"/>
      <c r="T282" s="14"/>
      <c r="W282" s="337"/>
      <c r="X282" s="513"/>
      <c r="AA282" s="337"/>
      <c r="AB282" s="17"/>
      <c r="AC282" s="180"/>
      <c r="AD282" s="180"/>
      <c r="AE282" s="514"/>
      <c r="AF282" s="17"/>
      <c r="AI282" s="337"/>
      <c r="AM282" s="337"/>
      <c r="AQ282" s="337"/>
    </row>
    <row r="283" spans="2:43">
      <c r="B283" s="541"/>
      <c r="D283" s="337"/>
      <c r="G283" s="337"/>
      <c r="K283" s="337"/>
      <c r="O283" s="337"/>
      <c r="S283" s="337"/>
      <c r="T283" s="14"/>
      <c r="W283" s="337"/>
      <c r="X283" s="513"/>
      <c r="AA283" s="337"/>
      <c r="AB283" s="17"/>
      <c r="AC283" s="180"/>
      <c r="AD283" s="180"/>
      <c r="AE283" s="514"/>
      <c r="AF283" s="17"/>
      <c r="AI283" s="337"/>
      <c r="AM283" s="337"/>
      <c r="AQ283" s="337"/>
    </row>
    <row r="284" spans="2:43">
      <c r="B284" s="541"/>
      <c r="D284" s="337"/>
      <c r="G284" s="337"/>
      <c r="K284" s="337"/>
      <c r="O284" s="337"/>
      <c r="S284" s="337"/>
      <c r="T284" s="14"/>
      <c r="W284" s="337"/>
      <c r="X284" s="513"/>
      <c r="AA284" s="337"/>
      <c r="AB284" s="17"/>
      <c r="AC284" s="180"/>
      <c r="AD284" s="180"/>
      <c r="AE284" s="514"/>
      <c r="AF284" s="17"/>
      <c r="AI284" s="337"/>
      <c r="AM284" s="337"/>
      <c r="AQ284" s="337"/>
    </row>
    <row r="285" spans="2:43">
      <c r="B285" s="541"/>
      <c r="D285" s="337"/>
      <c r="G285" s="337"/>
      <c r="K285" s="337"/>
      <c r="O285" s="337"/>
      <c r="S285" s="337"/>
      <c r="T285" s="14"/>
      <c r="W285" s="337"/>
      <c r="X285" s="513"/>
      <c r="AA285" s="337"/>
      <c r="AB285" s="17"/>
      <c r="AC285" s="180"/>
      <c r="AD285" s="180"/>
      <c r="AE285" s="514"/>
      <c r="AF285" s="17"/>
      <c r="AI285" s="337"/>
      <c r="AM285" s="337"/>
      <c r="AQ285" s="337"/>
    </row>
    <row r="286" spans="2:43">
      <c r="B286" s="541"/>
      <c r="D286" s="337"/>
      <c r="G286" s="337"/>
      <c r="K286" s="337"/>
      <c r="O286" s="337"/>
      <c r="S286" s="337"/>
      <c r="T286" s="14"/>
      <c r="W286" s="337"/>
      <c r="X286" s="513"/>
      <c r="AA286" s="337"/>
      <c r="AB286" s="17"/>
      <c r="AC286" s="180"/>
      <c r="AD286" s="180"/>
      <c r="AE286" s="514"/>
      <c r="AF286" s="17"/>
      <c r="AI286" s="337"/>
      <c r="AM286" s="337"/>
      <c r="AQ286" s="337"/>
    </row>
    <row r="287" spans="2:43">
      <c r="B287" s="541"/>
      <c r="D287" s="337"/>
      <c r="G287" s="337"/>
      <c r="K287" s="337"/>
      <c r="O287" s="337"/>
      <c r="S287" s="337"/>
      <c r="T287" s="14"/>
      <c r="W287" s="337"/>
      <c r="X287" s="513"/>
      <c r="AA287" s="337"/>
      <c r="AB287" s="17"/>
      <c r="AC287" s="180"/>
      <c r="AD287" s="180"/>
      <c r="AE287" s="514"/>
      <c r="AF287" s="17"/>
      <c r="AI287" s="337"/>
      <c r="AM287" s="337"/>
      <c r="AQ287" s="337"/>
    </row>
    <row r="288" spans="2:43">
      <c r="B288" s="541"/>
      <c r="D288" s="337"/>
      <c r="G288" s="337"/>
      <c r="K288" s="337"/>
      <c r="O288" s="337"/>
      <c r="S288" s="337"/>
      <c r="T288" s="14"/>
      <c r="W288" s="337"/>
      <c r="X288" s="513"/>
      <c r="AA288" s="337"/>
      <c r="AB288" s="17"/>
      <c r="AC288" s="180"/>
      <c r="AD288" s="180"/>
      <c r="AE288" s="514"/>
      <c r="AF288" s="17"/>
      <c r="AI288" s="337"/>
      <c r="AM288" s="337"/>
      <c r="AQ288" s="337"/>
    </row>
    <row r="289" spans="2:43">
      <c r="B289" s="541"/>
      <c r="D289" s="337"/>
      <c r="G289" s="337"/>
      <c r="K289" s="337"/>
      <c r="O289" s="337"/>
      <c r="S289" s="337"/>
      <c r="T289" s="14"/>
      <c r="W289" s="337"/>
      <c r="X289" s="513"/>
      <c r="AA289" s="337"/>
      <c r="AB289" s="17"/>
      <c r="AC289" s="180"/>
      <c r="AD289" s="180"/>
      <c r="AE289" s="514"/>
      <c r="AF289" s="17"/>
      <c r="AI289" s="337"/>
      <c r="AM289" s="337"/>
      <c r="AQ289" s="337"/>
    </row>
    <row r="290" spans="2:43">
      <c r="B290" s="541"/>
      <c r="D290" s="337"/>
      <c r="G290" s="337"/>
      <c r="K290" s="337"/>
      <c r="O290" s="337"/>
      <c r="S290" s="337"/>
      <c r="T290" s="14"/>
      <c r="W290" s="337"/>
      <c r="X290" s="513"/>
      <c r="AA290" s="337"/>
      <c r="AB290" s="17"/>
      <c r="AC290" s="180"/>
      <c r="AD290" s="180"/>
      <c r="AE290" s="514"/>
      <c r="AF290" s="17"/>
      <c r="AI290" s="337"/>
      <c r="AM290" s="337"/>
      <c r="AQ290" s="337"/>
    </row>
    <row r="291" spans="2:43">
      <c r="B291" s="541"/>
      <c r="D291" s="337"/>
      <c r="G291" s="337"/>
      <c r="K291" s="337"/>
      <c r="O291" s="337"/>
      <c r="S291" s="337"/>
      <c r="T291" s="14"/>
      <c r="W291" s="337"/>
      <c r="X291" s="513"/>
      <c r="AA291" s="337"/>
      <c r="AB291" s="17"/>
      <c r="AC291" s="180"/>
      <c r="AD291" s="180"/>
      <c r="AE291" s="514"/>
      <c r="AF291" s="17"/>
      <c r="AI291" s="337"/>
      <c r="AM291" s="337"/>
      <c r="AQ291" s="337"/>
    </row>
    <row r="292" spans="2:43">
      <c r="B292" s="541"/>
      <c r="D292" s="337"/>
      <c r="G292" s="337"/>
      <c r="K292" s="337"/>
      <c r="O292" s="337"/>
      <c r="S292" s="337"/>
      <c r="T292" s="14"/>
      <c r="W292" s="337"/>
      <c r="X292" s="513"/>
      <c r="AA292" s="337"/>
      <c r="AB292" s="17"/>
      <c r="AC292" s="180"/>
      <c r="AD292" s="180"/>
      <c r="AE292" s="514"/>
      <c r="AF292" s="17"/>
      <c r="AI292" s="337"/>
      <c r="AM292" s="337"/>
      <c r="AQ292" s="337"/>
    </row>
    <row r="293" spans="2:43">
      <c r="B293" s="541"/>
      <c r="D293" s="337"/>
      <c r="G293" s="337"/>
      <c r="K293" s="337"/>
      <c r="O293" s="337"/>
      <c r="S293" s="337"/>
      <c r="T293" s="14"/>
      <c r="W293" s="337"/>
      <c r="X293" s="513"/>
      <c r="AA293" s="337"/>
      <c r="AB293" s="17"/>
      <c r="AC293" s="180"/>
      <c r="AD293" s="180"/>
      <c r="AE293" s="514"/>
      <c r="AF293" s="17"/>
      <c r="AI293" s="337"/>
      <c r="AM293" s="337"/>
      <c r="AQ293" s="337"/>
    </row>
    <row r="294" spans="2:43">
      <c r="B294" s="541"/>
      <c r="D294" s="337"/>
      <c r="G294" s="337"/>
      <c r="K294" s="337"/>
      <c r="O294" s="337"/>
      <c r="S294" s="337"/>
      <c r="T294" s="14"/>
      <c r="W294" s="337"/>
      <c r="X294" s="513"/>
      <c r="AA294" s="337"/>
      <c r="AB294" s="17"/>
      <c r="AC294" s="180"/>
      <c r="AD294" s="180"/>
      <c r="AE294" s="514"/>
      <c r="AF294" s="17"/>
      <c r="AI294" s="337"/>
      <c r="AM294" s="337"/>
      <c r="AQ294" s="337"/>
    </row>
    <row r="295" spans="2:43">
      <c r="B295" s="541"/>
      <c r="D295" s="337"/>
      <c r="G295" s="337"/>
      <c r="K295" s="337"/>
      <c r="O295" s="337"/>
      <c r="S295" s="337"/>
      <c r="T295" s="14"/>
      <c r="W295" s="337"/>
      <c r="X295" s="513"/>
      <c r="AA295" s="337"/>
      <c r="AB295" s="17"/>
      <c r="AC295" s="180"/>
      <c r="AD295" s="180"/>
      <c r="AE295" s="514"/>
      <c r="AF295" s="17"/>
      <c r="AI295" s="337"/>
      <c r="AM295" s="337"/>
      <c r="AQ295" s="337"/>
    </row>
    <row r="296" spans="2:43">
      <c r="B296" s="541"/>
      <c r="D296" s="337"/>
      <c r="G296" s="337"/>
      <c r="K296" s="337"/>
      <c r="O296" s="337"/>
      <c r="S296" s="337"/>
      <c r="T296" s="14"/>
      <c r="W296" s="337"/>
      <c r="X296" s="513"/>
      <c r="AA296" s="337"/>
      <c r="AB296" s="17"/>
      <c r="AC296" s="180"/>
      <c r="AD296" s="180"/>
      <c r="AE296" s="514"/>
      <c r="AF296" s="17"/>
      <c r="AI296" s="337"/>
      <c r="AM296" s="337"/>
      <c r="AQ296" s="337"/>
    </row>
    <row r="297" spans="2:43">
      <c r="B297" s="541"/>
      <c r="D297" s="337"/>
      <c r="G297" s="337"/>
      <c r="K297" s="337"/>
      <c r="O297" s="337"/>
      <c r="S297" s="337"/>
      <c r="T297" s="14"/>
      <c r="W297" s="337"/>
      <c r="X297" s="513"/>
      <c r="AA297" s="337"/>
      <c r="AB297" s="17"/>
      <c r="AC297" s="180"/>
      <c r="AD297" s="180"/>
      <c r="AE297" s="514"/>
      <c r="AF297" s="17"/>
      <c r="AI297" s="337"/>
      <c r="AM297" s="337"/>
      <c r="AQ297" s="337"/>
    </row>
    <row r="298" spans="2:43">
      <c r="B298" s="541"/>
      <c r="D298" s="337"/>
      <c r="G298" s="337"/>
      <c r="K298" s="337"/>
      <c r="O298" s="337"/>
      <c r="S298" s="337"/>
      <c r="T298" s="14"/>
      <c r="W298" s="337"/>
      <c r="X298" s="513"/>
      <c r="AA298" s="337"/>
      <c r="AB298" s="17"/>
      <c r="AC298" s="180"/>
      <c r="AD298" s="180"/>
      <c r="AE298" s="514"/>
      <c r="AF298" s="17"/>
      <c r="AI298" s="337"/>
      <c r="AM298" s="337"/>
      <c r="AQ298" s="337"/>
    </row>
    <row r="299" spans="2:43">
      <c r="B299" s="541"/>
      <c r="D299" s="337"/>
      <c r="G299" s="337"/>
      <c r="K299" s="337"/>
      <c r="O299" s="337"/>
      <c r="S299" s="337"/>
      <c r="T299" s="14"/>
      <c r="W299" s="337"/>
      <c r="X299" s="513"/>
      <c r="AA299" s="337"/>
      <c r="AB299" s="17"/>
      <c r="AC299" s="180"/>
      <c r="AD299" s="180"/>
      <c r="AE299" s="514"/>
      <c r="AF299" s="17"/>
      <c r="AI299" s="337"/>
      <c r="AM299" s="337"/>
      <c r="AQ299" s="337"/>
    </row>
    <row r="300" spans="2:43">
      <c r="B300" s="541"/>
      <c r="D300" s="337"/>
      <c r="G300" s="337"/>
      <c r="K300" s="337"/>
      <c r="O300" s="337"/>
      <c r="S300" s="337"/>
      <c r="T300" s="14"/>
      <c r="W300" s="337"/>
      <c r="X300" s="513"/>
      <c r="AA300" s="337"/>
      <c r="AB300" s="17"/>
      <c r="AC300" s="180"/>
      <c r="AD300" s="180"/>
      <c r="AE300" s="514"/>
      <c r="AF300" s="17"/>
      <c r="AI300" s="337"/>
      <c r="AM300" s="337"/>
      <c r="AQ300" s="337"/>
    </row>
    <row r="301" spans="2:43">
      <c r="B301" s="541"/>
      <c r="D301" s="337"/>
      <c r="G301" s="337"/>
      <c r="K301" s="337"/>
      <c r="O301" s="337"/>
      <c r="S301" s="337"/>
      <c r="T301" s="14"/>
      <c r="W301" s="337"/>
      <c r="X301" s="513"/>
      <c r="AA301" s="337"/>
      <c r="AB301" s="17"/>
      <c r="AC301" s="180"/>
      <c r="AD301" s="180"/>
      <c r="AE301" s="514"/>
      <c r="AF301" s="17"/>
      <c r="AI301" s="337"/>
      <c r="AM301" s="337"/>
      <c r="AQ301" s="337"/>
    </row>
    <row r="302" spans="2:43">
      <c r="B302" s="541"/>
      <c r="D302" s="337"/>
      <c r="G302" s="337"/>
      <c r="K302" s="337"/>
      <c r="O302" s="337"/>
      <c r="S302" s="337"/>
      <c r="T302" s="14"/>
      <c r="W302" s="337"/>
      <c r="X302" s="513"/>
      <c r="AA302" s="337"/>
      <c r="AB302" s="17"/>
      <c r="AC302" s="180"/>
      <c r="AD302" s="180"/>
      <c r="AE302" s="514"/>
      <c r="AF302" s="17"/>
      <c r="AI302" s="337"/>
      <c r="AM302" s="337"/>
      <c r="AQ302" s="337"/>
    </row>
    <row r="303" spans="2:43">
      <c r="B303" s="541"/>
      <c r="D303" s="337"/>
      <c r="G303" s="337"/>
      <c r="K303" s="337"/>
      <c r="O303" s="337"/>
      <c r="S303" s="337"/>
      <c r="T303" s="14"/>
      <c r="W303" s="337"/>
      <c r="X303" s="513"/>
      <c r="AA303" s="337"/>
      <c r="AB303" s="17"/>
      <c r="AC303" s="180"/>
      <c r="AD303" s="180"/>
      <c r="AE303" s="514"/>
      <c r="AF303" s="17"/>
      <c r="AI303" s="337"/>
      <c r="AM303" s="337"/>
      <c r="AQ303" s="337"/>
    </row>
    <row r="304" spans="2:43">
      <c r="B304" s="541"/>
      <c r="D304" s="337"/>
      <c r="G304" s="337"/>
      <c r="K304" s="337"/>
      <c r="O304" s="337"/>
      <c r="S304" s="337"/>
      <c r="T304" s="14"/>
      <c r="W304" s="337"/>
      <c r="X304" s="513"/>
      <c r="AA304" s="337"/>
      <c r="AB304" s="17"/>
      <c r="AC304" s="180"/>
      <c r="AD304" s="180"/>
      <c r="AE304" s="514"/>
      <c r="AF304" s="17"/>
      <c r="AI304" s="337"/>
      <c r="AM304" s="337"/>
      <c r="AQ304" s="337"/>
    </row>
    <row r="305" spans="2:43">
      <c r="B305" s="541"/>
      <c r="D305" s="337"/>
      <c r="G305" s="337"/>
      <c r="K305" s="337"/>
      <c r="O305" s="337"/>
      <c r="S305" s="337"/>
      <c r="T305" s="14"/>
      <c r="W305" s="337"/>
      <c r="X305" s="513"/>
      <c r="AA305" s="337"/>
      <c r="AB305" s="17"/>
      <c r="AC305" s="180"/>
      <c r="AD305" s="180"/>
      <c r="AE305" s="514"/>
      <c r="AF305" s="17"/>
      <c r="AI305" s="337"/>
      <c r="AM305" s="337"/>
      <c r="AQ305" s="337"/>
    </row>
    <row r="306" spans="2:43">
      <c r="B306" s="541"/>
      <c r="D306" s="337"/>
      <c r="G306" s="337"/>
      <c r="K306" s="337"/>
      <c r="O306" s="337"/>
      <c r="S306" s="337"/>
      <c r="T306" s="14"/>
      <c r="W306" s="337"/>
      <c r="X306" s="513"/>
      <c r="AA306" s="337"/>
      <c r="AB306" s="17"/>
      <c r="AC306" s="180"/>
      <c r="AD306" s="180"/>
      <c r="AE306" s="514"/>
      <c r="AF306" s="17"/>
      <c r="AI306" s="337"/>
      <c r="AM306" s="337"/>
      <c r="AQ306" s="337"/>
    </row>
    <row r="307" spans="2:43">
      <c r="B307" s="541"/>
      <c r="D307" s="337"/>
      <c r="G307" s="337"/>
      <c r="K307" s="337"/>
      <c r="O307" s="337"/>
      <c r="S307" s="337"/>
      <c r="T307" s="14"/>
      <c r="W307" s="337"/>
      <c r="X307" s="513"/>
      <c r="AA307" s="337"/>
      <c r="AB307" s="17"/>
      <c r="AC307" s="180"/>
      <c r="AD307" s="180"/>
      <c r="AE307" s="514"/>
      <c r="AF307" s="17"/>
      <c r="AI307" s="337"/>
      <c r="AM307" s="337"/>
      <c r="AQ307" s="337"/>
    </row>
    <row r="308" spans="2:43">
      <c r="B308" s="541"/>
      <c r="D308" s="337"/>
      <c r="G308" s="337"/>
      <c r="K308" s="337"/>
      <c r="O308" s="337"/>
      <c r="S308" s="337"/>
      <c r="T308" s="14"/>
      <c r="W308" s="337"/>
      <c r="X308" s="513"/>
      <c r="AA308" s="337"/>
      <c r="AB308" s="17"/>
      <c r="AC308" s="180"/>
      <c r="AD308" s="180"/>
      <c r="AE308" s="514"/>
      <c r="AF308" s="17"/>
      <c r="AI308" s="337"/>
      <c r="AM308" s="337"/>
      <c r="AQ308" s="337"/>
    </row>
    <row r="309" spans="2:43">
      <c r="B309" s="541"/>
      <c r="D309" s="337"/>
      <c r="G309" s="337"/>
      <c r="K309" s="337"/>
      <c r="O309" s="337"/>
      <c r="S309" s="337"/>
      <c r="T309" s="14"/>
      <c r="W309" s="337"/>
      <c r="X309" s="513"/>
      <c r="AA309" s="337"/>
      <c r="AB309" s="17"/>
      <c r="AC309" s="180"/>
      <c r="AD309" s="180"/>
      <c r="AE309" s="514"/>
      <c r="AF309" s="17"/>
      <c r="AI309" s="337"/>
      <c r="AM309" s="337"/>
      <c r="AQ309" s="337"/>
    </row>
    <row r="310" spans="2:43">
      <c r="B310" s="541"/>
      <c r="D310" s="337"/>
      <c r="G310" s="337"/>
      <c r="K310" s="337"/>
      <c r="O310" s="337"/>
      <c r="S310" s="337"/>
      <c r="T310" s="14"/>
      <c r="W310" s="337"/>
      <c r="X310" s="513"/>
      <c r="AA310" s="337"/>
      <c r="AB310" s="17"/>
      <c r="AC310" s="180"/>
      <c r="AD310" s="180"/>
      <c r="AE310" s="514"/>
      <c r="AF310" s="17"/>
      <c r="AI310" s="337"/>
      <c r="AM310" s="337"/>
      <c r="AQ310" s="337"/>
    </row>
    <row r="311" spans="2:43">
      <c r="B311" s="541"/>
      <c r="D311" s="337"/>
      <c r="G311" s="337"/>
      <c r="K311" s="337"/>
      <c r="O311" s="337"/>
      <c r="S311" s="337"/>
      <c r="T311" s="14"/>
      <c r="W311" s="337"/>
      <c r="X311" s="513"/>
      <c r="AA311" s="337"/>
      <c r="AB311" s="17"/>
      <c r="AC311" s="180"/>
      <c r="AD311" s="180"/>
      <c r="AE311" s="514"/>
      <c r="AF311" s="17"/>
      <c r="AI311" s="337"/>
      <c r="AM311" s="337"/>
      <c r="AQ311" s="337"/>
    </row>
    <row r="312" spans="2:43">
      <c r="B312" s="541"/>
      <c r="D312" s="337"/>
      <c r="G312" s="337"/>
      <c r="K312" s="337"/>
      <c r="O312" s="337"/>
      <c r="S312" s="337"/>
      <c r="T312" s="14"/>
      <c r="W312" s="337"/>
      <c r="X312" s="513"/>
      <c r="AA312" s="337"/>
      <c r="AB312" s="17"/>
      <c r="AC312" s="180"/>
      <c r="AD312" s="180"/>
      <c r="AE312" s="514"/>
      <c r="AF312" s="17"/>
      <c r="AI312" s="337"/>
      <c r="AM312" s="337"/>
      <c r="AQ312" s="337"/>
    </row>
    <row r="313" spans="2:43">
      <c r="B313" s="541"/>
      <c r="D313" s="337"/>
      <c r="G313" s="337"/>
      <c r="K313" s="337"/>
      <c r="O313" s="337"/>
      <c r="S313" s="337"/>
      <c r="T313" s="14"/>
      <c r="W313" s="337"/>
      <c r="X313" s="513"/>
      <c r="AA313" s="337"/>
      <c r="AB313" s="17"/>
      <c r="AC313" s="180"/>
      <c r="AD313" s="180"/>
      <c r="AE313" s="514"/>
      <c r="AF313" s="17"/>
      <c r="AI313" s="337"/>
      <c r="AM313" s="337"/>
      <c r="AQ313" s="337"/>
    </row>
    <row r="314" spans="2:43">
      <c r="B314" s="541"/>
      <c r="D314" s="337"/>
      <c r="G314" s="337"/>
      <c r="K314" s="337"/>
      <c r="O314" s="337"/>
      <c r="S314" s="337"/>
      <c r="T314" s="14"/>
      <c r="W314" s="337"/>
      <c r="X314" s="513"/>
      <c r="AA314" s="337"/>
      <c r="AB314" s="17"/>
      <c r="AC314" s="180"/>
      <c r="AD314" s="180"/>
      <c r="AE314" s="514"/>
      <c r="AF314" s="17"/>
      <c r="AI314" s="337"/>
      <c r="AM314" s="337"/>
      <c r="AQ314" s="337"/>
    </row>
    <row r="315" spans="2:43">
      <c r="B315" s="541"/>
      <c r="D315" s="337"/>
      <c r="G315" s="337"/>
      <c r="K315" s="337"/>
      <c r="O315" s="337"/>
      <c r="S315" s="337"/>
      <c r="T315" s="14"/>
      <c r="W315" s="337"/>
      <c r="X315" s="513"/>
      <c r="AA315" s="337"/>
      <c r="AB315" s="17"/>
      <c r="AC315" s="180"/>
      <c r="AD315" s="180"/>
      <c r="AE315" s="514"/>
      <c r="AF315" s="17"/>
      <c r="AI315" s="337"/>
      <c r="AM315" s="337"/>
      <c r="AQ315" s="337"/>
    </row>
    <row r="316" spans="2:43">
      <c r="B316" s="541"/>
      <c r="D316" s="337"/>
      <c r="G316" s="337"/>
      <c r="K316" s="337"/>
      <c r="O316" s="337"/>
      <c r="S316" s="337"/>
      <c r="T316" s="14"/>
      <c r="W316" s="337"/>
      <c r="X316" s="513"/>
      <c r="AA316" s="337"/>
      <c r="AB316" s="17"/>
      <c r="AC316" s="180"/>
      <c r="AD316" s="180"/>
      <c r="AE316" s="514"/>
      <c r="AF316" s="17"/>
      <c r="AI316" s="337"/>
      <c r="AM316" s="337"/>
      <c r="AQ316" s="337"/>
    </row>
    <row r="317" spans="2:43">
      <c r="B317" s="541"/>
      <c r="D317" s="337"/>
      <c r="G317" s="337"/>
      <c r="K317" s="337"/>
      <c r="O317" s="337"/>
      <c r="S317" s="337"/>
      <c r="T317" s="14"/>
      <c r="W317" s="337"/>
      <c r="X317" s="513"/>
      <c r="AA317" s="337"/>
      <c r="AB317" s="17"/>
      <c r="AC317" s="180"/>
      <c r="AD317" s="180"/>
      <c r="AE317" s="514"/>
      <c r="AF317" s="17"/>
      <c r="AI317" s="337"/>
      <c r="AM317" s="337"/>
      <c r="AQ317" s="337"/>
    </row>
    <row r="318" spans="2:43">
      <c r="B318" s="541"/>
      <c r="D318" s="337"/>
      <c r="G318" s="337"/>
      <c r="K318" s="337"/>
      <c r="O318" s="337"/>
      <c r="S318" s="337"/>
      <c r="T318" s="14"/>
      <c r="W318" s="337"/>
      <c r="X318" s="513"/>
      <c r="AA318" s="337"/>
      <c r="AB318" s="17"/>
      <c r="AC318" s="180"/>
      <c r="AD318" s="180"/>
      <c r="AE318" s="514"/>
      <c r="AF318" s="17"/>
      <c r="AI318" s="337"/>
      <c r="AM318" s="337"/>
      <c r="AQ318" s="337"/>
    </row>
    <row r="319" spans="2:43">
      <c r="B319" s="541"/>
      <c r="D319" s="337"/>
      <c r="G319" s="337"/>
      <c r="K319" s="337"/>
      <c r="O319" s="337"/>
      <c r="S319" s="337"/>
      <c r="T319" s="14"/>
      <c r="W319" s="337"/>
      <c r="X319" s="513"/>
      <c r="AA319" s="337"/>
      <c r="AB319" s="17"/>
      <c r="AC319" s="180"/>
      <c r="AD319" s="180"/>
      <c r="AE319" s="514"/>
      <c r="AF319" s="17"/>
      <c r="AI319" s="337"/>
      <c r="AM319" s="337"/>
      <c r="AQ319" s="337"/>
    </row>
    <row r="320" spans="2:43">
      <c r="B320" s="541"/>
      <c r="D320" s="337"/>
      <c r="G320" s="337"/>
      <c r="K320" s="337"/>
      <c r="O320" s="337"/>
      <c r="S320" s="337"/>
      <c r="T320" s="14"/>
      <c r="W320" s="337"/>
      <c r="X320" s="513"/>
      <c r="AA320" s="337"/>
      <c r="AB320" s="17"/>
      <c r="AC320" s="180"/>
      <c r="AD320" s="180"/>
      <c r="AE320" s="514"/>
      <c r="AF320" s="17"/>
      <c r="AI320" s="337"/>
      <c r="AM320" s="337"/>
      <c r="AQ320" s="337"/>
    </row>
    <row r="321" spans="2:43">
      <c r="B321" s="541"/>
      <c r="D321" s="337"/>
      <c r="G321" s="337"/>
      <c r="K321" s="337"/>
      <c r="O321" s="337"/>
      <c r="S321" s="337"/>
      <c r="T321" s="14"/>
      <c r="W321" s="337"/>
      <c r="X321" s="513"/>
      <c r="AA321" s="337"/>
      <c r="AB321" s="17"/>
      <c r="AC321" s="180"/>
      <c r="AD321" s="180"/>
      <c r="AE321" s="514"/>
      <c r="AF321" s="17"/>
      <c r="AI321" s="337"/>
      <c r="AM321" s="337"/>
      <c r="AQ321" s="337"/>
    </row>
    <row r="322" spans="2:43">
      <c r="B322" s="541"/>
      <c r="D322" s="337"/>
      <c r="G322" s="337"/>
      <c r="K322" s="337"/>
      <c r="O322" s="337"/>
      <c r="S322" s="337"/>
      <c r="T322" s="14"/>
      <c r="W322" s="337"/>
      <c r="X322" s="513"/>
      <c r="AA322" s="337"/>
      <c r="AB322" s="17"/>
      <c r="AC322" s="180"/>
      <c r="AD322" s="180"/>
      <c r="AE322" s="514"/>
      <c r="AF322" s="17"/>
      <c r="AI322" s="337"/>
      <c r="AM322" s="337"/>
      <c r="AQ322" s="337"/>
    </row>
    <row r="323" spans="2:43">
      <c r="B323" s="541"/>
      <c r="D323" s="337"/>
      <c r="G323" s="337"/>
      <c r="K323" s="337"/>
      <c r="O323" s="337"/>
      <c r="S323" s="337"/>
      <c r="T323" s="14"/>
      <c r="W323" s="337"/>
      <c r="X323" s="513"/>
      <c r="AA323" s="337"/>
      <c r="AB323" s="17"/>
      <c r="AC323" s="180"/>
      <c r="AD323" s="180"/>
      <c r="AE323" s="514"/>
      <c r="AF323" s="17"/>
      <c r="AI323" s="337"/>
      <c r="AM323" s="337"/>
      <c r="AQ323" s="337"/>
    </row>
    <row r="324" spans="2:43">
      <c r="B324" s="541"/>
      <c r="D324" s="337"/>
      <c r="G324" s="337"/>
      <c r="K324" s="337"/>
      <c r="O324" s="337"/>
      <c r="S324" s="337"/>
      <c r="T324" s="14"/>
      <c r="W324" s="337"/>
      <c r="X324" s="513"/>
      <c r="AA324" s="337"/>
      <c r="AB324" s="17"/>
      <c r="AC324" s="180"/>
      <c r="AD324" s="180"/>
      <c r="AE324" s="514"/>
      <c r="AF324" s="17"/>
      <c r="AI324" s="337"/>
      <c r="AM324" s="337"/>
      <c r="AQ324" s="337"/>
    </row>
    <row r="325" spans="2:43">
      <c r="B325" s="541"/>
      <c r="D325" s="337"/>
      <c r="G325" s="337"/>
      <c r="K325" s="337"/>
      <c r="O325" s="337"/>
      <c r="S325" s="337"/>
      <c r="T325" s="14"/>
      <c r="W325" s="337"/>
      <c r="X325" s="513"/>
      <c r="AA325" s="337"/>
      <c r="AB325" s="17"/>
      <c r="AC325" s="180"/>
      <c r="AD325" s="180"/>
      <c r="AE325" s="514"/>
      <c r="AF325" s="17"/>
      <c r="AI325" s="337"/>
      <c r="AM325" s="337"/>
      <c r="AQ325" s="337"/>
    </row>
    <row r="326" spans="2:43">
      <c r="B326" s="541"/>
      <c r="D326" s="337"/>
      <c r="G326" s="337"/>
      <c r="K326" s="337"/>
      <c r="O326" s="337"/>
      <c r="S326" s="337"/>
      <c r="T326" s="14"/>
      <c r="W326" s="337"/>
      <c r="X326" s="513"/>
      <c r="AA326" s="337"/>
      <c r="AB326" s="17"/>
      <c r="AC326" s="180"/>
      <c r="AD326" s="180"/>
      <c r="AE326" s="514"/>
      <c r="AF326" s="17"/>
      <c r="AI326" s="337"/>
      <c r="AM326" s="337"/>
      <c r="AQ326" s="337"/>
    </row>
    <row r="327" spans="2:43">
      <c r="B327" s="541"/>
      <c r="D327" s="337"/>
      <c r="G327" s="337"/>
      <c r="K327" s="337"/>
      <c r="O327" s="337"/>
      <c r="S327" s="337"/>
      <c r="T327" s="14"/>
      <c r="W327" s="337"/>
      <c r="X327" s="513"/>
      <c r="AA327" s="337"/>
      <c r="AB327" s="17"/>
      <c r="AC327" s="180"/>
      <c r="AD327" s="180"/>
      <c r="AE327" s="514"/>
      <c r="AF327" s="17"/>
      <c r="AI327" s="337"/>
      <c r="AM327" s="337"/>
      <c r="AQ327" s="337"/>
    </row>
    <row r="328" spans="2:43">
      <c r="B328" s="541"/>
      <c r="D328" s="337"/>
      <c r="G328" s="337"/>
      <c r="K328" s="337"/>
      <c r="O328" s="337"/>
      <c r="S328" s="337"/>
      <c r="T328" s="14"/>
      <c r="W328" s="337"/>
      <c r="X328" s="513"/>
      <c r="AA328" s="337"/>
      <c r="AB328" s="17"/>
      <c r="AC328" s="180"/>
      <c r="AD328" s="180"/>
      <c r="AE328" s="514"/>
      <c r="AF328" s="17"/>
      <c r="AI328" s="337"/>
      <c r="AM328" s="337"/>
      <c r="AQ328" s="337"/>
    </row>
    <row r="329" spans="2:43">
      <c r="B329" s="541"/>
      <c r="D329" s="337"/>
      <c r="G329" s="337"/>
      <c r="K329" s="337"/>
      <c r="O329" s="337"/>
      <c r="S329" s="337"/>
      <c r="T329" s="14"/>
      <c r="W329" s="337"/>
      <c r="X329" s="513"/>
      <c r="AA329" s="337"/>
      <c r="AB329" s="17"/>
      <c r="AC329" s="180"/>
      <c r="AD329" s="180"/>
      <c r="AE329" s="514"/>
      <c r="AF329" s="17"/>
      <c r="AI329" s="337"/>
      <c r="AM329" s="337"/>
      <c r="AQ329" s="337"/>
    </row>
    <row r="330" spans="2:43">
      <c r="B330" s="541"/>
      <c r="D330" s="337"/>
      <c r="G330" s="337"/>
      <c r="K330" s="337"/>
      <c r="O330" s="337"/>
      <c r="S330" s="337"/>
      <c r="T330" s="14"/>
      <c r="W330" s="337"/>
      <c r="X330" s="513"/>
      <c r="AA330" s="337"/>
      <c r="AB330" s="17"/>
      <c r="AC330" s="180"/>
      <c r="AD330" s="180"/>
      <c r="AE330" s="514"/>
      <c r="AF330" s="17"/>
      <c r="AI330" s="337"/>
      <c r="AM330" s="337"/>
      <c r="AQ330" s="337"/>
    </row>
    <row r="331" spans="2:43">
      <c r="B331" s="541"/>
      <c r="D331" s="337"/>
      <c r="G331" s="337"/>
      <c r="K331" s="337"/>
      <c r="O331" s="337"/>
      <c r="S331" s="337"/>
      <c r="T331" s="14"/>
      <c r="W331" s="337"/>
      <c r="X331" s="513"/>
      <c r="AA331" s="337"/>
      <c r="AB331" s="17"/>
      <c r="AC331" s="180"/>
      <c r="AD331" s="180"/>
      <c r="AE331" s="514"/>
      <c r="AF331" s="17"/>
      <c r="AI331" s="337"/>
      <c r="AM331" s="337"/>
      <c r="AQ331" s="337"/>
    </row>
    <row r="332" spans="2:43">
      <c r="B332" s="541"/>
      <c r="D332" s="337"/>
      <c r="G332" s="337"/>
      <c r="K332" s="337"/>
      <c r="O332" s="337"/>
      <c r="S332" s="337"/>
      <c r="T332" s="14"/>
      <c r="W332" s="337"/>
      <c r="X332" s="513"/>
      <c r="AA332" s="337"/>
      <c r="AB332" s="17"/>
      <c r="AC332" s="180"/>
      <c r="AD332" s="180"/>
      <c r="AE332" s="514"/>
      <c r="AF332" s="17"/>
      <c r="AI332" s="337"/>
      <c r="AM332" s="337"/>
      <c r="AQ332" s="337"/>
    </row>
    <row r="333" spans="2:43">
      <c r="B333" s="541"/>
      <c r="D333" s="337"/>
      <c r="G333" s="337"/>
      <c r="K333" s="337"/>
      <c r="O333" s="337"/>
      <c r="S333" s="337"/>
      <c r="T333" s="14"/>
      <c r="W333" s="337"/>
      <c r="X333" s="513"/>
      <c r="AA333" s="337"/>
      <c r="AB333" s="17"/>
      <c r="AC333" s="180"/>
      <c r="AD333" s="180"/>
      <c r="AE333" s="514"/>
      <c r="AF333" s="17"/>
      <c r="AI333" s="337"/>
      <c r="AM333" s="337"/>
      <c r="AQ333" s="337"/>
    </row>
    <row r="334" spans="2:43">
      <c r="B334" s="541"/>
      <c r="D334" s="337"/>
      <c r="G334" s="337"/>
      <c r="K334" s="337"/>
      <c r="O334" s="337"/>
      <c r="S334" s="337"/>
      <c r="T334" s="14"/>
      <c r="W334" s="337"/>
      <c r="X334" s="513"/>
      <c r="AA334" s="337"/>
      <c r="AB334" s="17"/>
      <c r="AC334" s="180"/>
      <c r="AD334" s="180"/>
      <c r="AE334" s="514"/>
      <c r="AF334" s="17"/>
      <c r="AI334" s="337"/>
      <c r="AM334" s="337"/>
      <c r="AQ334" s="337"/>
    </row>
    <row r="335" spans="2:43">
      <c r="B335" s="541"/>
      <c r="D335" s="337"/>
      <c r="G335" s="337"/>
      <c r="K335" s="337"/>
      <c r="O335" s="337"/>
      <c r="S335" s="337"/>
      <c r="T335" s="14"/>
      <c r="W335" s="337"/>
      <c r="X335" s="513"/>
      <c r="AA335" s="337"/>
      <c r="AB335" s="17"/>
      <c r="AC335" s="180"/>
      <c r="AD335" s="180"/>
      <c r="AE335" s="514"/>
      <c r="AF335" s="17"/>
      <c r="AI335" s="337"/>
      <c r="AM335" s="337"/>
      <c r="AQ335" s="337"/>
    </row>
    <row r="336" spans="2:43">
      <c r="B336" s="541"/>
      <c r="D336" s="337"/>
      <c r="G336" s="337"/>
      <c r="K336" s="337"/>
      <c r="O336" s="337"/>
      <c r="S336" s="337"/>
      <c r="T336" s="14"/>
      <c r="W336" s="337"/>
      <c r="X336" s="513"/>
      <c r="AA336" s="337"/>
      <c r="AB336" s="17"/>
      <c r="AC336" s="180"/>
      <c r="AD336" s="180"/>
      <c r="AE336" s="514"/>
      <c r="AF336" s="17"/>
      <c r="AI336" s="337"/>
      <c r="AM336" s="337"/>
      <c r="AQ336" s="337"/>
    </row>
    <row r="337" spans="2:43">
      <c r="B337" s="541"/>
      <c r="D337" s="337"/>
      <c r="G337" s="337"/>
      <c r="K337" s="337"/>
      <c r="O337" s="337"/>
      <c r="S337" s="337"/>
      <c r="T337" s="14"/>
      <c r="W337" s="337"/>
      <c r="X337" s="513"/>
      <c r="AA337" s="337"/>
      <c r="AB337" s="17"/>
      <c r="AC337" s="180"/>
      <c r="AD337" s="180"/>
      <c r="AE337" s="514"/>
      <c r="AF337" s="17"/>
      <c r="AI337" s="337"/>
      <c r="AM337" s="337"/>
      <c r="AQ337" s="337"/>
    </row>
    <row r="338" spans="2:43">
      <c r="B338" s="541"/>
      <c r="D338" s="337"/>
      <c r="G338" s="337"/>
      <c r="K338" s="337"/>
      <c r="O338" s="337"/>
      <c r="S338" s="337"/>
      <c r="T338" s="14"/>
      <c r="W338" s="337"/>
      <c r="X338" s="513"/>
      <c r="AA338" s="337"/>
      <c r="AB338" s="17"/>
      <c r="AC338" s="180"/>
      <c r="AD338" s="180"/>
      <c r="AE338" s="514"/>
      <c r="AF338" s="17"/>
      <c r="AI338" s="337"/>
      <c r="AM338" s="337"/>
      <c r="AQ338" s="337"/>
    </row>
    <row r="339" spans="2:43">
      <c r="B339" s="541"/>
      <c r="D339" s="337"/>
      <c r="G339" s="337"/>
      <c r="K339" s="337"/>
      <c r="O339" s="337"/>
      <c r="S339" s="337"/>
      <c r="T339" s="14"/>
      <c r="W339" s="337"/>
      <c r="X339" s="513"/>
      <c r="AA339" s="337"/>
      <c r="AB339" s="17"/>
      <c r="AC339" s="180"/>
      <c r="AD339" s="180"/>
      <c r="AE339" s="514"/>
      <c r="AF339" s="17"/>
      <c r="AI339" s="337"/>
      <c r="AM339" s="337"/>
      <c r="AQ339" s="337"/>
    </row>
    <row r="340" spans="2:43">
      <c r="B340" s="541"/>
      <c r="D340" s="337"/>
      <c r="G340" s="337"/>
      <c r="K340" s="337"/>
      <c r="O340" s="337"/>
      <c r="S340" s="337"/>
      <c r="T340" s="14"/>
      <c r="W340" s="337"/>
      <c r="X340" s="513"/>
      <c r="AA340" s="337"/>
      <c r="AB340" s="17"/>
      <c r="AC340" s="180"/>
      <c r="AD340" s="180"/>
      <c r="AE340" s="514"/>
      <c r="AF340" s="17"/>
      <c r="AI340" s="337"/>
      <c r="AM340" s="337"/>
      <c r="AQ340" s="337"/>
    </row>
    <row r="341" spans="2:43">
      <c r="B341" s="541"/>
      <c r="D341" s="337"/>
      <c r="G341" s="337"/>
      <c r="K341" s="337"/>
      <c r="O341" s="337"/>
      <c r="S341" s="337"/>
      <c r="T341" s="14"/>
      <c r="W341" s="337"/>
      <c r="X341" s="513"/>
      <c r="AA341" s="337"/>
      <c r="AB341" s="17"/>
      <c r="AC341" s="180"/>
      <c r="AD341" s="180"/>
      <c r="AE341" s="514"/>
      <c r="AF341" s="17"/>
      <c r="AI341" s="337"/>
      <c r="AM341" s="337"/>
      <c r="AQ341" s="337"/>
    </row>
    <row r="342" spans="2:43">
      <c r="B342" s="541"/>
      <c r="D342" s="337"/>
      <c r="G342" s="337"/>
      <c r="K342" s="337"/>
      <c r="O342" s="337"/>
      <c r="S342" s="337"/>
      <c r="T342" s="14"/>
      <c r="W342" s="337"/>
      <c r="X342" s="513"/>
      <c r="AA342" s="337"/>
      <c r="AB342" s="17"/>
      <c r="AC342" s="180"/>
      <c r="AD342" s="180"/>
      <c r="AE342" s="514"/>
      <c r="AF342" s="17"/>
      <c r="AI342" s="337"/>
      <c r="AM342" s="337"/>
      <c r="AQ342" s="337"/>
    </row>
    <row r="343" spans="2:43">
      <c r="B343" s="541"/>
      <c r="D343" s="337"/>
      <c r="G343" s="337"/>
      <c r="K343" s="337"/>
      <c r="O343" s="337"/>
      <c r="S343" s="337"/>
      <c r="T343" s="14"/>
      <c r="W343" s="337"/>
      <c r="X343" s="513"/>
      <c r="AA343" s="337"/>
      <c r="AB343" s="17"/>
      <c r="AC343" s="180"/>
      <c r="AD343" s="180"/>
      <c r="AE343" s="514"/>
      <c r="AF343" s="17"/>
      <c r="AI343" s="337"/>
      <c r="AM343" s="337"/>
      <c r="AQ343" s="337"/>
    </row>
    <row r="344" spans="2:43">
      <c r="B344" s="541"/>
      <c r="D344" s="337"/>
      <c r="G344" s="337"/>
      <c r="K344" s="337"/>
      <c r="O344" s="337"/>
      <c r="S344" s="337"/>
      <c r="T344" s="14"/>
      <c r="W344" s="337"/>
      <c r="X344" s="513"/>
      <c r="AA344" s="337"/>
      <c r="AB344" s="17"/>
      <c r="AC344" s="180"/>
      <c r="AD344" s="180"/>
      <c r="AE344" s="514"/>
      <c r="AF344" s="17"/>
      <c r="AI344" s="337"/>
      <c r="AM344" s="337"/>
      <c r="AQ344" s="337"/>
    </row>
    <row r="345" spans="2:43">
      <c r="B345" s="541"/>
      <c r="D345" s="337"/>
      <c r="G345" s="337"/>
      <c r="K345" s="337"/>
      <c r="O345" s="337"/>
      <c r="S345" s="337"/>
      <c r="T345" s="14"/>
      <c r="W345" s="337"/>
      <c r="X345" s="513"/>
      <c r="AA345" s="337"/>
      <c r="AB345" s="17"/>
      <c r="AC345" s="180"/>
      <c r="AD345" s="180"/>
      <c r="AE345" s="514"/>
      <c r="AF345" s="17"/>
      <c r="AI345" s="337"/>
      <c r="AM345" s="337"/>
      <c r="AQ345" s="337"/>
    </row>
    <row r="346" spans="2:43">
      <c r="B346" s="541"/>
      <c r="D346" s="337"/>
      <c r="G346" s="337"/>
      <c r="K346" s="337"/>
      <c r="O346" s="337"/>
      <c r="S346" s="337"/>
      <c r="T346" s="14"/>
      <c r="W346" s="337"/>
      <c r="X346" s="513"/>
      <c r="AA346" s="337"/>
      <c r="AB346" s="17"/>
      <c r="AC346" s="180"/>
      <c r="AD346" s="180"/>
      <c r="AE346" s="514"/>
      <c r="AF346" s="17"/>
      <c r="AI346" s="337"/>
      <c r="AM346" s="337"/>
      <c r="AQ346" s="337"/>
    </row>
    <row r="347" spans="2:43">
      <c r="B347" s="541"/>
      <c r="D347" s="337"/>
      <c r="G347" s="337"/>
      <c r="K347" s="337"/>
      <c r="O347" s="337"/>
      <c r="S347" s="337"/>
      <c r="T347" s="14"/>
      <c r="W347" s="337"/>
      <c r="X347" s="513"/>
      <c r="AA347" s="337"/>
      <c r="AB347" s="17"/>
      <c r="AC347" s="180"/>
      <c r="AD347" s="180"/>
      <c r="AE347" s="514"/>
      <c r="AF347" s="17"/>
      <c r="AI347" s="337"/>
      <c r="AM347" s="337"/>
      <c r="AQ347" s="337"/>
    </row>
    <row r="348" spans="2:43">
      <c r="B348" s="541"/>
      <c r="D348" s="337"/>
      <c r="G348" s="337"/>
      <c r="K348" s="337"/>
      <c r="O348" s="337"/>
      <c r="S348" s="337"/>
      <c r="T348" s="14"/>
      <c r="W348" s="337"/>
      <c r="X348" s="513"/>
      <c r="AA348" s="337"/>
      <c r="AB348" s="17"/>
      <c r="AC348" s="180"/>
      <c r="AD348" s="180"/>
      <c r="AE348" s="514"/>
      <c r="AF348" s="17"/>
      <c r="AI348" s="337"/>
      <c r="AM348" s="337"/>
      <c r="AQ348" s="337"/>
    </row>
    <row r="349" spans="2:43">
      <c r="B349" s="541"/>
      <c r="D349" s="337"/>
      <c r="G349" s="337"/>
      <c r="K349" s="337"/>
      <c r="O349" s="337"/>
      <c r="S349" s="337"/>
      <c r="T349" s="14"/>
      <c r="W349" s="337"/>
      <c r="X349" s="513"/>
      <c r="AA349" s="337"/>
      <c r="AB349" s="17"/>
      <c r="AC349" s="180"/>
      <c r="AD349" s="180"/>
      <c r="AE349" s="514"/>
      <c r="AF349" s="17"/>
      <c r="AI349" s="337"/>
      <c r="AM349" s="337"/>
      <c r="AQ349" s="337"/>
    </row>
    <row r="350" spans="2:43">
      <c r="B350" s="541"/>
      <c r="D350" s="337"/>
      <c r="G350" s="337"/>
      <c r="K350" s="337"/>
      <c r="O350" s="337"/>
      <c r="S350" s="337"/>
      <c r="T350" s="14"/>
      <c r="W350" s="337"/>
      <c r="X350" s="513"/>
      <c r="AA350" s="337"/>
      <c r="AB350" s="17"/>
      <c r="AC350" s="180"/>
      <c r="AD350" s="180"/>
      <c r="AE350" s="514"/>
      <c r="AF350" s="17"/>
      <c r="AI350" s="337"/>
      <c r="AM350" s="337"/>
      <c r="AQ350" s="337"/>
    </row>
    <row r="351" spans="2:43">
      <c r="B351" s="541"/>
      <c r="D351" s="337"/>
      <c r="G351" s="337"/>
      <c r="K351" s="337"/>
      <c r="O351" s="337"/>
      <c r="S351" s="337"/>
      <c r="T351" s="14"/>
      <c r="W351" s="337"/>
      <c r="X351" s="513"/>
      <c r="AA351" s="337"/>
      <c r="AB351" s="17"/>
      <c r="AC351" s="180"/>
      <c r="AD351" s="180"/>
      <c r="AE351" s="514"/>
      <c r="AF351" s="17"/>
      <c r="AI351" s="337"/>
      <c r="AM351" s="337"/>
      <c r="AQ351" s="337"/>
    </row>
    <row r="352" spans="2:43">
      <c r="B352" s="541"/>
      <c r="D352" s="337"/>
      <c r="G352" s="337"/>
      <c r="K352" s="337"/>
      <c r="O352" s="337"/>
      <c r="S352" s="337"/>
      <c r="T352" s="14"/>
      <c r="W352" s="337"/>
      <c r="X352" s="513"/>
      <c r="AA352" s="337"/>
      <c r="AB352" s="17"/>
      <c r="AC352" s="180"/>
      <c r="AD352" s="180"/>
      <c r="AE352" s="514"/>
      <c r="AF352" s="17"/>
      <c r="AI352" s="337"/>
      <c r="AM352" s="337"/>
      <c r="AQ352" s="337"/>
    </row>
    <row r="353" spans="2:43">
      <c r="B353" s="541"/>
      <c r="D353" s="337"/>
      <c r="G353" s="337"/>
      <c r="K353" s="337"/>
      <c r="O353" s="337"/>
      <c r="S353" s="337"/>
      <c r="T353" s="14"/>
      <c r="W353" s="337"/>
      <c r="X353" s="513"/>
      <c r="AA353" s="337"/>
      <c r="AB353" s="17"/>
      <c r="AC353" s="180"/>
      <c r="AD353" s="180"/>
      <c r="AE353" s="514"/>
      <c r="AF353" s="17"/>
      <c r="AI353" s="337"/>
      <c r="AM353" s="337"/>
      <c r="AQ353" s="337"/>
    </row>
    <row r="354" spans="2:43">
      <c r="B354" s="541"/>
      <c r="D354" s="337"/>
      <c r="G354" s="337"/>
      <c r="K354" s="337"/>
      <c r="O354" s="337"/>
      <c r="S354" s="337"/>
      <c r="T354" s="14"/>
      <c r="W354" s="337"/>
      <c r="X354" s="513"/>
      <c r="AA354" s="337"/>
      <c r="AB354" s="17"/>
      <c r="AC354" s="180"/>
      <c r="AD354" s="180"/>
      <c r="AE354" s="514"/>
      <c r="AF354" s="17"/>
      <c r="AI354" s="337"/>
      <c r="AM354" s="337"/>
      <c r="AQ354" s="337"/>
    </row>
    <row r="355" spans="2:43">
      <c r="B355" s="541"/>
      <c r="D355" s="337"/>
      <c r="G355" s="337"/>
      <c r="K355" s="337"/>
      <c r="O355" s="337"/>
      <c r="S355" s="337"/>
      <c r="T355" s="14"/>
      <c r="W355" s="337"/>
      <c r="X355" s="513"/>
      <c r="AA355" s="337"/>
      <c r="AB355" s="17"/>
      <c r="AC355" s="180"/>
      <c r="AD355" s="180"/>
      <c r="AE355" s="514"/>
      <c r="AF355" s="17"/>
      <c r="AI355" s="337"/>
      <c r="AM355" s="337"/>
      <c r="AQ355" s="337"/>
    </row>
    <row r="356" spans="2:43">
      <c r="B356" s="541"/>
      <c r="D356" s="337"/>
      <c r="G356" s="337"/>
      <c r="K356" s="337"/>
      <c r="O356" s="337"/>
      <c r="S356" s="337"/>
      <c r="T356" s="14"/>
      <c r="W356" s="337"/>
      <c r="X356" s="513"/>
      <c r="AA356" s="337"/>
      <c r="AB356" s="17"/>
      <c r="AC356" s="180"/>
      <c r="AD356" s="180"/>
      <c r="AE356" s="514"/>
      <c r="AF356" s="17"/>
      <c r="AI356" s="337"/>
      <c r="AM356" s="337"/>
      <c r="AQ356" s="337"/>
    </row>
    <row r="357" spans="2:43">
      <c r="B357" s="541"/>
      <c r="D357" s="337"/>
      <c r="G357" s="337"/>
      <c r="K357" s="337"/>
      <c r="O357" s="337"/>
      <c r="S357" s="337"/>
      <c r="T357" s="14"/>
      <c r="W357" s="337"/>
      <c r="X357" s="513"/>
      <c r="AA357" s="337"/>
      <c r="AB357" s="17"/>
      <c r="AC357" s="180"/>
      <c r="AD357" s="180"/>
      <c r="AE357" s="514"/>
      <c r="AF357" s="17"/>
      <c r="AI357" s="337"/>
      <c r="AM357" s="337"/>
      <c r="AQ357" s="337"/>
    </row>
    <row r="358" spans="2:43">
      <c r="B358" s="541"/>
      <c r="D358" s="337"/>
      <c r="G358" s="337"/>
      <c r="K358" s="337"/>
      <c r="O358" s="337"/>
      <c r="S358" s="337"/>
      <c r="T358" s="14"/>
      <c r="W358" s="337"/>
      <c r="X358" s="513"/>
      <c r="AA358" s="337"/>
      <c r="AB358" s="17"/>
      <c r="AC358" s="180"/>
      <c r="AD358" s="180"/>
      <c r="AE358" s="514"/>
      <c r="AF358" s="17"/>
      <c r="AI358" s="337"/>
      <c r="AM358" s="337"/>
      <c r="AQ358" s="337"/>
    </row>
    <row r="359" spans="2:43">
      <c r="B359" s="541"/>
      <c r="D359" s="337"/>
      <c r="G359" s="337"/>
      <c r="K359" s="337"/>
      <c r="O359" s="337"/>
      <c r="S359" s="337"/>
      <c r="T359" s="14"/>
      <c r="W359" s="337"/>
      <c r="X359" s="513"/>
      <c r="AA359" s="337"/>
      <c r="AB359" s="17"/>
      <c r="AC359" s="180"/>
      <c r="AD359" s="180"/>
      <c r="AE359" s="514"/>
      <c r="AF359" s="17"/>
      <c r="AI359" s="337"/>
      <c r="AM359" s="337"/>
      <c r="AQ359" s="337"/>
    </row>
    <row r="360" spans="2:43">
      <c r="B360" s="541"/>
      <c r="D360" s="337"/>
      <c r="G360" s="337"/>
      <c r="K360" s="337"/>
      <c r="O360" s="337"/>
      <c r="S360" s="337"/>
      <c r="T360" s="14"/>
      <c r="W360" s="337"/>
      <c r="X360" s="513"/>
      <c r="AA360" s="337"/>
      <c r="AB360" s="17"/>
      <c r="AC360" s="180"/>
      <c r="AD360" s="180"/>
      <c r="AE360" s="514"/>
      <c r="AF360" s="17"/>
      <c r="AI360" s="337"/>
      <c r="AM360" s="337"/>
      <c r="AQ360" s="337"/>
    </row>
    <row r="361" spans="2:43">
      <c r="B361" s="541"/>
      <c r="D361" s="337"/>
      <c r="G361" s="337"/>
      <c r="K361" s="337"/>
      <c r="O361" s="337"/>
      <c r="S361" s="337"/>
      <c r="T361" s="14"/>
      <c r="W361" s="337"/>
      <c r="X361" s="513"/>
      <c r="AA361" s="337"/>
      <c r="AB361" s="17"/>
      <c r="AC361" s="180"/>
      <c r="AD361" s="180"/>
      <c r="AE361" s="514"/>
      <c r="AF361" s="17"/>
      <c r="AI361" s="337"/>
      <c r="AM361" s="337"/>
      <c r="AQ361" s="337"/>
    </row>
    <row r="362" spans="2:43">
      <c r="B362" s="541"/>
      <c r="D362" s="337"/>
      <c r="G362" s="337"/>
      <c r="K362" s="337"/>
      <c r="O362" s="337"/>
      <c r="S362" s="337"/>
      <c r="T362" s="14"/>
      <c r="W362" s="337"/>
      <c r="X362" s="513"/>
      <c r="AA362" s="337"/>
      <c r="AB362" s="17"/>
      <c r="AC362" s="180"/>
      <c r="AD362" s="180"/>
      <c r="AE362" s="514"/>
      <c r="AF362" s="17"/>
      <c r="AI362" s="337"/>
      <c r="AM362" s="337"/>
      <c r="AQ362" s="337"/>
    </row>
    <row r="363" spans="2:43">
      <c r="B363" s="541"/>
      <c r="D363" s="337"/>
      <c r="G363" s="337"/>
      <c r="K363" s="337"/>
      <c r="O363" s="337"/>
      <c r="S363" s="337"/>
      <c r="T363" s="14"/>
      <c r="W363" s="337"/>
      <c r="X363" s="513"/>
      <c r="AA363" s="337"/>
      <c r="AB363" s="17"/>
      <c r="AC363" s="180"/>
      <c r="AD363" s="180"/>
      <c r="AE363" s="514"/>
      <c r="AF363" s="17"/>
      <c r="AI363" s="337"/>
      <c r="AM363" s="337"/>
      <c r="AQ363" s="337"/>
    </row>
    <row r="364" spans="2:43">
      <c r="B364" s="541"/>
      <c r="D364" s="337"/>
      <c r="G364" s="337"/>
      <c r="K364" s="337"/>
      <c r="O364" s="337"/>
      <c r="S364" s="337"/>
      <c r="T364" s="14"/>
      <c r="W364" s="337"/>
      <c r="X364" s="513"/>
      <c r="AA364" s="337"/>
      <c r="AB364" s="17"/>
      <c r="AC364" s="180"/>
      <c r="AD364" s="180"/>
      <c r="AE364" s="514"/>
      <c r="AF364" s="17"/>
      <c r="AI364" s="337"/>
      <c r="AM364" s="337"/>
      <c r="AQ364" s="337"/>
    </row>
    <row r="365" spans="2:43">
      <c r="B365" s="541"/>
      <c r="D365" s="337"/>
      <c r="G365" s="337"/>
      <c r="K365" s="337"/>
      <c r="O365" s="337"/>
      <c r="S365" s="337"/>
      <c r="T365" s="14"/>
      <c r="W365" s="337"/>
      <c r="X365" s="513"/>
      <c r="AA365" s="337"/>
      <c r="AB365" s="17"/>
      <c r="AC365" s="180"/>
      <c r="AD365" s="180"/>
      <c r="AE365" s="514"/>
      <c r="AF365" s="17"/>
      <c r="AI365" s="337"/>
      <c r="AM365" s="337"/>
      <c r="AQ365" s="337"/>
    </row>
    <row r="366" spans="2:43">
      <c r="B366" s="541"/>
      <c r="D366" s="337"/>
      <c r="G366" s="337"/>
      <c r="K366" s="337"/>
      <c r="O366" s="337"/>
      <c r="S366" s="337"/>
      <c r="T366" s="14"/>
      <c r="W366" s="337"/>
      <c r="X366" s="513"/>
      <c r="AA366" s="337"/>
      <c r="AB366" s="17"/>
      <c r="AC366" s="180"/>
      <c r="AD366" s="180"/>
      <c r="AE366" s="514"/>
      <c r="AF366" s="17"/>
      <c r="AI366" s="337"/>
      <c r="AM366" s="337"/>
      <c r="AQ366" s="337"/>
    </row>
    <row r="367" spans="2:43">
      <c r="B367" s="541"/>
      <c r="D367" s="337"/>
      <c r="G367" s="337"/>
      <c r="K367" s="337"/>
      <c r="O367" s="337"/>
      <c r="S367" s="337"/>
      <c r="T367" s="14"/>
      <c r="W367" s="337"/>
      <c r="X367" s="513"/>
      <c r="AA367" s="337"/>
      <c r="AB367" s="17"/>
      <c r="AC367" s="180"/>
      <c r="AD367" s="180"/>
      <c r="AE367" s="514"/>
      <c r="AF367" s="17"/>
      <c r="AI367" s="337"/>
      <c r="AM367" s="337"/>
      <c r="AQ367" s="337"/>
    </row>
    <row r="368" spans="2:43">
      <c r="B368" s="541"/>
      <c r="D368" s="337"/>
      <c r="G368" s="337"/>
      <c r="K368" s="337"/>
      <c r="O368" s="337"/>
      <c r="S368" s="337"/>
      <c r="T368" s="14"/>
      <c r="W368" s="337"/>
      <c r="X368" s="513"/>
      <c r="AA368" s="337"/>
      <c r="AB368" s="17"/>
      <c r="AC368" s="180"/>
      <c r="AD368" s="180"/>
      <c r="AE368" s="514"/>
      <c r="AF368" s="17"/>
      <c r="AI368" s="337"/>
      <c r="AM368" s="337"/>
      <c r="AQ368" s="337"/>
    </row>
    <row r="369" spans="2:43">
      <c r="B369" s="541"/>
      <c r="D369" s="337"/>
      <c r="G369" s="337"/>
      <c r="K369" s="337"/>
      <c r="O369" s="337"/>
      <c r="S369" s="337"/>
      <c r="T369" s="14"/>
      <c r="W369" s="337"/>
      <c r="X369" s="513"/>
      <c r="AA369" s="337"/>
      <c r="AB369" s="17"/>
      <c r="AC369" s="180"/>
      <c r="AD369" s="180"/>
      <c r="AE369" s="514"/>
      <c r="AF369" s="17"/>
      <c r="AI369" s="337"/>
      <c r="AM369" s="337"/>
      <c r="AQ369" s="337"/>
    </row>
    <row r="370" spans="2:43">
      <c r="B370" s="541"/>
      <c r="D370" s="337"/>
      <c r="G370" s="337"/>
      <c r="K370" s="337"/>
      <c r="O370" s="337"/>
      <c r="S370" s="337"/>
      <c r="T370" s="14"/>
      <c r="W370" s="337"/>
      <c r="X370" s="513"/>
      <c r="AA370" s="337"/>
      <c r="AB370" s="17"/>
      <c r="AC370" s="180"/>
      <c r="AD370" s="180"/>
      <c r="AE370" s="514"/>
      <c r="AF370" s="17"/>
      <c r="AI370" s="337"/>
      <c r="AM370" s="337"/>
      <c r="AQ370" s="337"/>
    </row>
    <row r="371" spans="2:43">
      <c r="B371" s="541"/>
      <c r="D371" s="337"/>
      <c r="G371" s="337"/>
      <c r="K371" s="337"/>
      <c r="O371" s="337"/>
      <c r="S371" s="337"/>
      <c r="T371" s="14"/>
      <c r="W371" s="337"/>
      <c r="X371" s="513"/>
      <c r="AA371" s="337"/>
      <c r="AB371" s="17"/>
      <c r="AC371" s="180"/>
      <c r="AD371" s="180"/>
      <c r="AE371" s="514"/>
      <c r="AF371" s="17"/>
      <c r="AI371" s="337"/>
      <c r="AM371" s="337"/>
      <c r="AQ371" s="337"/>
    </row>
    <row r="372" spans="2:43">
      <c r="B372" s="541"/>
      <c r="D372" s="337"/>
      <c r="G372" s="337"/>
      <c r="K372" s="337"/>
      <c r="O372" s="337"/>
      <c r="S372" s="337"/>
      <c r="T372" s="14"/>
      <c r="W372" s="337"/>
      <c r="X372" s="513"/>
      <c r="AA372" s="337"/>
      <c r="AB372" s="17"/>
      <c r="AC372" s="180"/>
      <c r="AD372" s="180"/>
      <c r="AE372" s="514"/>
      <c r="AF372" s="17"/>
      <c r="AI372" s="337"/>
      <c r="AM372" s="337"/>
      <c r="AQ372" s="337"/>
    </row>
    <row r="373" spans="2:43">
      <c r="B373" s="541"/>
      <c r="D373" s="337"/>
      <c r="G373" s="337"/>
      <c r="K373" s="337"/>
      <c r="O373" s="337"/>
      <c r="S373" s="337"/>
      <c r="T373" s="14"/>
      <c r="W373" s="337"/>
      <c r="X373" s="513"/>
      <c r="AA373" s="337"/>
      <c r="AB373" s="17"/>
      <c r="AC373" s="180"/>
      <c r="AD373" s="180"/>
      <c r="AE373" s="514"/>
      <c r="AF373" s="17"/>
      <c r="AI373" s="337"/>
      <c r="AM373" s="337"/>
      <c r="AQ373" s="337"/>
    </row>
    <row r="374" spans="2:43">
      <c r="B374" s="541"/>
      <c r="D374" s="337"/>
      <c r="G374" s="337"/>
      <c r="K374" s="337"/>
      <c r="O374" s="337"/>
      <c r="S374" s="337"/>
      <c r="T374" s="14"/>
      <c r="W374" s="337"/>
      <c r="X374" s="513"/>
      <c r="AA374" s="337"/>
      <c r="AB374" s="17"/>
      <c r="AC374" s="180"/>
      <c r="AD374" s="180"/>
      <c r="AE374" s="514"/>
      <c r="AF374" s="17"/>
      <c r="AI374" s="337"/>
      <c r="AM374" s="337"/>
      <c r="AQ374" s="337"/>
    </row>
    <row r="375" spans="2:43">
      <c r="B375" s="541"/>
      <c r="D375" s="337"/>
      <c r="G375" s="337"/>
      <c r="K375" s="337"/>
      <c r="O375" s="337"/>
      <c r="S375" s="337"/>
      <c r="T375" s="14"/>
      <c r="W375" s="337"/>
      <c r="X375" s="513"/>
      <c r="AA375" s="337"/>
      <c r="AB375" s="17"/>
      <c r="AC375" s="180"/>
      <c r="AD375" s="180"/>
      <c r="AE375" s="514"/>
      <c r="AF375" s="17"/>
      <c r="AI375" s="337"/>
      <c r="AM375" s="337"/>
      <c r="AQ375" s="337"/>
    </row>
    <row r="376" spans="2:43">
      <c r="B376" s="541"/>
      <c r="D376" s="337"/>
      <c r="G376" s="337"/>
      <c r="K376" s="337"/>
      <c r="O376" s="337"/>
      <c r="S376" s="337"/>
      <c r="T376" s="14"/>
      <c r="W376" s="337"/>
      <c r="X376" s="513"/>
      <c r="AA376" s="337"/>
      <c r="AB376" s="17"/>
      <c r="AC376" s="180"/>
      <c r="AD376" s="180"/>
      <c r="AE376" s="514"/>
      <c r="AF376" s="17"/>
      <c r="AI376" s="337"/>
      <c r="AM376" s="337"/>
      <c r="AQ376" s="337"/>
    </row>
    <row r="377" spans="2:43">
      <c r="B377" s="541"/>
      <c r="D377" s="337"/>
      <c r="G377" s="337"/>
      <c r="K377" s="337"/>
      <c r="O377" s="337"/>
      <c r="S377" s="337"/>
      <c r="T377" s="14"/>
      <c r="W377" s="337"/>
      <c r="X377" s="513"/>
      <c r="AA377" s="337"/>
      <c r="AB377" s="17"/>
      <c r="AC377" s="180"/>
      <c r="AD377" s="180"/>
      <c r="AE377" s="514"/>
      <c r="AF377" s="17"/>
      <c r="AI377" s="337"/>
      <c r="AM377" s="337"/>
      <c r="AQ377" s="337"/>
    </row>
    <row r="378" spans="2:43">
      <c r="B378" s="541"/>
      <c r="D378" s="337"/>
      <c r="G378" s="337"/>
      <c r="K378" s="337"/>
      <c r="O378" s="337"/>
      <c r="S378" s="337"/>
      <c r="T378" s="14"/>
      <c r="W378" s="337"/>
      <c r="X378" s="513"/>
      <c r="AA378" s="337"/>
      <c r="AB378" s="17"/>
      <c r="AC378" s="180"/>
      <c r="AD378" s="180"/>
      <c r="AE378" s="514"/>
      <c r="AF378" s="17"/>
      <c r="AI378" s="337"/>
      <c r="AM378" s="337"/>
      <c r="AQ378" s="337"/>
    </row>
    <row r="379" spans="2:43">
      <c r="B379" s="541"/>
      <c r="D379" s="337"/>
      <c r="G379" s="337"/>
      <c r="K379" s="337"/>
      <c r="O379" s="337"/>
      <c r="S379" s="337"/>
      <c r="T379" s="14"/>
      <c r="W379" s="337"/>
      <c r="X379" s="513"/>
      <c r="AA379" s="337"/>
      <c r="AB379" s="17"/>
      <c r="AC379" s="180"/>
      <c r="AD379" s="180"/>
      <c r="AE379" s="514"/>
      <c r="AF379" s="17"/>
      <c r="AI379" s="337"/>
      <c r="AM379" s="337"/>
      <c r="AQ379" s="337"/>
    </row>
    <row r="380" spans="2:43">
      <c r="B380" s="541"/>
      <c r="D380" s="337"/>
      <c r="G380" s="337"/>
      <c r="K380" s="337"/>
      <c r="O380" s="337"/>
      <c r="S380" s="337"/>
      <c r="T380" s="14"/>
      <c r="W380" s="337"/>
      <c r="X380" s="513"/>
      <c r="AA380" s="337"/>
      <c r="AB380" s="17"/>
      <c r="AC380" s="180"/>
      <c r="AD380" s="180"/>
      <c r="AE380" s="514"/>
      <c r="AF380" s="17"/>
      <c r="AI380" s="337"/>
      <c r="AM380" s="337"/>
      <c r="AQ380" s="337"/>
    </row>
    <row r="381" spans="2:43">
      <c r="B381" s="541"/>
      <c r="D381" s="337"/>
      <c r="G381" s="337"/>
      <c r="K381" s="337"/>
      <c r="O381" s="337"/>
      <c r="S381" s="337"/>
      <c r="T381" s="14"/>
      <c r="W381" s="337"/>
      <c r="X381" s="513"/>
      <c r="AA381" s="337"/>
      <c r="AB381" s="17"/>
      <c r="AC381" s="180"/>
      <c r="AD381" s="180"/>
      <c r="AE381" s="514"/>
      <c r="AF381" s="17"/>
      <c r="AI381" s="337"/>
      <c r="AM381" s="337"/>
      <c r="AQ381" s="337"/>
    </row>
    <row r="382" spans="2:43">
      <c r="B382" s="541"/>
      <c r="D382" s="337"/>
      <c r="G382" s="337"/>
      <c r="K382" s="337"/>
      <c r="O382" s="337"/>
      <c r="S382" s="337"/>
      <c r="T382" s="14"/>
      <c r="W382" s="337"/>
      <c r="X382" s="513"/>
      <c r="AA382" s="337"/>
      <c r="AB382" s="17"/>
      <c r="AC382" s="180"/>
      <c r="AD382" s="180"/>
      <c r="AE382" s="514"/>
      <c r="AF382" s="17"/>
      <c r="AI382" s="337"/>
      <c r="AM382" s="337"/>
      <c r="AQ382" s="337"/>
    </row>
    <row r="383" spans="2:43">
      <c r="B383" s="541"/>
      <c r="D383" s="337"/>
      <c r="G383" s="337"/>
      <c r="K383" s="337"/>
      <c r="O383" s="337"/>
      <c r="S383" s="337"/>
      <c r="T383" s="14"/>
      <c r="W383" s="337"/>
      <c r="X383" s="513"/>
      <c r="AA383" s="337"/>
      <c r="AB383" s="17"/>
      <c r="AC383" s="180"/>
      <c r="AD383" s="180"/>
      <c r="AE383" s="514"/>
      <c r="AF383" s="17"/>
      <c r="AI383" s="337"/>
      <c r="AM383" s="337"/>
      <c r="AQ383" s="337"/>
    </row>
    <row r="384" spans="2:43">
      <c r="B384" s="541"/>
      <c r="D384" s="337"/>
      <c r="G384" s="337"/>
      <c r="K384" s="337"/>
      <c r="O384" s="337"/>
      <c r="S384" s="337"/>
      <c r="T384" s="14"/>
      <c r="W384" s="337"/>
      <c r="X384" s="513"/>
      <c r="AA384" s="337"/>
      <c r="AB384" s="17"/>
      <c r="AC384" s="180"/>
      <c r="AD384" s="180"/>
      <c r="AE384" s="514"/>
      <c r="AF384" s="17"/>
      <c r="AI384" s="337"/>
      <c r="AM384" s="337"/>
      <c r="AQ384" s="337"/>
    </row>
    <row r="385" spans="2:43">
      <c r="B385" s="541"/>
      <c r="D385" s="337"/>
      <c r="G385" s="337"/>
      <c r="K385" s="337"/>
      <c r="O385" s="337"/>
      <c r="S385" s="337"/>
      <c r="T385" s="14"/>
      <c r="W385" s="337"/>
      <c r="X385" s="513"/>
      <c r="AA385" s="337"/>
      <c r="AB385" s="17"/>
      <c r="AC385" s="180"/>
      <c r="AD385" s="180"/>
      <c r="AE385" s="514"/>
      <c r="AF385" s="17"/>
      <c r="AI385" s="337"/>
      <c r="AM385" s="337"/>
      <c r="AQ385" s="337"/>
    </row>
    <row r="386" spans="2:43">
      <c r="B386" s="541"/>
      <c r="D386" s="337"/>
      <c r="G386" s="337"/>
      <c r="K386" s="337"/>
      <c r="O386" s="337"/>
      <c r="S386" s="337"/>
      <c r="T386" s="14"/>
      <c r="W386" s="337"/>
      <c r="X386" s="513"/>
      <c r="AA386" s="337"/>
      <c r="AB386" s="17"/>
      <c r="AC386" s="180"/>
      <c r="AD386" s="180"/>
      <c r="AE386" s="514"/>
      <c r="AF386" s="17"/>
      <c r="AI386" s="337"/>
      <c r="AM386" s="337"/>
      <c r="AQ386" s="337"/>
    </row>
    <row r="387" spans="2:43">
      <c r="B387" s="541"/>
      <c r="D387" s="337"/>
      <c r="G387" s="337"/>
      <c r="K387" s="337"/>
      <c r="O387" s="337"/>
      <c r="S387" s="337"/>
      <c r="T387" s="14"/>
      <c r="W387" s="337"/>
      <c r="X387" s="513"/>
      <c r="AA387" s="337"/>
      <c r="AB387" s="17"/>
      <c r="AC387" s="180"/>
      <c r="AD387" s="180"/>
      <c r="AE387" s="514"/>
      <c r="AF387" s="17"/>
      <c r="AI387" s="337"/>
      <c r="AM387" s="337"/>
      <c r="AQ387" s="337"/>
    </row>
    <row r="388" spans="2:43">
      <c r="B388" s="541"/>
      <c r="D388" s="337"/>
      <c r="G388" s="337"/>
      <c r="K388" s="337"/>
      <c r="O388" s="337"/>
      <c r="S388" s="337"/>
      <c r="T388" s="14"/>
      <c r="W388" s="337"/>
      <c r="X388" s="513"/>
      <c r="AA388" s="337"/>
      <c r="AB388" s="17"/>
      <c r="AC388" s="180"/>
      <c r="AD388" s="180"/>
      <c r="AE388" s="514"/>
      <c r="AF388" s="17"/>
      <c r="AI388" s="337"/>
      <c r="AM388" s="337"/>
      <c r="AQ388" s="337"/>
    </row>
    <row r="389" spans="2:43">
      <c r="B389" s="541"/>
      <c r="D389" s="337"/>
      <c r="G389" s="337"/>
      <c r="K389" s="337"/>
      <c r="O389" s="337"/>
      <c r="S389" s="337"/>
      <c r="T389" s="14"/>
      <c r="W389" s="337"/>
      <c r="X389" s="513"/>
      <c r="AA389" s="337"/>
      <c r="AB389" s="17"/>
      <c r="AC389" s="180"/>
      <c r="AD389" s="180"/>
      <c r="AE389" s="514"/>
      <c r="AF389" s="17"/>
      <c r="AI389" s="337"/>
      <c r="AM389" s="337"/>
      <c r="AQ389" s="337"/>
    </row>
    <row r="390" spans="2:43">
      <c r="B390" s="541"/>
      <c r="D390" s="337"/>
      <c r="G390" s="337"/>
      <c r="K390" s="337"/>
      <c r="O390" s="337"/>
      <c r="S390" s="337"/>
      <c r="T390" s="14"/>
      <c r="W390" s="337"/>
      <c r="X390" s="513"/>
      <c r="AA390" s="337"/>
      <c r="AB390" s="17"/>
      <c r="AC390" s="180"/>
      <c r="AD390" s="180"/>
      <c r="AE390" s="514"/>
      <c r="AF390" s="17"/>
      <c r="AI390" s="337"/>
      <c r="AM390" s="337"/>
      <c r="AQ390" s="337"/>
    </row>
    <row r="391" spans="2:43">
      <c r="B391" s="541"/>
      <c r="D391" s="337"/>
      <c r="G391" s="337"/>
      <c r="K391" s="337"/>
      <c r="O391" s="337"/>
      <c r="S391" s="337"/>
      <c r="T391" s="14"/>
      <c r="W391" s="337"/>
      <c r="X391" s="513"/>
      <c r="AA391" s="337"/>
      <c r="AB391" s="17"/>
      <c r="AC391" s="180"/>
      <c r="AD391" s="180"/>
      <c r="AE391" s="514"/>
      <c r="AF391" s="17"/>
      <c r="AI391" s="337"/>
      <c r="AM391" s="337"/>
      <c r="AQ391" s="337"/>
    </row>
    <row r="392" spans="2:43">
      <c r="B392" s="541"/>
      <c r="D392" s="337"/>
      <c r="G392" s="337"/>
      <c r="K392" s="337"/>
      <c r="O392" s="337"/>
      <c r="S392" s="337"/>
      <c r="T392" s="14"/>
      <c r="W392" s="337"/>
      <c r="X392" s="513"/>
      <c r="AA392" s="337"/>
      <c r="AB392" s="17"/>
      <c r="AC392" s="180"/>
      <c r="AD392" s="180"/>
      <c r="AE392" s="514"/>
      <c r="AF392" s="17"/>
      <c r="AI392" s="337"/>
      <c r="AM392" s="337"/>
      <c r="AQ392" s="337"/>
    </row>
    <row r="393" spans="2:43">
      <c r="B393" s="541"/>
      <c r="D393" s="337"/>
      <c r="G393" s="337"/>
      <c r="K393" s="337"/>
      <c r="O393" s="337"/>
      <c r="S393" s="337"/>
      <c r="T393" s="14"/>
      <c r="W393" s="337"/>
      <c r="X393" s="513"/>
      <c r="AA393" s="337"/>
      <c r="AB393" s="17"/>
      <c r="AC393" s="180"/>
      <c r="AD393" s="180"/>
      <c r="AE393" s="514"/>
      <c r="AF393" s="17"/>
      <c r="AI393" s="337"/>
      <c r="AM393" s="337"/>
      <c r="AQ393" s="337"/>
    </row>
    <row r="394" spans="2:43">
      <c r="B394" s="541"/>
      <c r="D394" s="337"/>
      <c r="G394" s="337"/>
      <c r="K394" s="337"/>
      <c r="O394" s="337"/>
      <c r="S394" s="337"/>
      <c r="T394" s="14"/>
      <c r="W394" s="337"/>
      <c r="X394" s="513"/>
      <c r="AA394" s="337"/>
      <c r="AB394" s="17"/>
      <c r="AC394" s="180"/>
      <c r="AD394" s="180"/>
      <c r="AE394" s="514"/>
      <c r="AF394" s="17"/>
      <c r="AI394" s="337"/>
      <c r="AM394" s="337"/>
      <c r="AQ394" s="337"/>
    </row>
    <row r="395" spans="2:43">
      <c r="B395" s="541"/>
      <c r="D395" s="337"/>
      <c r="G395" s="337"/>
      <c r="K395" s="337"/>
      <c r="O395" s="337"/>
      <c r="S395" s="337"/>
      <c r="T395" s="14"/>
      <c r="W395" s="337"/>
      <c r="X395" s="513"/>
      <c r="AA395" s="337"/>
      <c r="AB395" s="17"/>
      <c r="AC395" s="180"/>
      <c r="AD395" s="180"/>
      <c r="AE395" s="514"/>
      <c r="AF395" s="17"/>
      <c r="AI395" s="337"/>
      <c r="AM395" s="337"/>
      <c r="AQ395" s="337"/>
    </row>
    <row r="396" spans="2:43">
      <c r="B396" s="541"/>
      <c r="D396" s="337"/>
      <c r="G396" s="337"/>
      <c r="K396" s="337"/>
      <c r="O396" s="337"/>
      <c r="S396" s="337"/>
      <c r="T396" s="14"/>
      <c r="W396" s="337"/>
      <c r="X396" s="513"/>
      <c r="AA396" s="337"/>
      <c r="AB396" s="17"/>
      <c r="AC396" s="180"/>
      <c r="AD396" s="180"/>
      <c r="AE396" s="514"/>
      <c r="AF396" s="17"/>
      <c r="AI396" s="337"/>
      <c r="AM396" s="337"/>
      <c r="AQ396" s="337"/>
    </row>
    <row r="397" spans="2:43">
      <c r="B397" s="541"/>
      <c r="D397" s="337"/>
      <c r="G397" s="337"/>
      <c r="K397" s="337"/>
      <c r="O397" s="337"/>
      <c r="S397" s="337"/>
      <c r="T397" s="14"/>
      <c r="W397" s="337"/>
      <c r="X397" s="513"/>
      <c r="AA397" s="337"/>
      <c r="AB397" s="17"/>
      <c r="AC397" s="180"/>
      <c r="AD397" s="180"/>
      <c r="AE397" s="514"/>
      <c r="AF397" s="17"/>
      <c r="AI397" s="337"/>
      <c r="AM397" s="337"/>
      <c r="AQ397" s="337"/>
    </row>
    <row r="398" spans="2:43">
      <c r="B398" s="541"/>
      <c r="D398" s="337"/>
      <c r="G398" s="337"/>
      <c r="K398" s="337"/>
      <c r="O398" s="337"/>
      <c r="S398" s="337"/>
      <c r="T398" s="14"/>
      <c r="W398" s="337"/>
      <c r="X398" s="513"/>
      <c r="AA398" s="337"/>
      <c r="AB398" s="17"/>
      <c r="AC398" s="180"/>
      <c r="AD398" s="180"/>
      <c r="AE398" s="514"/>
      <c r="AF398" s="17"/>
      <c r="AI398" s="337"/>
      <c r="AM398" s="337"/>
      <c r="AQ398" s="337"/>
    </row>
    <row r="399" spans="2:43">
      <c r="B399" s="541"/>
      <c r="D399" s="337"/>
      <c r="G399" s="337"/>
      <c r="K399" s="337"/>
      <c r="O399" s="337"/>
      <c r="S399" s="337"/>
      <c r="T399" s="14"/>
      <c r="W399" s="337"/>
      <c r="X399" s="513"/>
      <c r="AA399" s="337"/>
      <c r="AB399" s="17"/>
      <c r="AC399" s="180"/>
      <c r="AD399" s="180"/>
      <c r="AE399" s="514"/>
      <c r="AF399" s="17"/>
      <c r="AI399" s="337"/>
      <c r="AM399" s="337"/>
      <c r="AQ399" s="337"/>
    </row>
    <row r="400" spans="2:43">
      <c r="B400" s="541"/>
      <c r="D400" s="337"/>
      <c r="G400" s="337"/>
      <c r="K400" s="337"/>
      <c r="O400" s="337"/>
      <c r="S400" s="337"/>
      <c r="T400" s="14"/>
      <c r="W400" s="337"/>
      <c r="X400" s="513"/>
      <c r="AA400" s="337"/>
      <c r="AB400" s="17"/>
      <c r="AC400" s="180"/>
      <c r="AD400" s="180"/>
      <c r="AE400" s="514"/>
      <c r="AF400" s="17"/>
      <c r="AI400" s="337"/>
      <c r="AM400" s="337"/>
      <c r="AQ400" s="337"/>
    </row>
    <row r="401" spans="2:43">
      <c r="B401" s="541"/>
      <c r="D401" s="337"/>
      <c r="G401" s="337"/>
      <c r="K401" s="337"/>
      <c r="O401" s="337"/>
      <c r="S401" s="337"/>
      <c r="T401" s="14"/>
      <c r="W401" s="337"/>
      <c r="X401" s="513"/>
      <c r="AA401" s="337"/>
      <c r="AB401" s="17"/>
      <c r="AC401" s="180"/>
      <c r="AD401" s="180"/>
      <c r="AE401" s="514"/>
      <c r="AF401" s="17"/>
      <c r="AI401" s="337"/>
      <c r="AM401" s="337"/>
      <c r="AQ401" s="337"/>
    </row>
    <row r="402" spans="2:43">
      <c r="B402" s="541"/>
      <c r="D402" s="337"/>
      <c r="G402" s="337"/>
      <c r="K402" s="337"/>
      <c r="O402" s="337"/>
      <c r="S402" s="337"/>
      <c r="T402" s="14"/>
      <c r="W402" s="337"/>
      <c r="X402" s="513"/>
      <c r="AA402" s="337"/>
      <c r="AB402" s="17"/>
      <c r="AC402" s="180"/>
      <c r="AD402" s="180"/>
      <c r="AE402" s="514"/>
      <c r="AF402" s="17"/>
      <c r="AI402" s="337"/>
      <c r="AM402" s="337"/>
      <c r="AQ402" s="337"/>
    </row>
    <row r="403" spans="2:43">
      <c r="B403" s="541"/>
      <c r="D403" s="337"/>
      <c r="G403" s="337"/>
      <c r="K403" s="337"/>
      <c r="O403" s="337"/>
      <c r="S403" s="337"/>
      <c r="T403" s="14"/>
      <c r="W403" s="337"/>
      <c r="X403" s="513"/>
      <c r="AA403" s="337"/>
      <c r="AB403" s="17"/>
      <c r="AC403" s="180"/>
      <c r="AD403" s="180"/>
      <c r="AE403" s="514"/>
      <c r="AF403" s="17"/>
      <c r="AI403" s="337"/>
      <c r="AM403" s="337"/>
      <c r="AQ403" s="337"/>
    </row>
    <row r="404" spans="2:43">
      <c r="B404" s="541"/>
      <c r="D404" s="337"/>
      <c r="G404" s="337"/>
      <c r="K404" s="337"/>
      <c r="O404" s="337"/>
      <c r="S404" s="337"/>
      <c r="T404" s="14"/>
      <c r="W404" s="337"/>
      <c r="X404" s="513"/>
      <c r="AA404" s="337"/>
      <c r="AB404" s="17"/>
      <c r="AC404" s="180"/>
      <c r="AD404" s="180"/>
      <c r="AE404" s="514"/>
      <c r="AF404" s="17"/>
      <c r="AI404" s="337"/>
      <c r="AM404" s="337"/>
      <c r="AQ404" s="337"/>
    </row>
    <row r="405" spans="2:43">
      <c r="B405" s="541"/>
      <c r="D405" s="337"/>
      <c r="G405" s="337"/>
      <c r="K405" s="337"/>
      <c r="O405" s="337"/>
      <c r="S405" s="337"/>
      <c r="T405" s="14"/>
      <c r="W405" s="337"/>
      <c r="X405" s="513"/>
      <c r="AA405" s="337"/>
      <c r="AB405" s="17"/>
      <c r="AC405" s="180"/>
      <c r="AD405" s="180"/>
      <c r="AE405" s="514"/>
      <c r="AF405" s="17"/>
      <c r="AI405" s="337"/>
      <c r="AM405" s="337"/>
      <c r="AQ405" s="337"/>
    </row>
    <row r="406" spans="2:43">
      <c r="B406" s="541"/>
      <c r="D406" s="337"/>
      <c r="G406" s="337"/>
      <c r="K406" s="337"/>
      <c r="O406" s="337"/>
      <c r="S406" s="337"/>
      <c r="T406" s="14"/>
      <c r="W406" s="337"/>
      <c r="X406" s="513"/>
      <c r="AA406" s="337"/>
      <c r="AB406" s="17"/>
      <c r="AC406" s="180"/>
      <c r="AD406" s="180"/>
      <c r="AE406" s="514"/>
      <c r="AF406" s="17"/>
      <c r="AI406" s="337"/>
      <c r="AM406" s="337"/>
      <c r="AQ406" s="337"/>
    </row>
    <row r="407" spans="2:43">
      <c r="B407" s="541"/>
      <c r="D407" s="337"/>
      <c r="G407" s="337"/>
      <c r="K407" s="337"/>
      <c r="O407" s="337"/>
      <c r="S407" s="337"/>
      <c r="T407" s="14"/>
      <c r="W407" s="337"/>
      <c r="X407" s="513"/>
      <c r="AA407" s="337"/>
      <c r="AB407" s="17"/>
      <c r="AC407" s="180"/>
      <c r="AD407" s="180"/>
      <c r="AE407" s="514"/>
      <c r="AF407" s="17"/>
      <c r="AI407" s="337"/>
      <c r="AM407" s="337"/>
      <c r="AQ407" s="337"/>
    </row>
    <row r="408" spans="2:43">
      <c r="B408" s="541"/>
      <c r="D408" s="337"/>
      <c r="G408" s="337"/>
      <c r="K408" s="337"/>
      <c r="O408" s="337"/>
      <c r="S408" s="337"/>
      <c r="T408" s="14"/>
      <c r="W408" s="337"/>
      <c r="X408" s="513"/>
      <c r="AA408" s="337"/>
      <c r="AB408" s="17"/>
      <c r="AC408" s="180"/>
      <c r="AD408" s="180"/>
      <c r="AE408" s="514"/>
      <c r="AF408" s="17"/>
      <c r="AI408" s="337"/>
      <c r="AM408" s="337"/>
      <c r="AQ408" s="337"/>
    </row>
    <row r="409" spans="2:43">
      <c r="B409" s="541"/>
      <c r="D409" s="337"/>
      <c r="G409" s="337"/>
      <c r="K409" s="337"/>
      <c r="O409" s="337"/>
      <c r="S409" s="337"/>
      <c r="T409" s="14"/>
      <c r="W409" s="337"/>
      <c r="X409" s="513"/>
      <c r="AA409" s="337"/>
      <c r="AB409" s="17"/>
      <c r="AC409" s="180"/>
      <c r="AD409" s="180"/>
      <c r="AE409" s="514"/>
      <c r="AF409" s="17"/>
      <c r="AI409" s="337"/>
      <c r="AM409" s="337"/>
      <c r="AQ409" s="337"/>
    </row>
    <row r="410" spans="2:43">
      <c r="B410" s="541"/>
      <c r="D410" s="337"/>
      <c r="G410" s="337"/>
      <c r="K410" s="337"/>
      <c r="O410" s="337"/>
      <c r="S410" s="337"/>
      <c r="T410" s="14"/>
      <c r="W410" s="337"/>
      <c r="X410" s="513"/>
      <c r="AA410" s="337"/>
      <c r="AB410" s="17"/>
      <c r="AC410" s="180"/>
      <c r="AD410" s="180"/>
      <c r="AE410" s="514"/>
      <c r="AF410" s="17"/>
      <c r="AI410" s="337"/>
      <c r="AM410" s="337"/>
      <c r="AQ410" s="337"/>
    </row>
    <row r="411" spans="2:43">
      <c r="B411" s="541"/>
      <c r="D411" s="337"/>
      <c r="G411" s="337"/>
      <c r="K411" s="337"/>
      <c r="O411" s="337"/>
      <c r="S411" s="337"/>
      <c r="T411" s="14"/>
      <c r="W411" s="337"/>
      <c r="X411" s="513"/>
      <c r="AA411" s="337"/>
      <c r="AB411" s="17"/>
      <c r="AC411" s="180"/>
      <c r="AD411" s="180"/>
      <c r="AE411" s="514"/>
      <c r="AF411" s="17"/>
      <c r="AI411" s="337"/>
      <c r="AM411" s="337"/>
      <c r="AQ411" s="337"/>
    </row>
    <row r="412" spans="2:43">
      <c r="B412" s="541"/>
      <c r="D412" s="337"/>
      <c r="G412" s="337"/>
      <c r="K412" s="337"/>
      <c r="O412" s="337"/>
      <c r="S412" s="337"/>
      <c r="T412" s="14"/>
      <c r="W412" s="337"/>
      <c r="X412" s="513"/>
      <c r="AA412" s="337"/>
      <c r="AB412" s="17"/>
      <c r="AC412" s="180"/>
      <c r="AD412" s="180"/>
      <c r="AE412" s="514"/>
      <c r="AF412" s="17"/>
      <c r="AI412" s="337"/>
      <c r="AM412" s="337"/>
      <c r="AQ412" s="337"/>
    </row>
    <row r="413" spans="2:43">
      <c r="B413" s="541"/>
      <c r="D413" s="337"/>
      <c r="G413" s="337"/>
      <c r="K413" s="337"/>
      <c r="O413" s="337"/>
      <c r="S413" s="337"/>
      <c r="T413" s="14"/>
      <c r="W413" s="337"/>
      <c r="X413" s="513"/>
      <c r="AA413" s="337"/>
      <c r="AB413" s="17"/>
      <c r="AC413" s="180"/>
      <c r="AD413" s="180"/>
      <c r="AE413" s="514"/>
      <c r="AF413" s="17"/>
      <c r="AI413" s="337"/>
      <c r="AM413" s="337"/>
      <c r="AQ413" s="337"/>
    </row>
    <row r="414" spans="2:43">
      <c r="B414" s="541"/>
      <c r="D414" s="337"/>
      <c r="G414" s="337"/>
      <c r="K414" s="337"/>
      <c r="O414" s="337"/>
      <c r="S414" s="337"/>
      <c r="T414" s="14"/>
      <c r="W414" s="337"/>
      <c r="X414" s="513"/>
      <c r="AA414" s="337"/>
      <c r="AB414" s="17"/>
      <c r="AC414" s="180"/>
      <c r="AD414" s="180"/>
      <c r="AE414" s="514"/>
      <c r="AF414" s="17"/>
      <c r="AI414" s="337"/>
      <c r="AM414" s="337"/>
      <c r="AQ414" s="337"/>
    </row>
    <row r="415" spans="2:43">
      <c r="B415" s="541"/>
      <c r="D415" s="337"/>
      <c r="G415" s="337"/>
      <c r="K415" s="337"/>
      <c r="O415" s="337"/>
      <c r="S415" s="337"/>
      <c r="T415" s="14"/>
      <c r="W415" s="337"/>
      <c r="X415" s="513"/>
      <c r="AA415" s="337"/>
      <c r="AB415" s="17"/>
      <c r="AC415" s="180"/>
      <c r="AD415" s="180"/>
      <c r="AE415" s="514"/>
      <c r="AF415" s="17"/>
      <c r="AI415" s="337"/>
      <c r="AM415" s="337"/>
      <c r="AQ415" s="337"/>
    </row>
    <row r="416" spans="2:43">
      <c r="B416" s="541"/>
      <c r="D416" s="337"/>
      <c r="G416" s="337"/>
      <c r="K416" s="337"/>
      <c r="O416" s="337"/>
      <c r="S416" s="337"/>
      <c r="T416" s="14"/>
      <c r="W416" s="337"/>
      <c r="X416" s="513"/>
      <c r="AA416" s="337"/>
      <c r="AB416" s="17"/>
      <c r="AC416" s="180"/>
      <c r="AD416" s="180"/>
      <c r="AE416" s="514"/>
      <c r="AF416" s="17"/>
      <c r="AI416" s="337"/>
      <c r="AM416" s="337"/>
      <c r="AQ416" s="337"/>
    </row>
    <row r="417" spans="2:43">
      <c r="B417" s="541"/>
      <c r="D417" s="337"/>
      <c r="G417" s="337"/>
      <c r="K417" s="337"/>
      <c r="O417" s="337"/>
      <c r="S417" s="337"/>
      <c r="T417" s="14"/>
      <c r="W417" s="337"/>
      <c r="X417" s="513"/>
      <c r="AA417" s="337"/>
      <c r="AB417" s="17"/>
      <c r="AC417" s="180"/>
      <c r="AD417" s="180"/>
      <c r="AE417" s="514"/>
      <c r="AF417" s="17"/>
      <c r="AI417" s="337"/>
      <c r="AM417" s="337"/>
      <c r="AQ417" s="337"/>
    </row>
    <row r="418" spans="2:43">
      <c r="B418" s="541"/>
      <c r="D418" s="337"/>
      <c r="G418" s="337"/>
      <c r="K418" s="337"/>
      <c r="O418" s="337"/>
      <c r="S418" s="337"/>
      <c r="T418" s="14"/>
      <c r="W418" s="337"/>
      <c r="X418" s="513"/>
      <c r="AA418" s="337"/>
      <c r="AB418" s="17"/>
      <c r="AC418" s="180"/>
      <c r="AD418" s="180"/>
      <c r="AE418" s="514"/>
      <c r="AF418" s="17"/>
      <c r="AI418" s="337"/>
      <c r="AM418" s="337"/>
      <c r="AQ418" s="337"/>
    </row>
    <row r="419" spans="2:43">
      <c r="B419" s="541"/>
      <c r="D419" s="337"/>
      <c r="G419" s="337"/>
      <c r="K419" s="337"/>
      <c r="O419" s="337"/>
      <c r="S419" s="337"/>
      <c r="T419" s="14"/>
      <c r="W419" s="337"/>
      <c r="X419" s="513"/>
      <c r="AA419" s="337"/>
      <c r="AB419" s="17"/>
      <c r="AC419" s="180"/>
      <c r="AD419" s="180"/>
      <c r="AE419" s="514"/>
      <c r="AF419" s="17"/>
      <c r="AI419" s="337"/>
      <c r="AM419" s="337"/>
      <c r="AQ419" s="337"/>
    </row>
    <row r="420" spans="2:43">
      <c r="B420" s="541"/>
      <c r="D420" s="337"/>
      <c r="G420" s="337"/>
      <c r="K420" s="337"/>
      <c r="O420" s="337"/>
      <c r="S420" s="337"/>
      <c r="T420" s="14"/>
      <c r="W420" s="337"/>
      <c r="X420" s="513"/>
      <c r="AA420" s="337"/>
      <c r="AB420" s="17"/>
      <c r="AC420" s="180"/>
      <c r="AD420" s="180"/>
      <c r="AE420" s="514"/>
      <c r="AF420" s="17"/>
      <c r="AI420" s="337"/>
      <c r="AM420" s="337"/>
      <c r="AQ420" s="337"/>
    </row>
    <row r="421" spans="2:43">
      <c r="B421" s="541"/>
      <c r="D421" s="337"/>
      <c r="G421" s="337"/>
      <c r="K421" s="337"/>
      <c r="O421" s="337"/>
      <c r="S421" s="337"/>
      <c r="T421" s="14"/>
      <c r="W421" s="337"/>
      <c r="X421" s="513"/>
      <c r="AA421" s="337"/>
      <c r="AB421" s="17"/>
      <c r="AC421" s="180"/>
      <c r="AD421" s="180"/>
      <c r="AE421" s="514"/>
      <c r="AF421" s="17"/>
      <c r="AI421" s="337"/>
      <c r="AM421" s="337"/>
      <c r="AQ421" s="337"/>
    </row>
    <row r="422" spans="2:43">
      <c r="B422" s="541"/>
      <c r="D422" s="337"/>
      <c r="G422" s="337"/>
      <c r="K422" s="337"/>
      <c r="O422" s="337"/>
      <c r="S422" s="337"/>
      <c r="T422" s="14"/>
      <c r="W422" s="337"/>
      <c r="X422" s="513"/>
      <c r="AA422" s="337"/>
      <c r="AB422" s="17"/>
      <c r="AC422" s="180"/>
      <c r="AD422" s="180"/>
      <c r="AE422" s="514"/>
      <c r="AF422" s="17"/>
      <c r="AI422" s="337"/>
      <c r="AM422" s="337"/>
      <c r="AQ422" s="337"/>
    </row>
    <row r="423" spans="2:43">
      <c r="B423" s="541"/>
      <c r="D423" s="337"/>
      <c r="G423" s="337"/>
      <c r="K423" s="337"/>
      <c r="O423" s="337"/>
      <c r="S423" s="337"/>
      <c r="T423" s="14"/>
      <c r="W423" s="337"/>
      <c r="X423" s="513"/>
      <c r="AA423" s="337"/>
      <c r="AB423" s="17"/>
      <c r="AC423" s="180"/>
      <c r="AD423" s="180"/>
      <c r="AE423" s="514"/>
      <c r="AF423" s="17"/>
      <c r="AI423" s="337"/>
      <c r="AM423" s="337"/>
      <c r="AQ423" s="337"/>
    </row>
    <row r="424" spans="2:43">
      <c r="B424" s="541"/>
      <c r="D424" s="337"/>
      <c r="G424" s="337"/>
      <c r="K424" s="337"/>
      <c r="O424" s="337"/>
      <c r="S424" s="337"/>
      <c r="T424" s="14"/>
      <c r="W424" s="337"/>
      <c r="X424" s="513"/>
      <c r="AA424" s="337"/>
      <c r="AB424" s="17"/>
      <c r="AC424" s="180"/>
      <c r="AD424" s="180"/>
      <c r="AE424" s="514"/>
      <c r="AF424" s="17"/>
      <c r="AI424" s="337"/>
      <c r="AM424" s="337"/>
      <c r="AQ424" s="337"/>
    </row>
    <row r="425" spans="2:43">
      <c r="B425" s="541"/>
      <c r="D425" s="337"/>
      <c r="G425" s="337"/>
      <c r="K425" s="337"/>
      <c r="O425" s="337"/>
      <c r="S425" s="337"/>
      <c r="T425" s="14"/>
      <c r="W425" s="337"/>
      <c r="X425" s="513"/>
      <c r="AA425" s="337"/>
      <c r="AB425" s="17"/>
      <c r="AC425" s="180"/>
      <c r="AD425" s="180"/>
      <c r="AE425" s="514"/>
      <c r="AF425" s="17"/>
      <c r="AI425" s="337"/>
      <c r="AM425" s="337"/>
      <c r="AQ425" s="337"/>
    </row>
    <row r="426" spans="2:43">
      <c r="B426" s="541"/>
      <c r="D426" s="337"/>
      <c r="G426" s="337"/>
      <c r="K426" s="337"/>
      <c r="O426" s="337"/>
      <c r="S426" s="337"/>
      <c r="T426" s="14"/>
      <c r="W426" s="337"/>
      <c r="X426" s="513"/>
      <c r="AA426" s="337"/>
      <c r="AB426" s="17"/>
      <c r="AC426" s="180"/>
      <c r="AD426" s="180"/>
      <c r="AE426" s="514"/>
      <c r="AF426" s="17"/>
      <c r="AI426" s="337"/>
      <c r="AM426" s="337"/>
      <c r="AQ426" s="337"/>
    </row>
    <row r="427" spans="2:43">
      <c r="B427" s="541"/>
      <c r="D427" s="337"/>
      <c r="G427" s="337"/>
      <c r="K427" s="337"/>
      <c r="O427" s="337"/>
      <c r="S427" s="337"/>
      <c r="T427" s="14"/>
      <c r="W427" s="337"/>
      <c r="X427" s="513"/>
      <c r="AA427" s="337"/>
      <c r="AB427" s="17"/>
      <c r="AC427" s="180"/>
      <c r="AD427" s="180"/>
      <c r="AE427" s="514"/>
      <c r="AF427" s="17"/>
      <c r="AI427" s="337"/>
      <c r="AM427" s="337"/>
      <c r="AQ427" s="337"/>
    </row>
    <row r="428" spans="2:43">
      <c r="B428" s="541"/>
      <c r="D428" s="337"/>
      <c r="G428" s="337"/>
      <c r="K428" s="337"/>
      <c r="O428" s="337"/>
      <c r="S428" s="337"/>
      <c r="T428" s="14"/>
      <c r="W428" s="337"/>
      <c r="X428" s="513"/>
      <c r="AA428" s="337"/>
      <c r="AB428" s="17"/>
      <c r="AC428" s="180"/>
      <c r="AD428" s="180"/>
      <c r="AE428" s="514"/>
      <c r="AF428" s="17"/>
      <c r="AI428" s="337"/>
      <c r="AM428" s="337"/>
      <c r="AQ428" s="337"/>
    </row>
    <row r="429" spans="2:43">
      <c r="B429" s="541"/>
      <c r="D429" s="337"/>
      <c r="G429" s="337"/>
      <c r="K429" s="337"/>
      <c r="O429" s="337"/>
      <c r="S429" s="337"/>
      <c r="T429" s="14"/>
      <c r="W429" s="337"/>
      <c r="X429" s="513"/>
      <c r="AA429" s="337"/>
      <c r="AB429" s="17"/>
      <c r="AC429" s="180"/>
      <c r="AD429" s="180"/>
      <c r="AE429" s="514"/>
      <c r="AF429" s="17"/>
      <c r="AI429" s="337"/>
      <c r="AM429" s="337"/>
      <c r="AQ429" s="337"/>
    </row>
    <row r="430" spans="2:43">
      <c r="B430" s="541"/>
      <c r="D430" s="337"/>
      <c r="G430" s="337"/>
      <c r="K430" s="337"/>
      <c r="O430" s="337"/>
      <c r="S430" s="337"/>
      <c r="T430" s="14"/>
      <c r="W430" s="337"/>
      <c r="X430" s="513"/>
      <c r="AA430" s="337"/>
      <c r="AB430" s="17"/>
      <c r="AC430" s="180"/>
      <c r="AD430" s="180"/>
      <c r="AE430" s="514"/>
      <c r="AF430" s="17"/>
      <c r="AI430" s="337"/>
      <c r="AM430" s="337"/>
      <c r="AQ430" s="337"/>
    </row>
    <row r="431" spans="2:43">
      <c r="B431" s="541"/>
      <c r="D431" s="337"/>
      <c r="G431" s="337"/>
      <c r="K431" s="337"/>
      <c r="O431" s="337"/>
      <c r="S431" s="337"/>
      <c r="T431" s="14"/>
      <c r="W431" s="337"/>
      <c r="X431" s="513"/>
      <c r="AA431" s="337"/>
      <c r="AB431" s="17"/>
      <c r="AC431" s="180"/>
      <c r="AD431" s="180"/>
      <c r="AE431" s="514"/>
      <c r="AF431" s="17"/>
      <c r="AI431" s="337"/>
      <c r="AM431" s="337"/>
      <c r="AQ431" s="337"/>
    </row>
    <row r="432" spans="2:43">
      <c r="B432" s="541"/>
      <c r="D432" s="337"/>
      <c r="G432" s="337"/>
      <c r="K432" s="337"/>
      <c r="O432" s="337"/>
      <c r="S432" s="337"/>
      <c r="T432" s="14"/>
      <c r="W432" s="337"/>
      <c r="X432" s="513"/>
      <c r="AA432" s="337"/>
      <c r="AB432" s="17"/>
      <c r="AC432" s="180"/>
      <c r="AD432" s="180"/>
      <c r="AE432" s="514"/>
      <c r="AF432" s="17"/>
      <c r="AI432" s="337"/>
      <c r="AM432" s="337"/>
      <c r="AQ432" s="337"/>
    </row>
    <row r="433" spans="2:43">
      <c r="B433" s="541"/>
      <c r="D433" s="337"/>
      <c r="G433" s="337"/>
      <c r="K433" s="337"/>
      <c r="O433" s="337"/>
      <c r="S433" s="337"/>
      <c r="T433" s="14"/>
      <c r="W433" s="337"/>
      <c r="X433" s="513"/>
      <c r="AA433" s="337"/>
      <c r="AB433" s="17"/>
      <c r="AC433" s="180"/>
      <c r="AD433" s="180"/>
      <c r="AE433" s="514"/>
      <c r="AF433" s="17"/>
      <c r="AI433" s="337"/>
      <c r="AM433" s="337"/>
      <c r="AQ433" s="337"/>
    </row>
    <row r="434" spans="2:43">
      <c r="B434" s="541"/>
      <c r="D434" s="337"/>
      <c r="G434" s="337"/>
      <c r="K434" s="337"/>
      <c r="O434" s="337"/>
      <c r="S434" s="337"/>
      <c r="T434" s="14"/>
      <c r="W434" s="337"/>
      <c r="X434" s="513"/>
      <c r="AA434" s="337"/>
      <c r="AB434" s="17"/>
      <c r="AC434" s="180"/>
      <c r="AD434" s="180"/>
      <c r="AE434" s="514"/>
      <c r="AF434" s="17"/>
      <c r="AI434" s="337"/>
      <c r="AM434" s="337"/>
      <c r="AQ434" s="337"/>
    </row>
    <row r="435" spans="2:43">
      <c r="B435" s="541"/>
      <c r="D435" s="337"/>
      <c r="G435" s="337"/>
      <c r="K435" s="337"/>
      <c r="O435" s="337"/>
      <c r="S435" s="337"/>
      <c r="T435" s="14"/>
      <c r="W435" s="337"/>
      <c r="X435" s="513"/>
      <c r="AA435" s="337"/>
      <c r="AB435" s="17"/>
      <c r="AC435" s="180"/>
      <c r="AD435" s="180"/>
      <c r="AE435" s="514"/>
      <c r="AF435" s="17"/>
      <c r="AI435" s="337"/>
      <c r="AM435" s="337"/>
      <c r="AQ435" s="337"/>
    </row>
    <row r="436" spans="2:43">
      <c r="B436" s="541"/>
      <c r="D436" s="337"/>
      <c r="G436" s="337"/>
      <c r="K436" s="337"/>
      <c r="O436" s="337"/>
      <c r="S436" s="337"/>
      <c r="T436" s="14"/>
      <c r="W436" s="337"/>
      <c r="X436" s="513"/>
      <c r="AA436" s="337"/>
      <c r="AB436" s="17"/>
      <c r="AC436" s="180"/>
      <c r="AD436" s="180"/>
      <c r="AE436" s="514"/>
      <c r="AF436" s="17"/>
      <c r="AI436" s="337"/>
      <c r="AM436" s="337"/>
      <c r="AQ436" s="337"/>
    </row>
    <row r="437" spans="2:43">
      <c r="B437" s="541"/>
      <c r="D437" s="337"/>
      <c r="G437" s="337"/>
      <c r="K437" s="337"/>
      <c r="O437" s="337"/>
      <c r="S437" s="337"/>
      <c r="T437" s="14"/>
      <c r="W437" s="337"/>
      <c r="X437" s="513"/>
      <c r="AA437" s="337"/>
      <c r="AB437" s="17"/>
      <c r="AC437" s="180"/>
      <c r="AD437" s="180"/>
      <c r="AE437" s="514"/>
      <c r="AF437" s="17"/>
      <c r="AI437" s="337"/>
      <c r="AM437" s="337"/>
      <c r="AQ437" s="337"/>
    </row>
    <row r="438" spans="2:43">
      <c r="B438" s="541"/>
      <c r="D438" s="337"/>
      <c r="G438" s="337"/>
      <c r="K438" s="337"/>
      <c r="O438" s="337"/>
      <c r="S438" s="337"/>
      <c r="T438" s="14"/>
      <c r="W438" s="337"/>
      <c r="X438" s="513"/>
      <c r="AA438" s="337"/>
      <c r="AB438" s="17"/>
      <c r="AC438" s="180"/>
      <c r="AD438" s="180"/>
      <c r="AE438" s="514"/>
      <c r="AF438" s="17"/>
      <c r="AI438" s="337"/>
      <c r="AM438" s="337"/>
      <c r="AQ438" s="337"/>
    </row>
    <row r="439" spans="2:43">
      <c r="B439" s="541"/>
      <c r="D439" s="337"/>
      <c r="G439" s="337"/>
      <c r="K439" s="337"/>
      <c r="O439" s="337"/>
      <c r="S439" s="337"/>
      <c r="T439" s="14"/>
      <c r="W439" s="337"/>
      <c r="X439" s="513"/>
      <c r="AA439" s="337"/>
      <c r="AB439" s="17"/>
      <c r="AC439" s="180"/>
      <c r="AD439" s="180"/>
      <c r="AE439" s="514"/>
      <c r="AF439" s="17"/>
      <c r="AI439" s="337"/>
      <c r="AM439" s="337"/>
      <c r="AQ439" s="337"/>
    </row>
    <row r="440" spans="2:43">
      <c r="B440" s="541"/>
      <c r="D440" s="337"/>
      <c r="G440" s="337"/>
      <c r="K440" s="337"/>
      <c r="O440" s="337"/>
      <c r="S440" s="337"/>
      <c r="T440" s="14"/>
      <c r="W440" s="337"/>
      <c r="X440" s="513"/>
      <c r="AA440" s="337"/>
      <c r="AB440" s="17"/>
      <c r="AC440" s="180"/>
      <c r="AD440" s="180"/>
      <c r="AE440" s="514"/>
      <c r="AF440" s="17"/>
      <c r="AI440" s="337"/>
      <c r="AM440" s="337"/>
      <c r="AQ440" s="337"/>
    </row>
    <row r="441" spans="2:43">
      <c r="B441" s="541"/>
      <c r="D441" s="337"/>
      <c r="G441" s="337"/>
      <c r="K441" s="337"/>
      <c r="O441" s="337"/>
      <c r="S441" s="337"/>
      <c r="T441" s="14"/>
      <c r="W441" s="337"/>
      <c r="X441" s="513"/>
      <c r="AA441" s="337"/>
      <c r="AB441" s="17"/>
      <c r="AC441" s="180"/>
      <c r="AD441" s="180"/>
      <c r="AE441" s="514"/>
      <c r="AF441" s="17"/>
      <c r="AI441" s="337"/>
      <c r="AM441" s="337"/>
      <c r="AQ441" s="337"/>
    </row>
    <row r="442" spans="2:43">
      <c r="B442" s="541"/>
      <c r="D442" s="337"/>
      <c r="G442" s="337"/>
      <c r="K442" s="337"/>
      <c r="O442" s="337"/>
      <c r="S442" s="337"/>
      <c r="T442" s="14"/>
      <c r="W442" s="337"/>
      <c r="X442" s="513"/>
      <c r="AA442" s="337"/>
      <c r="AB442" s="17"/>
      <c r="AC442" s="180"/>
      <c r="AD442" s="180"/>
      <c r="AE442" s="514"/>
      <c r="AF442" s="17"/>
      <c r="AI442" s="337"/>
      <c r="AM442" s="337"/>
      <c r="AQ442" s="337"/>
    </row>
    <row r="443" spans="2:43">
      <c r="B443" s="541"/>
      <c r="D443" s="337"/>
      <c r="G443" s="337"/>
      <c r="K443" s="337"/>
      <c r="O443" s="337"/>
      <c r="S443" s="337"/>
      <c r="T443" s="14"/>
      <c r="W443" s="337"/>
      <c r="X443" s="513"/>
      <c r="AA443" s="337"/>
      <c r="AB443" s="17"/>
      <c r="AC443" s="180"/>
      <c r="AD443" s="180"/>
      <c r="AE443" s="514"/>
      <c r="AF443" s="17"/>
      <c r="AI443" s="337"/>
      <c r="AM443" s="337"/>
      <c r="AQ443" s="337"/>
    </row>
    <row r="444" spans="2:43">
      <c r="B444" s="541"/>
      <c r="D444" s="337"/>
      <c r="G444" s="337"/>
      <c r="K444" s="337"/>
      <c r="O444" s="337"/>
      <c r="S444" s="337"/>
      <c r="T444" s="14"/>
      <c r="W444" s="337"/>
      <c r="X444" s="513"/>
      <c r="AA444" s="337"/>
      <c r="AB444" s="17"/>
      <c r="AC444" s="180"/>
      <c r="AD444" s="180"/>
      <c r="AE444" s="514"/>
      <c r="AF444" s="17"/>
      <c r="AI444" s="337"/>
      <c r="AM444" s="337"/>
      <c r="AQ444" s="337"/>
    </row>
    <row r="445" spans="2:43">
      <c r="B445" s="541"/>
      <c r="D445" s="337"/>
      <c r="G445" s="337"/>
      <c r="K445" s="337"/>
      <c r="O445" s="337"/>
      <c r="S445" s="337"/>
      <c r="T445" s="14"/>
      <c r="W445" s="337"/>
      <c r="X445" s="513"/>
      <c r="AA445" s="337"/>
      <c r="AB445" s="17"/>
      <c r="AC445" s="180"/>
      <c r="AD445" s="180"/>
      <c r="AE445" s="514"/>
      <c r="AF445" s="17"/>
      <c r="AI445" s="337"/>
      <c r="AM445" s="337"/>
      <c r="AQ445" s="337"/>
    </row>
    <row r="446" spans="2:43">
      <c r="B446" s="541"/>
      <c r="D446" s="337"/>
      <c r="G446" s="337"/>
      <c r="K446" s="337"/>
      <c r="O446" s="337"/>
      <c r="S446" s="337"/>
      <c r="T446" s="14"/>
      <c r="W446" s="337"/>
      <c r="X446" s="513"/>
      <c r="AA446" s="337"/>
      <c r="AB446" s="17"/>
      <c r="AC446" s="180"/>
      <c r="AD446" s="180"/>
      <c r="AE446" s="514"/>
      <c r="AF446" s="17"/>
      <c r="AI446" s="337"/>
      <c r="AM446" s="337"/>
      <c r="AQ446" s="337"/>
    </row>
    <row r="447" spans="2:43">
      <c r="B447" s="541"/>
      <c r="D447" s="337"/>
      <c r="G447" s="337"/>
      <c r="K447" s="337"/>
      <c r="O447" s="337"/>
      <c r="S447" s="337"/>
      <c r="T447" s="14"/>
      <c r="W447" s="337"/>
      <c r="X447" s="513"/>
      <c r="AA447" s="337"/>
      <c r="AB447" s="17"/>
      <c r="AC447" s="180"/>
      <c r="AD447" s="180"/>
      <c r="AE447" s="514"/>
      <c r="AF447" s="17"/>
      <c r="AI447" s="337"/>
      <c r="AM447" s="337"/>
      <c r="AQ447" s="337"/>
    </row>
    <row r="448" spans="2:43">
      <c r="B448" s="541"/>
      <c r="D448" s="337"/>
      <c r="G448" s="337"/>
      <c r="K448" s="337"/>
      <c r="O448" s="337"/>
      <c r="S448" s="337"/>
      <c r="T448" s="14"/>
      <c r="W448" s="337"/>
      <c r="X448" s="513"/>
      <c r="AA448" s="337"/>
      <c r="AB448" s="17"/>
      <c r="AC448" s="180"/>
      <c r="AD448" s="180"/>
      <c r="AE448" s="514"/>
      <c r="AF448" s="17"/>
      <c r="AI448" s="337"/>
      <c r="AM448" s="337"/>
      <c r="AQ448" s="337"/>
    </row>
    <row r="449" spans="2:43">
      <c r="B449" s="541"/>
      <c r="D449" s="337"/>
      <c r="G449" s="337"/>
      <c r="K449" s="337"/>
      <c r="O449" s="337"/>
      <c r="S449" s="337"/>
      <c r="T449" s="14"/>
      <c r="W449" s="337"/>
      <c r="X449" s="513"/>
      <c r="AA449" s="337"/>
      <c r="AB449" s="17"/>
      <c r="AC449" s="180"/>
      <c r="AD449" s="180"/>
      <c r="AE449" s="514"/>
      <c r="AF449" s="17"/>
      <c r="AI449" s="337"/>
      <c r="AM449" s="337"/>
      <c r="AQ449" s="337"/>
    </row>
    <row r="450" spans="2:43">
      <c r="B450" s="541"/>
      <c r="D450" s="337"/>
      <c r="G450" s="337"/>
      <c r="K450" s="337"/>
      <c r="O450" s="337"/>
      <c r="S450" s="337"/>
      <c r="T450" s="14"/>
      <c r="W450" s="337"/>
      <c r="X450" s="513"/>
      <c r="AA450" s="337"/>
      <c r="AB450" s="17"/>
      <c r="AC450" s="180"/>
      <c r="AD450" s="180"/>
      <c r="AE450" s="514"/>
      <c r="AF450" s="17"/>
      <c r="AI450" s="337"/>
      <c r="AM450" s="337"/>
      <c r="AQ450" s="337"/>
    </row>
    <row r="451" spans="2:43">
      <c r="B451" s="541"/>
      <c r="D451" s="337"/>
      <c r="G451" s="337"/>
      <c r="K451" s="337"/>
      <c r="O451" s="337"/>
      <c r="S451" s="337"/>
      <c r="T451" s="14"/>
      <c r="W451" s="337"/>
      <c r="X451" s="513"/>
      <c r="AA451" s="337"/>
      <c r="AB451" s="17"/>
      <c r="AC451" s="180"/>
      <c r="AD451" s="180"/>
      <c r="AE451" s="514"/>
      <c r="AF451" s="17"/>
      <c r="AI451" s="337"/>
      <c r="AM451" s="337"/>
      <c r="AQ451" s="337"/>
    </row>
    <row r="452" spans="2:43">
      <c r="B452" s="541"/>
      <c r="D452" s="337"/>
      <c r="G452" s="337"/>
      <c r="K452" s="337"/>
      <c r="O452" s="337"/>
      <c r="S452" s="337"/>
      <c r="T452" s="14"/>
      <c r="W452" s="337"/>
      <c r="X452" s="513"/>
      <c r="AA452" s="337"/>
      <c r="AB452" s="17"/>
      <c r="AC452" s="180"/>
      <c r="AD452" s="180"/>
      <c r="AE452" s="514"/>
      <c r="AF452" s="17"/>
      <c r="AI452" s="337"/>
      <c r="AM452" s="337"/>
      <c r="AQ452" s="337"/>
    </row>
    <row r="453" spans="2:43">
      <c r="B453" s="541"/>
      <c r="D453" s="337"/>
      <c r="G453" s="337"/>
      <c r="K453" s="337"/>
      <c r="O453" s="337"/>
      <c r="S453" s="337"/>
      <c r="T453" s="14"/>
      <c r="W453" s="337"/>
      <c r="X453" s="513"/>
      <c r="AA453" s="337"/>
      <c r="AB453" s="17"/>
      <c r="AC453" s="180"/>
      <c r="AD453" s="180"/>
      <c r="AE453" s="514"/>
      <c r="AF453" s="17"/>
      <c r="AI453" s="337"/>
      <c r="AM453" s="337"/>
      <c r="AQ453" s="337"/>
    </row>
    <row r="454" spans="2:43">
      <c r="B454" s="541"/>
      <c r="D454" s="337"/>
      <c r="G454" s="337"/>
      <c r="K454" s="337"/>
      <c r="O454" s="337"/>
      <c r="S454" s="337"/>
      <c r="T454" s="14"/>
      <c r="W454" s="337"/>
      <c r="X454" s="513"/>
      <c r="AA454" s="337"/>
      <c r="AB454" s="17"/>
      <c r="AC454" s="180"/>
      <c r="AD454" s="180"/>
      <c r="AE454" s="514"/>
      <c r="AF454" s="17"/>
      <c r="AI454" s="337"/>
      <c r="AM454" s="337"/>
      <c r="AQ454" s="337"/>
    </row>
    <row r="455" spans="2:43">
      <c r="B455" s="541"/>
      <c r="D455" s="337"/>
      <c r="G455" s="337"/>
      <c r="K455" s="337"/>
      <c r="O455" s="337"/>
      <c r="S455" s="337"/>
      <c r="T455" s="14"/>
      <c r="W455" s="337"/>
      <c r="X455" s="513"/>
      <c r="AA455" s="337"/>
      <c r="AB455" s="17"/>
      <c r="AC455" s="180"/>
      <c r="AD455" s="180"/>
      <c r="AE455" s="514"/>
      <c r="AF455" s="17"/>
      <c r="AI455" s="337"/>
      <c r="AM455" s="337"/>
      <c r="AQ455" s="337"/>
    </row>
    <row r="456" spans="2:43">
      <c r="B456" s="541"/>
      <c r="D456" s="337"/>
      <c r="G456" s="337"/>
      <c r="K456" s="337"/>
      <c r="O456" s="337"/>
      <c r="S456" s="337"/>
      <c r="T456" s="14"/>
      <c r="W456" s="337"/>
      <c r="X456" s="513"/>
      <c r="AA456" s="337"/>
      <c r="AB456" s="17"/>
      <c r="AC456" s="180"/>
      <c r="AD456" s="180"/>
      <c r="AE456" s="514"/>
      <c r="AF456" s="17"/>
      <c r="AI456" s="337"/>
      <c r="AM456" s="337"/>
      <c r="AQ456" s="337"/>
    </row>
    <row r="457" spans="2:43">
      <c r="B457" s="541"/>
      <c r="D457" s="337"/>
      <c r="G457" s="337"/>
      <c r="K457" s="337"/>
      <c r="O457" s="337"/>
      <c r="S457" s="337"/>
      <c r="T457" s="14"/>
      <c r="W457" s="337"/>
      <c r="X457" s="513"/>
      <c r="AA457" s="337"/>
      <c r="AB457" s="17"/>
      <c r="AC457" s="180"/>
      <c r="AD457" s="180"/>
      <c r="AE457" s="514"/>
      <c r="AF457" s="17"/>
      <c r="AI457" s="337"/>
      <c r="AM457" s="337"/>
      <c r="AQ457" s="337"/>
    </row>
    <row r="458" spans="2:43">
      <c r="B458" s="541"/>
      <c r="D458" s="337"/>
      <c r="G458" s="337"/>
      <c r="K458" s="337"/>
      <c r="O458" s="337"/>
      <c r="S458" s="337"/>
      <c r="T458" s="14"/>
      <c r="W458" s="337"/>
      <c r="X458" s="513"/>
      <c r="AA458" s="337"/>
      <c r="AB458" s="17"/>
      <c r="AC458" s="180"/>
      <c r="AD458" s="180"/>
      <c r="AE458" s="514"/>
      <c r="AF458" s="17"/>
      <c r="AI458" s="337"/>
      <c r="AM458" s="337"/>
      <c r="AQ458" s="337"/>
    </row>
    <row r="459" spans="2:43">
      <c r="B459" s="541"/>
      <c r="D459" s="337"/>
      <c r="G459" s="337"/>
      <c r="K459" s="337"/>
      <c r="O459" s="337"/>
      <c r="S459" s="337"/>
      <c r="T459" s="14"/>
      <c r="W459" s="337"/>
      <c r="X459" s="513"/>
      <c r="AA459" s="337"/>
      <c r="AB459" s="17"/>
      <c r="AC459" s="180"/>
      <c r="AD459" s="180"/>
      <c r="AE459" s="514"/>
      <c r="AF459" s="17"/>
      <c r="AI459" s="337"/>
      <c r="AM459" s="337"/>
      <c r="AQ459" s="337"/>
    </row>
    <row r="460" spans="2:43">
      <c r="B460" s="541"/>
      <c r="D460" s="337"/>
      <c r="G460" s="337"/>
      <c r="K460" s="337"/>
      <c r="O460" s="337"/>
      <c r="S460" s="337"/>
      <c r="T460" s="14"/>
      <c r="W460" s="337"/>
      <c r="X460" s="513"/>
      <c r="AA460" s="337"/>
      <c r="AB460" s="17"/>
      <c r="AC460" s="180"/>
      <c r="AD460" s="180"/>
      <c r="AE460" s="514"/>
      <c r="AF460" s="17"/>
      <c r="AI460" s="337"/>
      <c r="AM460" s="337"/>
      <c r="AQ460" s="337"/>
    </row>
    <row r="461" spans="2:43">
      <c r="B461" s="541"/>
      <c r="D461" s="337"/>
      <c r="G461" s="337"/>
      <c r="K461" s="337"/>
      <c r="O461" s="337"/>
      <c r="S461" s="337"/>
      <c r="T461" s="14"/>
      <c r="W461" s="337"/>
      <c r="X461" s="513"/>
      <c r="AA461" s="337"/>
      <c r="AB461" s="17"/>
      <c r="AC461" s="180"/>
      <c r="AD461" s="180"/>
      <c r="AE461" s="514"/>
      <c r="AF461" s="17"/>
      <c r="AI461" s="337"/>
      <c r="AM461" s="337"/>
      <c r="AQ461" s="337"/>
    </row>
    <row r="462" spans="2:43">
      <c r="B462" s="541"/>
      <c r="D462" s="337"/>
      <c r="G462" s="337"/>
      <c r="K462" s="337"/>
      <c r="O462" s="337"/>
      <c r="S462" s="337"/>
      <c r="T462" s="14"/>
      <c r="W462" s="337"/>
      <c r="X462" s="513"/>
      <c r="AA462" s="337"/>
      <c r="AB462" s="17"/>
      <c r="AC462" s="180"/>
      <c r="AD462" s="180"/>
      <c r="AE462" s="514"/>
      <c r="AF462" s="17"/>
      <c r="AI462" s="337"/>
      <c r="AM462" s="337"/>
      <c r="AQ462" s="337"/>
    </row>
    <row r="463" spans="2:43">
      <c r="B463" s="541"/>
      <c r="D463" s="337"/>
      <c r="G463" s="337"/>
      <c r="K463" s="337"/>
      <c r="O463" s="337"/>
      <c r="S463" s="337"/>
      <c r="T463" s="14"/>
      <c r="W463" s="337"/>
      <c r="X463" s="513"/>
      <c r="AA463" s="337"/>
      <c r="AB463" s="17"/>
      <c r="AC463" s="180"/>
      <c r="AD463" s="180"/>
      <c r="AE463" s="514"/>
      <c r="AF463" s="17"/>
      <c r="AI463" s="337"/>
      <c r="AM463" s="337"/>
      <c r="AQ463" s="337"/>
    </row>
    <row r="464" spans="2:43">
      <c r="B464" s="541"/>
      <c r="D464" s="337"/>
      <c r="G464" s="337"/>
      <c r="K464" s="337"/>
      <c r="O464" s="337"/>
      <c r="S464" s="337"/>
      <c r="T464" s="14"/>
      <c r="W464" s="337"/>
      <c r="X464" s="513"/>
      <c r="AA464" s="337"/>
      <c r="AB464" s="17"/>
      <c r="AC464" s="180"/>
      <c r="AD464" s="180"/>
      <c r="AE464" s="514"/>
      <c r="AF464" s="17"/>
      <c r="AI464" s="337"/>
      <c r="AM464" s="337"/>
      <c r="AQ464" s="337"/>
    </row>
    <row r="465" spans="2:43">
      <c r="B465" s="541"/>
      <c r="D465" s="337"/>
      <c r="G465" s="337"/>
      <c r="K465" s="337"/>
      <c r="O465" s="337"/>
      <c r="S465" s="337"/>
      <c r="T465" s="14"/>
      <c r="W465" s="337"/>
      <c r="X465" s="513"/>
      <c r="AA465" s="337"/>
      <c r="AB465" s="17"/>
      <c r="AC465" s="180"/>
      <c r="AD465" s="180"/>
      <c r="AE465" s="514"/>
      <c r="AF465" s="17"/>
      <c r="AI465" s="337"/>
      <c r="AM465" s="337"/>
      <c r="AQ465" s="337"/>
    </row>
    <row r="466" spans="2:43">
      <c r="B466" s="541"/>
      <c r="D466" s="337"/>
      <c r="G466" s="337"/>
      <c r="K466" s="337"/>
      <c r="O466" s="337"/>
      <c r="S466" s="337"/>
      <c r="T466" s="14"/>
      <c r="W466" s="337"/>
      <c r="X466" s="513"/>
      <c r="AA466" s="337"/>
      <c r="AB466" s="17"/>
      <c r="AC466" s="180"/>
      <c r="AD466" s="180"/>
      <c r="AE466" s="514"/>
      <c r="AF466" s="17"/>
      <c r="AI466" s="337"/>
      <c r="AM466" s="337"/>
      <c r="AQ466" s="337"/>
    </row>
    <row r="467" spans="2:43">
      <c r="B467" s="541"/>
      <c r="D467" s="337"/>
      <c r="G467" s="337"/>
      <c r="K467" s="337"/>
      <c r="O467" s="337"/>
      <c r="S467" s="337"/>
      <c r="T467" s="14"/>
      <c r="W467" s="337"/>
      <c r="X467" s="513"/>
      <c r="AA467" s="337"/>
      <c r="AB467" s="17"/>
      <c r="AC467" s="180"/>
      <c r="AD467" s="180"/>
      <c r="AE467" s="514"/>
      <c r="AF467" s="17"/>
      <c r="AI467" s="337"/>
      <c r="AM467" s="337"/>
      <c r="AQ467" s="337"/>
    </row>
    <row r="468" spans="2:43">
      <c r="B468" s="541"/>
      <c r="D468" s="337"/>
      <c r="G468" s="337"/>
      <c r="K468" s="337"/>
      <c r="O468" s="337"/>
      <c r="S468" s="337"/>
      <c r="T468" s="14"/>
      <c r="W468" s="337"/>
      <c r="X468" s="513"/>
      <c r="AA468" s="337"/>
      <c r="AB468" s="17"/>
      <c r="AC468" s="180"/>
      <c r="AD468" s="180"/>
      <c r="AE468" s="514"/>
      <c r="AF468" s="17"/>
      <c r="AI468" s="337"/>
      <c r="AM468" s="337"/>
      <c r="AQ468" s="337"/>
    </row>
    <row r="469" spans="2:43">
      <c r="B469" s="541"/>
      <c r="D469" s="337"/>
      <c r="G469" s="337"/>
      <c r="K469" s="337"/>
      <c r="O469" s="337"/>
      <c r="S469" s="337"/>
      <c r="T469" s="14"/>
      <c r="W469" s="337"/>
      <c r="X469" s="513"/>
      <c r="AA469" s="337"/>
      <c r="AB469" s="17"/>
      <c r="AC469" s="180"/>
      <c r="AD469" s="180"/>
      <c r="AE469" s="514"/>
      <c r="AF469" s="17"/>
      <c r="AI469" s="337"/>
      <c r="AM469" s="337"/>
      <c r="AQ469" s="337"/>
    </row>
    <row r="470" spans="2:43">
      <c r="B470" s="541"/>
      <c r="D470" s="337"/>
      <c r="G470" s="337"/>
      <c r="K470" s="337"/>
      <c r="O470" s="337"/>
      <c r="S470" s="337"/>
      <c r="T470" s="14"/>
      <c r="W470" s="337"/>
      <c r="X470" s="513"/>
      <c r="AA470" s="337"/>
      <c r="AB470" s="17"/>
      <c r="AC470" s="180"/>
      <c r="AD470" s="180"/>
      <c r="AE470" s="514"/>
      <c r="AF470" s="17"/>
      <c r="AI470" s="337"/>
      <c r="AM470" s="337"/>
      <c r="AQ470" s="337"/>
    </row>
    <row r="471" spans="2:43">
      <c r="B471" s="541"/>
      <c r="D471" s="337"/>
      <c r="G471" s="337"/>
      <c r="K471" s="337"/>
      <c r="O471" s="337"/>
      <c r="S471" s="337"/>
      <c r="T471" s="14"/>
      <c r="W471" s="337"/>
      <c r="X471" s="513"/>
      <c r="AA471" s="337"/>
      <c r="AB471" s="17"/>
      <c r="AC471" s="180"/>
      <c r="AD471" s="180"/>
      <c r="AE471" s="514"/>
      <c r="AF471" s="17"/>
      <c r="AI471" s="337"/>
      <c r="AM471" s="337"/>
      <c r="AQ471" s="337"/>
    </row>
    <row r="472" spans="2:43">
      <c r="B472" s="541"/>
      <c r="D472" s="337"/>
      <c r="G472" s="337"/>
      <c r="K472" s="337"/>
      <c r="O472" s="337"/>
      <c r="S472" s="337"/>
      <c r="T472" s="14"/>
      <c r="W472" s="337"/>
      <c r="X472" s="513"/>
      <c r="AA472" s="337"/>
      <c r="AB472" s="17"/>
      <c r="AC472" s="180"/>
      <c r="AD472" s="180"/>
      <c r="AE472" s="514"/>
      <c r="AF472" s="17"/>
      <c r="AI472" s="337"/>
      <c r="AM472" s="337"/>
      <c r="AQ472" s="337"/>
    </row>
    <row r="473" spans="2:43">
      <c r="B473" s="541"/>
      <c r="D473" s="337"/>
      <c r="G473" s="337"/>
      <c r="K473" s="337"/>
      <c r="O473" s="337"/>
      <c r="S473" s="337"/>
      <c r="T473" s="14"/>
      <c r="W473" s="337"/>
      <c r="X473" s="513"/>
      <c r="AA473" s="337"/>
      <c r="AB473" s="17"/>
      <c r="AC473" s="180"/>
      <c r="AD473" s="180"/>
      <c r="AE473" s="514"/>
      <c r="AF473" s="17"/>
      <c r="AI473" s="337"/>
      <c r="AM473" s="337"/>
      <c r="AQ473" s="337"/>
    </row>
    <row r="474" spans="2:43">
      <c r="B474" s="541"/>
      <c r="D474" s="337"/>
      <c r="G474" s="337"/>
      <c r="K474" s="337"/>
      <c r="O474" s="337"/>
      <c r="S474" s="337"/>
      <c r="T474" s="14"/>
      <c r="W474" s="337"/>
      <c r="X474" s="513"/>
      <c r="AA474" s="337"/>
      <c r="AB474" s="17"/>
      <c r="AC474" s="180"/>
      <c r="AD474" s="180"/>
      <c r="AE474" s="514"/>
      <c r="AF474" s="17"/>
      <c r="AI474" s="337"/>
      <c r="AM474" s="337"/>
      <c r="AQ474" s="337"/>
    </row>
    <row r="475" spans="2:43">
      <c r="B475" s="541"/>
      <c r="D475" s="337"/>
      <c r="G475" s="337"/>
      <c r="K475" s="337"/>
      <c r="O475" s="337"/>
      <c r="S475" s="337"/>
      <c r="T475" s="14"/>
      <c r="W475" s="337"/>
      <c r="X475" s="513"/>
      <c r="AA475" s="337"/>
      <c r="AB475" s="17"/>
      <c r="AC475" s="180"/>
      <c r="AD475" s="180"/>
      <c r="AE475" s="514"/>
      <c r="AF475" s="17"/>
      <c r="AI475" s="337"/>
      <c r="AM475" s="337"/>
      <c r="AQ475" s="337"/>
    </row>
    <row r="476" spans="2:43">
      <c r="B476" s="541"/>
      <c r="D476" s="337"/>
      <c r="G476" s="337"/>
      <c r="K476" s="337"/>
      <c r="O476" s="337"/>
      <c r="S476" s="337"/>
      <c r="T476" s="14"/>
      <c r="W476" s="337"/>
      <c r="X476" s="513"/>
      <c r="AA476" s="337"/>
      <c r="AB476" s="17"/>
      <c r="AC476" s="180"/>
      <c r="AD476" s="180"/>
      <c r="AE476" s="514"/>
      <c r="AF476" s="17"/>
      <c r="AI476" s="337"/>
      <c r="AM476" s="337"/>
      <c r="AQ476" s="337"/>
    </row>
    <row r="477" spans="2:43">
      <c r="B477" s="541"/>
      <c r="D477" s="337"/>
      <c r="G477" s="337"/>
      <c r="K477" s="337"/>
      <c r="O477" s="337"/>
      <c r="S477" s="337"/>
      <c r="T477" s="14"/>
      <c r="W477" s="337"/>
      <c r="X477" s="513"/>
      <c r="AA477" s="337"/>
      <c r="AB477" s="17"/>
      <c r="AC477" s="180"/>
      <c r="AD477" s="180"/>
      <c r="AE477" s="514"/>
      <c r="AF477" s="17"/>
      <c r="AI477" s="337"/>
      <c r="AM477" s="337"/>
      <c r="AQ477" s="337"/>
    </row>
    <row r="478" spans="2:43">
      <c r="B478" s="541"/>
      <c r="D478" s="337"/>
      <c r="G478" s="337"/>
      <c r="K478" s="337"/>
      <c r="O478" s="337"/>
      <c r="S478" s="337"/>
      <c r="T478" s="14"/>
      <c r="W478" s="337"/>
      <c r="X478" s="513"/>
      <c r="AA478" s="337"/>
      <c r="AB478" s="17"/>
      <c r="AC478" s="180"/>
      <c r="AD478" s="180"/>
      <c r="AE478" s="514"/>
      <c r="AF478" s="17"/>
      <c r="AI478" s="337"/>
      <c r="AM478" s="337"/>
      <c r="AQ478" s="337"/>
    </row>
    <row r="479" spans="2:43">
      <c r="B479" s="541"/>
      <c r="D479" s="337"/>
      <c r="G479" s="337"/>
      <c r="K479" s="337"/>
      <c r="O479" s="337"/>
      <c r="S479" s="337"/>
      <c r="T479" s="14"/>
      <c r="W479" s="337"/>
      <c r="X479" s="513"/>
      <c r="AA479" s="337"/>
      <c r="AB479" s="17"/>
      <c r="AC479" s="180"/>
      <c r="AD479" s="180"/>
      <c r="AE479" s="514"/>
      <c r="AF479" s="17"/>
      <c r="AI479" s="337"/>
      <c r="AM479" s="337"/>
      <c r="AQ479" s="337"/>
    </row>
    <row r="480" spans="2:43">
      <c r="B480" s="541"/>
      <c r="D480" s="337"/>
      <c r="G480" s="337"/>
      <c r="K480" s="337"/>
      <c r="O480" s="337"/>
      <c r="S480" s="337"/>
      <c r="T480" s="14"/>
      <c r="W480" s="337"/>
      <c r="X480" s="513"/>
      <c r="AA480" s="337"/>
      <c r="AB480" s="17"/>
      <c r="AC480" s="180"/>
      <c r="AD480" s="180"/>
      <c r="AE480" s="514"/>
      <c r="AF480" s="17"/>
      <c r="AI480" s="337"/>
      <c r="AM480" s="337"/>
      <c r="AQ480" s="337"/>
    </row>
    <row r="481" spans="2:43">
      <c r="B481" s="541"/>
      <c r="D481" s="337"/>
      <c r="G481" s="337"/>
      <c r="K481" s="337"/>
      <c r="O481" s="337"/>
      <c r="S481" s="337"/>
      <c r="T481" s="14"/>
      <c r="W481" s="337"/>
      <c r="X481" s="513"/>
      <c r="AA481" s="337"/>
      <c r="AB481" s="17"/>
      <c r="AC481" s="180"/>
      <c r="AD481" s="180"/>
      <c r="AE481" s="514"/>
      <c r="AF481" s="17"/>
      <c r="AI481" s="337"/>
      <c r="AM481" s="337"/>
      <c r="AQ481" s="337"/>
    </row>
    <row r="482" spans="2:43">
      <c r="B482" s="541"/>
      <c r="D482" s="337"/>
      <c r="G482" s="337"/>
      <c r="K482" s="337"/>
      <c r="O482" s="337"/>
      <c r="S482" s="337"/>
      <c r="T482" s="14"/>
      <c r="W482" s="337"/>
      <c r="X482" s="513"/>
      <c r="AA482" s="337"/>
      <c r="AB482" s="17"/>
      <c r="AC482" s="180"/>
      <c r="AD482" s="180"/>
      <c r="AE482" s="514"/>
      <c r="AF482" s="17"/>
      <c r="AI482" s="337"/>
      <c r="AM482" s="337"/>
      <c r="AQ482" s="337"/>
    </row>
    <row r="483" spans="2:43">
      <c r="B483" s="541"/>
      <c r="D483" s="337"/>
      <c r="G483" s="337"/>
      <c r="K483" s="337"/>
      <c r="O483" s="337"/>
      <c r="S483" s="337"/>
      <c r="T483" s="14"/>
      <c r="W483" s="337"/>
      <c r="X483" s="513"/>
      <c r="AA483" s="337"/>
      <c r="AB483" s="17"/>
      <c r="AC483" s="180"/>
      <c r="AD483" s="180"/>
      <c r="AE483" s="514"/>
      <c r="AF483" s="17"/>
      <c r="AI483" s="337"/>
      <c r="AM483" s="337"/>
      <c r="AQ483" s="337"/>
    </row>
    <row r="484" spans="2:43">
      <c r="B484" s="541"/>
      <c r="D484" s="337"/>
      <c r="G484" s="337"/>
      <c r="K484" s="337"/>
      <c r="O484" s="337"/>
      <c r="S484" s="337"/>
      <c r="T484" s="14"/>
      <c r="W484" s="337"/>
      <c r="X484" s="513"/>
      <c r="AA484" s="337"/>
      <c r="AB484" s="17"/>
      <c r="AC484" s="180"/>
      <c r="AD484" s="180"/>
      <c r="AE484" s="514"/>
      <c r="AF484" s="17"/>
      <c r="AI484" s="337"/>
      <c r="AM484" s="337"/>
      <c r="AQ484" s="337"/>
    </row>
    <row r="485" spans="2:43">
      <c r="B485" s="541"/>
      <c r="D485" s="337"/>
      <c r="G485" s="337"/>
      <c r="K485" s="337"/>
      <c r="O485" s="337"/>
      <c r="S485" s="337"/>
      <c r="T485" s="14"/>
      <c r="W485" s="337"/>
      <c r="X485" s="513"/>
      <c r="AA485" s="337"/>
      <c r="AB485" s="17"/>
      <c r="AC485" s="180"/>
      <c r="AD485" s="180"/>
      <c r="AE485" s="514"/>
      <c r="AF485" s="17"/>
      <c r="AI485" s="337"/>
      <c r="AM485" s="337"/>
      <c r="AQ485" s="337"/>
    </row>
    <row r="486" spans="2:43">
      <c r="B486" s="541"/>
      <c r="D486" s="337"/>
      <c r="G486" s="337"/>
      <c r="K486" s="337"/>
      <c r="O486" s="337"/>
      <c r="S486" s="337"/>
      <c r="T486" s="14"/>
      <c r="W486" s="337"/>
      <c r="X486" s="513"/>
      <c r="AA486" s="337"/>
      <c r="AB486" s="17"/>
      <c r="AC486" s="180"/>
      <c r="AD486" s="180"/>
      <c r="AE486" s="514"/>
      <c r="AF486" s="17"/>
      <c r="AI486" s="337"/>
      <c r="AM486" s="337"/>
      <c r="AQ486" s="337"/>
    </row>
    <row r="487" spans="2:43">
      <c r="B487" s="541"/>
      <c r="D487" s="337"/>
      <c r="G487" s="337"/>
      <c r="K487" s="337"/>
      <c r="O487" s="337"/>
      <c r="S487" s="337"/>
      <c r="T487" s="14"/>
      <c r="W487" s="337"/>
      <c r="X487" s="513"/>
      <c r="AA487" s="337"/>
      <c r="AB487" s="17"/>
      <c r="AC487" s="180"/>
      <c r="AD487" s="180"/>
      <c r="AE487" s="514"/>
      <c r="AF487" s="17"/>
      <c r="AI487" s="337"/>
      <c r="AM487" s="337"/>
      <c r="AQ487" s="337"/>
    </row>
    <row r="488" spans="2:43">
      <c r="B488" s="541"/>
      <c r="D488" s="337"/>
      <c r="G488" s="337"/>
      <c r="K488" s="337"/>
      <c r="O488" s="337"/>
      <c r="S488" s="337"/>
      <c r="T488" s="14"/>
      <c r="W488" s="337"/>
      <c r="X488" s="513"/>
      <c r="AA488" s="337"/>
      <c r="AB488" s="17"/>
      <c r="AC488" s="180"/>
      <c r="AD488" s="180"/>
      <c r="AE488" s="514"/>
      <c r="AF488" s="17"/>
      <c r="AI488" s="337"/>
      <c r="AM488" s="337"/>
      <c r="AQ488" s="337"/>
    </row>
    <row r="489" spans="2:43">
      <c r="B489" s="541"/>
      <c r="D489" s="337"/>
      <c r="G489" s="337"/>
      <c r="K489" s="337"/>
      <c r="O489" s="337"/>
      <c r="S489" s="337"/>
      <c r="T489" s="14"/>
      <c r="W489" s="337"/>
      <c r="X489" s="513"/>
      <c r="AA489" s="337"/>
      <c r="AB489" s="17"/>
      <c r="AC489" s="180"/>
      <c r="AD489" s="180"/>
      <c r="AE489" s="514"/>
      <c r="AF489" s="17"/>
      <c r="AI489" s="337"/>
      <c r="AM489" s="337"/>
      <c r="AQ489" s="337"/>
    </row>
    <row r="490" spans="2:43">
      <c r="B490" s="541"/>
      <c r="D490" s="337"/>
      <c r="G490" s="337"/>
      <c r="K490" s="337"/>
      <c r="O490" s="337"/>
      <c r="S490" s="337"/>
      <c r="T490" s="14"/>
      <c r="W490" s="337"/>
      <c r="X490" s="513"/>
      <c r="AA490" s="337"/>
      <c r="AB490" s="17"/>
      <c r="AC490" s="180"/>
      <c r="AD490" s="180"/>
      <c r="AE490" s="514"/>
      <c r="AF490" s="17"/>
      <c r="AI490" s="337"/>
      <c r="AM490" s="337"/>
      <c r="AQ490" s="337"/>
    </row>
    <row r="491" spans="2:43">
      <c r="B491" s="541"/>
      <c r="D491" s="337"/>
      <c r="G491" s="337"/>
      <c r="K491" s="337"/>
      <c r="O491" s="337"/>
      <c r="S491" s="337"/>
      <c r="T491" s="14"/>
      <c r="W491" s="337"/>
      <c r="X491" s="513"/>
      <c r="AA491" s="337"/>
      <c r="AB491" s="17"/>
      <c r="AC491" s="180"/>
      <c r="AD491" s="180"/>
      <c r="AE491" s="514"/>
      <c r="AF491" s="17"/>
      <c r="AI491" s="337"/>
      <c r="AM491" s="337"/>
      <c r="AQ491" s="337"/>
    </row>
    <row r="492" spans="2:43">
      <c r="B492" s="541"/>
      <c r="D492" s="337"/>
      <c r="G492" s="337"/>
      <c r="K492" s="337"/>
      <c r="O492" s="337"/>
      <c r="S492" s="337"/>
      <c r="T492" s="14"/>
      <c r="W492" s="337"/>
      <c r="X492" s="513"/>
      <c r="AA492" s="337"/>
      <c r="AB492" s="17"/>
      <c r="AC492" s="180"/>
      <c r="AD492" s="180"/>
      <c r="AE492" s="514"/>
      <c r="AF492" s="17"/>
      <c r="AI492" s="337"/>
      <c r="AM492" s="337"/>
      <c r="AQ492" s="337"/>
    </row>
    <row r="493" spans="2:43">
      <c r="B493" s="541"/>
      <c r="D493" s="337"/>
      <c r="G493" s="337"/>
      <c r="K493" s="337"/>
      <c r="O493" s="337"/>
      <c r="S493" s="337"/>
      <c r="T493" s="14"/>
      <c r="W493" s="337"/>
      <c r="X493" s="513"/>
      <c r="AA493" s="337"/>
      <c r="AB493" s="17"/>
      <c r="AC493" s="180"/>
      <c r="AD493" s="180"/>
      <c r="AE493" s="514"/>
      <c r="AF493" s="17"/>
      <c r="AI493" s="337"/>
      <c r="AM493" s="337"/>
      <c r="AQ493" s="337"/>
    </row>
    <row r="494" spans="2:43">
      <c r="B494" s="541"/>
      <c r="D494" s="337"/>
      <c r="G494" s="337"/>
      <c r="K494" s="337"/>
      <c r="O494" s="337"/>
      <c r="S494" s="337"/>
      <c r="T494" s="14"/>
      <c r="W494" s="337"/>
      <c r="X494" s="513"/>
      <c r="AA494" s="337"/>
      <c r="AB494" s="17"/>
      <c r="AC494" s="180"/>
      <c r="AD494" s="180"/>
      <c r="AE494" s="514"/>
      <c r="AF494" s="17"/>
      <c r="AI494" s="337"/>
      <c r="AM494" s="337"/>
      <c r="AQ494" s="337"/>
    </row>
    <row r="495" spans="2:43">
      <c r="B495" s="541"/>
      <c r="D495" s="337"/>
      <c r="G495" s="337"/>
      <c r="K495" s="337"/>
      <c r="O495" s="337"/>
      <c r="S495" s="337"/>
      <c r="T495" s="14"/>
      <c r="W495" s="337"/>
      <c r="X495" s="513"/>
      <c r="AA495" s="337"/>
      <c r="AB495" s="17"/>
      <c r="AC495" s="180"/>
      <c r="AD495" s="180"/>
      <c r="AE495" s="514"/>
      <c r="AF495" s="17"/>
      <c r="AI495" s="337"/>
      <c r="AM495" s="337"/>
      <c r="AQ495" s="337"/>
    </row>
    <row r="496" spans="2:43">
      <c r="B496" s="541"/>
      <c r="D496" s="337"/>
      <c r="G496" s="337"/>
      <c r="K496" s="337"/>
      <c r="O496" s="337"/>
      <c r="S496" s="337"/>
      <c r="T496" s="14"/>
      <c r="W496" s="337"/>
      <c r="X496" s="513"/>
      <c r="AA496" s="337"/>
      <c r="AB496" s="17"/>
      <c r="AC496" s="180"/>
      <c r="AD496" s="180"/>
      <c r="AE496" s="514"/>
      <c r="AF496" s="17"/>
      <c r="AI496" s="337"/>
      <c r="AM496" s="337"/>
      <c r="AQ496" s="337"/>
    </row>
    <row r="497" spans="2:43">
      <c r="B497" s="541"/>
      <c r="D497" s="337"/>
      <c r="G497" s="337"/>
      <c r="K497" s="337"/>
      <c r="O497" s="337"/>
      <c r="S497" s="337"/>
      <c r="T497" s="14"/>
      <c r="W497" s="337"/>
      <c r="X497" s="513"/>
      <c r="AA497" s="337"/>
      <c r="AB497" s="17"/>
      <c r="AC497" s="180"/>
      <c r="AD497" s="180"/>
      <c r="AE497" s="514"/>
      <c r="AF497" s="17"/>
      <c r="AI497" s="337"/>
      <c r="AM497" s="337"/>
      <c r="AQ497" s="337"/>
    </row>
    <row r="498" spans="2:43">
      <c r="B498" s="541"/>
      <c r="D498" s="337"/>
      <c r="G498" s="337"/>
      <c r="K498" s="337"/>
      <c r="O498" s="337"/>
      <c r="S498" s="337"/>
      <c r="T498" s="14"/>
      <c r="W498" s="337"/>
      <c r="X498" s="513"/>
      <c r="AA498" s="337"/>
      <c r="AB498" s="17"/>
      <c r="AC498" s="180"/>
      <c r="AD498" s="180"/>
      <c r="AE498" s="514"/>
      <c r="AF498" s="17"/>
      <c r="AI498" s="337"/>
      <c r="AM498" s="337"/>
      <c r="AQ498" s="337"/>
    </row>
    <row r="499" spans="2:43">
      <c r="B499" s="541"/>
      <c r="D499" s="337"/>
      <c r="G499" s="337"/>
      <c r="K499" s="337"/>
      <c r="O499" s="337"/>
      <c r="S499" s="337"/>
      <c r="T499" s="14"/>
      <c r="W499" s="337"/>
      <c r="X499" s="513"/>
      <c r="AA499" s="337"/>
      <c r="AB499" s="17"/>
      <c r="AC499" s="180"/>
      <c r="AD499" s="180"/>
      <c r="AE499" s="514"/>
      <c r="AF499" s="17"/>
      <c r="AI499" s="337"/>
      <c r="AM499" s="337"/>
      <c r="AQ499" s="337"/>
    </row>
    <row r="500" spans="2:43">
      <c r="B500" s="541"/>
      <c r="D500" s="337"/>
      <c r="G500" s="337"/>
      <c r="K500" s="337"/>
      <c r="O500" s="337"/>
      <c r="S500" s="337"/>
      <c r="T500" s="14"/>
      <c r="W500" s="337"/>
      <c r="X500" s="513"/>
      <c r="AA500" s="337"/>
      <c r="AB500" s="17"/>
      <c r="AC500" s="180"/>
      <c r="AD500" s="180"/>
      <c r="AE500" s="514"/>
      <c r="AF500" s="17"/>
      <c r="AI500" s="337"/>
      <c r="AM500" s="337"/>
      <c r="AQ500" s="337"/>
    </row>
    <row r="501" spans="2:43">
      <c r="B501" s="541"/>
      <c r="D501" s="337"/>
      <c r="G501" s="337"/>
      <c r="K501" s="337"/>
      <c r="O501" s="337"/>
      <c r="S501" s="337"/>
      <c r="T501" s="14"/>
      <c r="W501" s="337"/>
      <c r="X501" s="513"/>
      <c r="AA501" s="337"/>
      <c r="AB501" s="17"/>
      <c r="AC501" s="180"/>
      <c r="AD501" s="180"/>
      <c r="AE501" s="514"/>
      <c r="AF501" s="17"/>
      <c r="AI501" s="337"/>
      <c r="AM501" s="337"/>
      <c r="AQ501" s="337"/>
    </row>
    <row r="502" spans="2:43">
      <c r="B502" s="541"/>
      <c r="D502" s="337"/>
      <c r="G502" s="337"/>
      <c r="K502" s="337"/>
      <c r="O502" s="337"/>
      <c r="S502" s="337"/>
      <c r="T502" s="14"/>
      <c r="W502" s="337"/>
      <c r="X502" s="513"/>
      <c r="AA502" s="337"/>
      <c r="AB502" s="17"/>
      <c r="AC502" s="180"/>
      <c r="AD502" s="180"/>
      <c r="AE502" s="514"/>
      <c r="AF502" s="17"/>
      <c r="AI502" s="337"/>
      <c r="AM502" s="337"/>
      <c r="AQ502" s="337"/>
    </row>
    <row r="503" spans="2:43">
      <c r="B503" s="541"/>
      <c r="D503" s="337"/>
      <c r="G503" s="337"/>
      <c r="K503" s="337"/>
      <c r="O503" s="337"/>
      <c r="S503" s="337"/>
      <c r="T503" s="14"/>
      <c r="W503" s="337"/>
      <c r="X503" s="513"/>
      <c r="AA503" s="337"/>
      <c r="AB503" s="17"/>
      <c r="AC503" s="180"/>
      <c r="AD503" s="180"/>
      <c r="AE503" s="514"/>
      <c r="AF503" s="17"/>
      <c r="AI503" s="337"/>
      <c r="AM503" s="337"/>
      <c r="AQ503" s="337"/>
    </row>
    <row r="504" spans="2:43">
      <c r="B504" s="541"/>
      <c r="D504" s="337"/>
      <c r="G504" s="337"/>
      <c r="K504" s="337"/>
      <c r="O504" s="337"/>
      <c r="S504" s="337"/>
      <c r="T504" s="14"/>
      <c r="W504" s="337"/>
      <c r="X504" s="513"/>
      <c r="AA504" s="337"/>
      <c r="AB504" s="17"/>
      <c r="AC504" s="180"/>
      <c r="AD504" s="180"/>
      <c r="AE504" s="514"/>
      <c r="AF504" s="17"/>
      <c r="AI504" s="337"/>
      <c r="AM504" s="337"/>
      <c r="AQ504" s="337"/>
    </row>
    <row r="505" spans="2:43">
      <c r="B505" s="541"/>
      <c r="D505" s="337"/>
      <c r="G505" s="337"/>
      <c r="K505" s="337"/>
      <c r="O505" s="337"/>
      <c r="S505" s="337"/>
      <c r="T505" s="14"/>
      <c r="W505" s="337"/>
      <c r="X505" s="513"/>
      <c r="AA505" s="337"/>
      <c r="AB505" s="17"/>
      <c r="AC505" s="180"/>
      <c r="AD505" s="180"/>
      <c r="AE505" s="514"/>
      <c r="AF505" s="17"/>
      <c r="AI505" s="337"/>
      <c r="AM505" s="337"/>
      <c r="AQ505" s="337"/>
    </row>
    <row r="506" spans="2:43">
      <c r="B506" s="541"/>
      <c r="D506" s="337"/>
      <c r="G506" s="337"/>
      <c r="K506" s="337"/>
      <c r="O506" s="337"/>
      <c r="S506" s="337"/>
      <c r="T506" s="14"/>
      <c r="W506" s="337"/>
      <c r="X506" s="513"/>
      <c r="AA506" s="337"/>
      <c r="AB506" s="17"/>
      <c r="AC506" s="180"/>
      <c r="AD506" s="180"/>
      <c r="AE506" s="514"/>
      <c r="AF506" s="17"/>
      <c r="AI506" s="337"/>
      <c r="AM506" s="337"/>
      <c r="AQ506" s="337"/>
    </row>
    <row r="507" spans="2:43">
      <c r="B507" s="541"/>
      <c r="D507" s="337"/>
      <c r="G507" s="337"/>
      <c r="K507" s="337"/>
      <c r="O507" s="337"/>
      <c r="S507" s="337"/>
      <c r="T507" s="14"/>
      <c r="W507" s="337"/>
      <c r="X507" s="513"/>
      <c r="AA507" s="337"/>
      <c r="AB507" s="17"/>
      <c r="AC507" s="180"/>
      <c r="AD507" s="180"/>
      <c r="AE507" s="514"/>
      <c r="AF507" s="17"/>
      <c r="AI507" s="337"/>
      <c r="AM507" s="337"/>
      <c r="AQ507" s="337"/>
    </row>
    <row r="508" spans="2:43">
      <c r="B508" s="541"/>
      <c r="D508" s="337"/>
      <c r="G508" s="337"/>
      <c r="K508" s="337"/>
      <c r="O508" s="337"/>
      <c r="S508" s="337"/>
      <c r="T508" s="14"/>
      <c r="W508" s="337"/>
      <c r="X508" s="513"/>
      <c r="AA508" s="337"/>
      <c r="AB508" s="17"/>
      <c r="AC508" s="180"/>
      <c r="AD508" s="180"/>
      <c r="AE508" s="514"/>
      <c r="AF508" s="17"/>
      <c r="AI508" s="337"/>
      <c r="AM508" s="337"/>
      <c r="AQ508" s="337"/>
    </row>
    <row r="509" spans="2:43">
      <c r="B509" s="541"/>
      <c r="D509" s="337"/>
      <c r="G509" s="337"/>
      <c r="K509" s="337"/>
      <c r="O509" s="337"/>
      <c r="S509" s="337"/>
      <c r="T509" s="14"/>
      <c r="W509" s="337"/>
      <c r="X509" s="513"/>
      <c r="AA509" s="337"/>
      <c r="AB509" s="17"/>
      <c r="AC509" s="180"/>
      <c r="AD509" s="180"/>
      <c r="AE509" s="514"/>
      <c r="AF509" s="17"/>
      <c r="AI509" s="337"/>
      <c r="AM509" s="337"/>
      <c r="AQ509" s="337"/>
    </row>
    <row r="510" spans="2:43">
      <c r="B510" s="541"/>
      <c r="D510" s="337"/>
      <c r="G510" s="337"/>
      <c r="K510" s="337"/>
      <c r="O510" s="337"/>
      <c r="S510" s="337"/>
      <c r="T510" s="14"/>
      <c r="W510" s="337"/>
      <c r="X510" s="513"/>
      <c r="AA510" s="337"/>
      <c r="AB510" s="17"/>
      <c r="AC510" s="180"/>
      <c r="AD510" s="180"/>
      <c r="AE510" s="514"/>
      <c r="AF510" s="17"/>
      <c r="AI510" s="337"/>
      <c r="AM510" s="337"/>
      <c r="AQ510" s="337"/>
    </row>
    <row r="511" spans="2:43">
      <c r="B511" s="541"/>
      <c r="D511" s="337"/>
      <c r="G511" s="337"/>
      <c r="K511" s="337"/>
      <c r="O511" s="337"/>
      <c r="S511" s="337"/>
      <c r="T511" s="14"/>
      <c r="W511" s="337"/>
      <c r="X511" s="513"/>
      <c r="AA511" s="337"/>
      <c r="AB511" s="17"/>
      <c r="AC511" s="180"/>
      <c r="AD511" s="180"/>
      <c r="AE511" s="514"/>
      <c r="AF511" s="17"/>
      <c r="AI511" s="337"/>
      <c r="AM511" s="337"/>
      <c r="AQ511" s="337"/>
    </row>
    <row r="512" spans="2:43">
      <c r="B512" s="541"/>
      <c r="D512" s="337"/>
      <c r="G512" s="337"/>
      <c r="K512" s="337"/>
      <c r="O512" s="337"/>
      <c r="S512" s="337"/>
      <c r="T512" s="14"/>
      <c r="W512" s="337"/>
      <c r="X512" s="513"/>
      <c r="AA512" s="337"/>
      <c r="AB512" s="17"/>
      <c r="AC512" s="180"/>
      <c r="AD512" s="180"/>
      <c r="AE512" s="514"/>
      <c r="AF512" s="17"/>
      <c r="AI512" s="337"/>
      <c r="AM512" s="337"/>
      <c r="AQ512" s="337"/>
    </row>
    <row r="513" spans="2:43">
      <c r="B513" s="541"/>
      <c r="D513" s="337"/>
      <c r="G513" s="337"/>
      <c r="K513" s="337"/>
      <c r="O513" s="337"/>
      <c r="S513" s="337"/>
      <c r="T513" s="14"/>
      <c r="W513" s="337"/>
      <c r="X513" s="513"/>
      <c r="AA513" s="337"/>
      <c r="AB513" s="17"/>
      <c r="AC513" s="180"/>
      <c r="AD513" s="180"/>
      <c r="AE513" s="514"/>
      <c r="AF513" s="17"/>
      <c r="AI513" s="337"/>
      <c r="AM513" s="337"/>
      <c r="AQ513" s="337"/>
    </row>
    <row r="514" spans="2:43">
      <c r="B514" s="541"/>
      <c r="D514" s="337"/>
      <c r="G514" s="337"/>
      <c r="K514" s="337"/>
      <c r="O514" s="337"/>
      <c r="S514" s="337"/>
      <c r="T514" s="14"/>
      <c r="W514" s="337"/>
      <c r="X514" s="513"/>
      <c r="AA514" s="337"/>
      <c r="AB514" s="17"/>
      <c r="AC514" s="180"/>
      <c r="AD514" s="180"/>
      <c r="AE514" s="514"/>
      <c r="AF514" s="17"/>
      <c r="AI514" s="337"/>
      <c r="AM514" s="337"/>
      <c r="AQ514" s="337"/>
    </row>
    <row r="515" spans="2:43">
      <c r="B515" s="541"/>
      <c r="D515" s="337"/>
      <c r="G515" s="337"/>
      <c r="K515" s="337"/>
      <c r="O515" s="337"/>
      <c r="S515" s="337"/>
      <c r="T515" s="14"/>
      <c r="W515" s="337"/>
      <c r="X515" s="513"/>
      <c r="AA515" s="337"/>
      <c r="AB515" s="17"/>
      <c r="AC515" s="180"/>
      <c r="AD515" s="180"/>
      <c r="AE515" s="514"/>
      <c r="AF515" s="17"/>
      <c r="AI515" s="337"/>
      <c r="AM515" s="337"/>
      <c r="AQ515" s="337"/>
    </row>
    <row r="516" spans="2:43">
      <c r="B516" s="541"/>
      <c r="D516" s="337"/>
      <c r="G516" s="337"/>
      <c r="K516" s="337"/>
      <c r="O516" s="337"/>
      <c r="S516" s="337"/>
      <c r="T516" s="14"/>
      <c r="W516" s="337"/>
      <c r="X516" s="513"/>
      <c r="AA516" s="337"/>
      <c r="AB516" s="17"/>
      <c r="AC516" s="180"/>
      <c r="AD516" s="180"/>
      <c r="AE516" s="514"/>
      <c r="AF516" s="17"/>
      <c r="AI516" s="337"/>
      <c r="AM516" s="337"/>
      <c r="AQ516" s="337"/>
    </row>
    <row r="517" spans="2:43">
      <c r="B517" s="541"/>
      <c r="D517" s="337"/>
      <c r="G517" s="337"/>
      <c r="K517" s="337"/>
      <c r="O517" s="337"/>
      <c r="S517" s="337"/>
      <c r="T517" s="14"/>
      <c r="W517" s="337"/>
      <c r="X517" s="513"/>
      <c r="AA517" s="337"/>
      <c r="AB517" s="17"/>
      <c r="AC517" s="180"/>
      <c r="AD517" s="180"/>
      <c r="AE517" s="514"/>
      <c r="AF517" s="17"/>
      <c r="AI517" s="337"/>
      <c r="AM517" s="337"/>
      <c r="AQ517" s="337"/>
    </row>
    <row r="518" spans="2:43">
      <c r="B518" s="541"/>
      <c r="D518" s="337"/>
      <c r="G518" s="337"/>
      <c r="K518" s="337"/>
      <c r="O518" s="337"/>
      <c r="S518" s="337"/>
      <c r="T518" s="14"/>
      <c r="W518" s="337"/>
      <c r="X518" s="513"/>
      <c r="AA518" s="337"/>
      <c r="AB518" s="17"/>
      <c r="AC518" s="180"/>
      <c r="AD518" s="180"/>
      <c r="AE518" s="514"/>
      <c r="AF518" s="17"/>
      <c r="AI518" s="337"/>
      <c r="AM518" s="337"/>
      <c r="AQ518" s="337"/>
    </row>
    <row r="519" spans="2:43">
      <c r="B519" s="541"/>
      <c r="D519" s="337"/>
      <c r="G519" s="337"/>
      <c r="K519" s="337"/>
      <c r="O519" s="337"/>
      <c r="S519" s="337"/>
      <c r="T519" s="14"/>
      <c r="W519" s="337"/>
      <c r="X519" s="513"/>
      <c r="AA519" s="337"/>
      <c r="AB519" s="17"/>
      <c r="AC519" s="180"/>
      <c r="AD519" s="180"/>
      <c r="AE519" s="514"/>
      <c r="AF519" s="17"/>
      <c r="AI519" s="337"/>
      <c r="AM519" s="337"/>
      <c r="AQ519" s="337"/>
    </row>
    <row r="520" spans="2:43">
      <c r="B520" s="541"/>
      <c r="D520" s="337"/>
      <c r="G520" s="337"/>
      <c r="K520" s="337"/>
      <c r="O520" s="337"/>
      <c r="S520" s="337"/>
      <c r="T520" s="14"/>
      <c r="W520" s="337"/>
      <c r="X520" s="513"/>
      <c r="AA520" s="337"/>
      <c r="AB520" s="17"/>
      <c r="AC520" s="180"/>
      <c r="AD520" s="180"/>
      <c r="AE520" s="514"/>
      <c r="AF520" s="17"/>
      <c r="AI520" s="337"/>
      <c r="AM520" s="337"/>
      <c r="AQ520" s="337"/>
    </row>
    <row r="521" spans="2:43">
      <c r="B521" s="541"/>
      <c r="D521" s="337"/>
      <c r="G521" s="337"/>
      <c r="K521" s="337"/>
      <c r="O521" s="337"/>
      <c r="S521" s="337"/>
      <c r="T521" s="14"/>
      <c r="W521" s="337"/>
      <c r="X521" s="513"/>
      <c r="AA521" s="337"/>
      <c r="AB521" s="17"/>
      <c r="AC521" s="180"/>
      <c r="AD521" s="180"/>
      <c r="AE521" s="514"/>
      <c r="AF521" s="17"/>
      <c r="AI521" s="337"/>
      <c r="AM521" s="337"/>
      <c r="AQ521" s="337"/>
    </row>
    <row r="522" spans="2:43">
      <c r="B522" s="541"/>
      <c r="D522" s="337"/>
      <c r="G522" s="337"/>
      <c r="K522" s="337"/>
      <c r="O522" s="337"/>
      <c r="S522" s="337"/>
      <c r="T522" s="14"/>
      <c r="W522" s="337"/>
      <c r="X522" s="513"/>
      <c r="AA522" s="337"/>
      <c r="AB522" s="17"/>
      <c r="AC522" s="180"/>
      <c r="AD522" s="180"/>
      <c r="AE522" s="514"/>
      <c r="AF522" s="17"/>
      <c r="AI522" s="337"/>
      <c r="AM522" s="337"/>
      <c r="AQ522" s="337"/>
    </row>
    <row r="523" spans="2:43">
      <c r="B523" s="541"/>
      <c r="D523" s="337"/>
      <c r="G523" s="337"/>
      <c r="K523" s="337"/>
      <c r="O523" s="337"/>
      <c r="S523" s="337"/>
      <c r="T523" s="14"/>
      <c r="W523" s="337"/>
      <c r="X523" s="513"/>
      <c r="AA523" s="337"/>
      <c r="AB523" s="17"/>
      <c r="AC523" s="180"/>
      <c r="AD523" s="180"/>
      <c r="AE523" s="514"/>
      <c r="AF523" s="17"/>
      <c r="AI523" s="337"/>
      <c r="AM523" s="337"/>
      <c r="AQ523" s="337"/>
    </row>
    <row r="524" spans="2:43">
      <c r="B524" s="541"/>
      <c r="D524" s="337"/>
      <c r="G524" s="337"/>
      <c r="K524" s="337"/>
      <c r="O524" s="337"/>
      <c r="S524" s="337"/>
      <c r="T524" s="14"/>
      <c r="W524" s="337"/>
      <c r="X524" s="513"/>
      <c r="AA524" s="337"/>
      <c r="AB524" s="17"/>
      <c r="AC524" s="180"/>
      <c r="AD524" s="180"/>
      <c r="AE524" s="514"/>
      <c r="AF524" s="17"/>
      <c r="AI524" s="337"/>
      <c r="AM524" s="337"/>
      <c r="AQ524" s="337"/>
    </row>
    <row r="525" spans="2:43">
      <c r="B525" s="541"/>
      <c r="D525" s="337"/>
      <c r="G525" s="337"/>
      <c r="K525" s="337"/>
      <c r="O525" s="337"/>
      <c r="S525" s="337"/>
      <c r="T525" s="14"/>
      <c r="W525" s="337"/>
      <c r="X525" s="513"/>
      <c r="AA525" s="337"/>
      <c r="AB525" s="17"/>
      <c r="AC525" s="180"/>
      <c r="AD525" s="180"/>
      <c r="AE525" s="514"/>
      <c r="AF525" s="17"/>
      <c r="AI525" s="337"/>
      <c r="AM525" s="337"/>
      <c r="AQ525" s="337"/>
    </row>
    <row r="526" spans="2:43">
      <c r="B526" s="541"/>
      <c r="D526" s="337"/>
      <c r="G526" s="337"/>
      <c r="K526" s="337"/>
      <c r="O526" s="337"/>
      <c r="S526" s="337"/>
      <c r="T526" s="14"/>
      <c r="W526" s="337"/>
      <c r="X526" s="513"/>
      <c r="AA526" s="337"/>
      <c r="AB526" s="17"/>
      <c r="AC526" s="180"/>
      <c r="AD526" s="180"/>
      <c r="AE526" s="514"/>
      <c r="AF526" s="17"/>
      <c r="AI526" s="337"/>
      <c r="AM526" s="337"/>
      <c r="AQ526" s="337"/>
    </row>
    <row r="527" spans="2:43">
      <c r="B527" s="541"/>
      <c r="D527" s="337"/>
      <c r="G527" s="337"/>
      <c r="K527" s="337"/>
      <c r="O527" s="337"/>
      <c r="S527" s="337"/>
      <c r="T527" s="14"/>
      <c r="W527" s="337"/>
      <c r="X527" s="513"/>
      <c r="AA527" s="337"/>
      <c r="AB527" s="17"/>
      <c r="AC527" s="180"/>
      <c r="AD527" s="180"/>
      <c r="AE527" s="514"/>
      <c r="AF527" s="17"/>
      <c r="AI527" s="337"/>
      <c r="AM527" s="337"/>
      <c r="AQ527" s="337"/>
    </row>
    <row r="528" spans="2:43">
      <c r="B528" s="541"/>
      <c r="D528" s="337"/>
      <c r="G528" s="337"/>
      <c r="K528" s="337"/>
      <c r="O528" s="337"/>
      <c r="S528" s="337"/>
      <c r="T528" s="14"/>
      <c r="W528" s="337"/>
      <c r="X528" s="513"/>
      <c r="AA528" s="337"/>
      <c r="AB528" s="17"/>
      <c r="AC528" s="180"/>
      <c r="AD528" s="180"/>
      <c r="AE528" s="514"/>
      <c r="AF528" s="17"/>
      <c r="AI528" s="337"/>
      <c r="AM528" s="337"/>
      <c r="AQ528" s="337"/>
    </row>
    <row r="529" spans="2:43">
      <c r="B529" s="541"/>
      <c r="D529" s="337"/>
      <c r="G529" s="337"/>
      <c r="K529" s="337"/>
      <c r="O529" s="337"/>
      <c r="S529" s="337"/>
      <c r="T529" s="14"/>
      <c r="W529" s="337"/>
      <c r="X529" s="513"/>
      <c r="AA529" s="337"/>
      <c r="AB529" s="17"/>
      <c r="AC529" s="180"/>
      <c r="AD529" s="180"/>
      <c r="AE529" s="514"/>
      <c r="AF529" s="17"/>
      <c r="AI529" s="337"/>
      <c r="AM529" s="337"/>
      <c r="AQ529" s="337"/>
    </row>
    <row r="530" spans="2:43">
      <c r="B530" s="541"/>
      <c r="D530" s="337"/>
      <c r="G530" s="337"/>
      <c r="K530" s="337"/>
      <c r="O530" s="337"/>
      <c r="S530" s="337"/>
      <c r="T530" s="14"/>
      <c r="W530" s="337"/>
      <c r="X530" s="513"/>
      <c r="AA530" s="337"/>
      <c r="AB530" s="17"/>
      <c r="AC530" s="180"/>
      <c r="AD530" s="180"/>
      <c r="AE530" s="514"/>
      <c r="AF530" s="17"/>
      <c r="AI530" s="337"/>
      <c r="AM530" s="337"/>
      <c r="AQ530" s="337"/>
    </row>
    <row r="531" spans="2:43">
      <c r="B531" s="541"/>
      <c r="D531" s="337"/>
      <c r="G531" s="337"/>
      <c r="K531" s="337"/>
      <c r="O531" s="337"/>
      <c r="S531" s="337"/>
      <c r="T531" s="14"/>
      <c r="W531" s="337"/>
      <c r="X531" s="513"/>
      <c r="AA531" s="337"/>
      <c r="AB531" s="17"/>
      <c r="AC531" s="180"/>
      <c r="AD531" s="180"/>
      <c r="AE531" s="514"/>
      <c r="AF531" s="17"/>
      <c r="AI531" s="337"/>
      <c r="AM531" s="337"/>
      <c r="AQ531" s="337"/>
    </row>
    <row r="532" spans="2:43">
      <c r="B532" s="541"/>
      <c r="D532" s="337"/>
      <c r="G532" s="337"/>
      <c r="K532" s="337"/>
      <c r="O532" s="337"/>
      <c r="S532" s="337"/>
      <c r="T532" s="14"/>
      <c r="W532" s="337"/>
      <c r="X532" s="513"/>
      <c r="AA532" s="337"/>
      <c r="AB532" s="17"/>
      <c r="AC532" s="180"/>
      <c r="AD532" s="180"/>
      <c r="AE532" s="514"/>
      <c r="AF532" s="17"/>
      <c r="AI532" s="337"/>
      <c r="AM532" s="337"/>
      <c r="AQ532" s="337"/>
    </row>
    <row r="533" spans="2:43">
      <c r="B533" s="541"/>
      <c r="D533" s="337"/>
      <c r="G533" s="337"/>
      <c r="K533" s="337"/>
      <c r="O533" s="337"/>
      <c r="S533" s="337"/>
      <c r="T533" s="14"/>
      <c r="W533" s="337"/>
      <c r="X533" s="513"/>
      <c r="AA533" s="337"/>
      <c r="AB533" s="17"/>
      <c r="AC533" s="180"/>
      <c r="AD533" s="180"/>
      <c r="AE533" s="514"/>
      <c r="AF533" s="17"/>
      <c r="AI533" s="337"/>
      <c r="AM533" s="337"/>
      <c r="AQ533" s="337"/>
    </row>
    <row r="534" spans="2:43">
      <c r="B534" s="541"/>
      <c r="D534" s="337"/>
      <c r="G534" s="337"/>
      <c r="K534" s="337"/>
      <c r="O534" s="337"/>
      <c r="S534" s="337"/>
      <c r="T534" s="14"/>
      <c r="W534" s="337"/>
      <c r="X534" s="513"/>
      <c r="AA534" s="337"/>
      <c r="AB534" s="17"/>
      <c r="AC534" s="180"/>
      <c r="AD534" s="180"/>
      <c r="AE534" s="514"/>
      <c r="AF534" s="17"/>
      <c r="AI534" s="337"/>
      <c r="AM534" s="337"/>
      <c r="AQ534" s="337"/>
    </row>
    <row r="535" spans="2:43">
      <c r="B535" s="541"/>
      <c r="D535" s="337"/>
      <c r="G535" s="337"/>
      <c r="K535" s="337"/>
      <c r="O535" s="337"/>
      <c r="S535" s="337"/>
      <c r="T535" s="14"/>
      <c r="W535" s="337"/>
      <c r="X535" s="513"/>
      <c r="AA535" s="337"/>
      <c r="AB535" s="17"/>
      <c r="AC535" s="180"/>
      <c r="AD535" s="180"/>
      <c r="AE535" s="514"/>
      <c r="AF535" s="17"/>
      <c r="AI535" s="337"/>
      <c r="AM535" s="337"/>
      <c r="AQ535" s="337"/>
    </row>
    <row r="536" spans="2:43">
      <c r="B536" s="541"/>
      <c r="D536" s="337"/>
      <c r="G536" s="337"/>
      <c r="K536" s="337"/>
      <c r="O536" s="337"/>
      <c r="S536" s="337"/>
      <c r="T536" s="14"/>
      <c r="W536" s="337"/>
      <c r="X536" s="513"/>
      <c r="AA536" s="337"/>
      <c r="AB536" s="17"/>
      <c r="AC536" s="180"/>
      <c r="AD536" s="180"/>
      <c r="AE536" s="514"/>
      <c r="AF536" s="17"/>
      <c r="AI536" s="337"/>
      <c r="AM536" s="337"/>
      <c r="AQ536" s="337"/>
    </row>
    <row r="537" spans="2:43">
      <c r="B537" s="541"/>
      <c r="D537" s="337"/>
      <c r="G537" s="337"/>
      <c r="K537" s="337"/>
      <c r="O537" s="337"/>
      <c r="S537" s="337"/>
      <c r="T537" s="14"/>
      <c r="W537" s="337"/>
      <c r="X537" s="513"/>
      <c r="AA537" s="337"/>
      <c r="AB537" s="17"/>
      <c r="AC537" s="180"/>
      <c r="AD537" s="180"/>
      <c r="AE537" s="514"/>
      <c r="AF537" s="17"/>
      <c r="AI537" s="337"/>
      <c r="AM537" s="337"/>
      <c r="AQ537" s="337"/>
    </row>
    <row r="538" spans="2:43">
      <c r="B538" s="541"/>
      <c r="D538" s="337"/>
      <c r="G538" s="337"/>
      <c r="K538" s="337"/>
      <c r="O538" s="337"/>
      <c r="S538" s="337"/>
      <c r="T538" s="14"/>
      <c r="W538" s="337"/>
      <c r="X538" s="513"/>
      <c r="AA538" s="337"/>
      <c r="AB538" s="17"/>
      <c r="AC538" s="180"/>
      <c r="AD538" s="180"/>
      <c r="AE538" s="514"/>
      <c r="AF538" s="17"/>
      <c r="AI538" s="337"/>
      <c r="AM538" s="337"/>
      <c r="AQ538" s="337"/>
    </row>
    <row r="539" spans="2:43">
      <c r="B539" s="541"/>
      <c r="D539" s="337"/>
      <c r="G539" s="337"/>
      <c r="K539" s="337"/>
      <c r="O539" s="337"/>
      <c r="S539" s="337"/>
      <c r="T539" s="14"/>
      <c r="W539" s="337"/>
      <c r="X539" s="513"/>
      <c r="AA539" s="337"/>
      <c r="AB539" s="17"/>
      <c r="AC539" s="180"/>
      <c r="AD539" s="180"/>
      <c r="AE539" s="514"/>
      <c r="AF539" s="17"/>
      <c r="AI539" s="337"/>
      <c r="AM539" s="337"/>
      <c r="AQ539" s="337"/>
    </row>
    <row r="540" spans="2:43">
      <c r="B540" s="541"/>
      <c r="D540" s="337"/>
      <c r="G540" s="337"/>
      <c r="K540" s="337"/>
      <c r="O540" s="337"/>
      <c r="S540" s="337"/>
      <c r="T540" s="14"/>
      <c r="W540" s="337"/>
      <c r="X540" s="513"/>
      <c r="AA540" s="337"/>
      <c r="AB540" s="17"/>
      <c r="AC540" s="180"/>
      <c r="AD540" s="180"/>
      <c r="AE540" s="514"/>
      <c r="AF540" s="17"/>
      <c r="AI540" s="337"/>
      <c r="AM540" s="337"/>
      <c r="AQ540" s="337"/>
    </row>
    <row r="541" spans="2:43">
      <c r="B541" s="541"/>
      <c r="D541" s="337"/>
      <c r="G541" s="337"/>
      <c r="K541" s="337"/>
      <c r="O541" s="337"/>
      <c r="S541" s="337"/>
      <c r="T541" s="14"/>
      <c r="W541" s="337"/>
      <c r="X541" s="513"/>
      <c r="AA541" s="337"/>
      <c r="AB541" s="17"/>
      <c r="AC541" s="180"/>
      <c r="AD541" s="180"/>
      <c r="AE541" s="514"/>
      <c r="AF541" s="17"/>
      <c r="AI541" s="337"/>
      <c r="AM541" s="337"/>
      <c r="AQ541" s="337"/>
    </row>
    <row r="542" spans="2:43">
      <c r="B542" s="541"/>
      <c r="D542" s="337"/>
      <c r="G542" s="337"/>
      <c r="K542" s="337"/>
      <c r="O542" s="337"/>
      <c r="S542" s="337"/>
      <c r="T542" s="14"/>
      <c r="W542" s="337"/>
      <c r="X542" s="513"/>
      <c r="AA542" s="337"/>
      <c r="AB542" s="17"/>
      <c r="AC542" s="180"/>
      <c r="AD542" s="180"/>
      <c r="AE542" s="514"/>
      <c r="AF542" s="17"/>
      <c r="AI542" s="337"/>
      <c r="AM542" s="337"/>
      <c r="AQ542" s="337"/>
    </row>
    <row r="543" spans="2:43">
      <c r="B543" s="541"/>
      <c r="D543" s="337"/>
      <c r="G543" s="337"/>
      <c r="K543" s="337"/>
      <c r="O543" s="337"/>
      <c r="S543" s="337"/>
      <c r="T543" s="14"/>
      <c r="W543" s="337"/>
      <c r="X543" s="513"/>
      <c r="AA543" s="337"/>
      <c r="AB543" s="17"/>
      <c r="AC543" s="180"/>
      <c r="AD543" s="180"/>
      <c r="AE543" s="514"/>
      <c r="AF543" s="17"/>
      <c r="AI543" s="337"/>
      <c r="AM543" s="337"/>
      <c r="AQ543" s="337"/>
    </row>
    <row r="544" spans="2:43">
      <c r="B544" s="541"/>
      <c r="D544" s="337"/>
      <c r="G544" s="337"/>
      <c r="K544" s="337"/>
      <c r="O544" s="337"/>
      <c r="S544" s="337"/>
      <c r="T544" s="14"/>
      <c r="W544" s="337"/>
      <c r="X544" s="513"/>
      <c r="AA544" s="337"/>
      <c r="AB544" s="17"/>
      <c r="AC544" s="180"/>
      <c r="AD544" s="180"/>
      <c r="AE544" s="514"/>
      <c r="AF544" s="17"/>
      <c r="AI544" s="337"/>
      <c r="AM544" s="337"/>
      <c r="AQ544" s="337"/>
    </row>
    <row r="545" spans="2:43">
      <c r="B545" s="541"/>
      <c r="D545" s="337"/>
      <c r="G545" s="337"/>
      <c r="K545" s="337"/>
      <c r="O545" s="337"/>
      <c r="S545" s="337"/>
      <c r="T545" s="14"/>
      <c r="W545" s="337"/>
      <c r="X545" s="513"/>
      <c r="AA545" s="337"/>
      <c r="AB545" s="17"/>
      <c r="AC545" s="180"/>
      <c r="AD545" s="180"/>
      <c r="AE545" s="514"/>
      <c r="AF545" s="17"/>
      <c r="AI545" s="337"/>
      <c r="AM545" s="337"/>
      <c r="AQ545" s="337"/>
    </row>
    <row r="546" spans="2:43">
      <c r="B546" s="541"/>
      <c r="D546" s="337"/>
      <c r="G546" s="337"/>
      <c r="K546" s="337"/>
      <c r="O546" s="337"/>
      <c r="S546" s="337"/>
      <c r="T546" s="14"/>
      <c r="W546" s="337"/>
      <c r="X546" s="513"/>
      <c r="AA546" s="337"/>
      <c r="AB546" s="17"/>
      <c r="AC546" s="180"/>
      <c r="AD546" s="180"/>
      <c r="AE546" s="514"/>
      <c r="AF546" s="17"/>
      <c r="AI546" s="337"/>
      <c r="AM546" s="337"/>
      <c r="AQ546" s="337"/>
    </row>
    <row r="547" spans="2:43">
      <c r="B547" s="541"/>
      <c r="D547" s="337"/>
      <c r="G547" s="337"/>
      <c r="K547" s="337"/>
      <c r="O547" s="337"/>
      <c r="S547" s="337"/>
      <c r="T547" s="14"/>
      <c r="W547" s="337"/>
      <c r="X547" s="513"/>
      <c r="AA547" s="337"/>
      <c r="AB547" s="17"/>
      <c r="AC547" s="180"/>
      <c r="AD547" s="180"/>
      <c r="AE547" s="514"/>
      <c r="AF547" s="17"/>
      <c r="AI547" s="337"/>
      <c r="AM547" s="337"/>
      <c r="AQ547" s="337"/>
    </row>
    <row r="548" spans="2:43">
      <c r="B548" s="541"/>
      <c r="D548" s="337"/>
      <c r="G548" s="337"/>
      <c r="K548" s="337"/>
      <c r="O548" s="337"/>
      <c r="S548" s="337"/>
      <c r="T548" s="14"/>
      <c r="W548" s="337"/>
      <c r="X548" s="513"/>
      <c r="AA548" s="337"/>
      <c r="AB548" s="17"/>
      <c r="AC548" s="180"/>
      <c r="AD548" s="180"/>
      <c r="AE548" s="514"/>
      <c r="AF548" s="17"/>
      <c r="AI548" s="337"/>
      <c r="AM548" s="337"/>
      <c r="AQ548" s="337"/>
    </row>
    <row r="549" spans="2:43">
      <c r="B549" s="541"/>
      <c r="D549" s="337"/>
      <c r="G549" s="337"/>
      <c r="K549" s="337"/>
      <c r="O549" s="337"/>
      <c r="S549" s="337"/>
      <c r="T549" s="14"/>
      <c r="W549" s="337"/>
      <c r="X549" s="513"/>
      <c r="AA549" s="337"/>
      <c r="AB549" s="17"/>
      <c r="AC549" s="180"/>
      <c r="AD549" s="180"/>
      <c r="AE549" s="514"/>
      <c r="AF549" s="17"/>
      <c r="AI549" s="337"/>
      <c r="AM549" s="337"/>
      <c r="AQ549" s="337"/>
    </row>
    <row r="550" spans="2:43">
      <c r="B550" s="541"/>
      <c r="D550" s="337"/>
      <c r="G550" s="337"/>
      <c r="K550" s="337"/>
      <c r="O550" s="337"/>
      <c r="S550" s="337"/>
      <c r="T550" s="14"/>
      <c r="W550" s="337"/>
      <c r="X550" s="513"/>
      <c r="AA550" s="337"/>
      <c r="AB550" s="17"/>
      <c r="AC550" s="180"/>
      <c r="AD550" s="180"/>
      <c r="AE550" s="514"/>
      <c r="AF550" s="17"/>
      <c r="AI550" s="337"/>
      <c r="AM550" s="337"/>
      <c r="AQ550" s="337"/>
    </row>
    <row r="551" spans="2:43">
      <c r="B551" s="541"/>
      <c r="D551" s="337"/>
      <c r="G551" s="337"/>
      <c r="K551" s="337"/>
      <c r="O551" s="337"/>
      <c r="S551" s="337"/>
      <c r="T551" s="14"/>
      <c r="W551" s="337"/>
      <c r="X551" s="513"/>
      <c r="AA551" s="337"/>
      <c r="AB551" s="17"/>
      <c r="AC551" s="180"/>
      <c r="AD551" s="180"/>
      <c r="AE551" s="514"/>
      <c r="AF551" s="17"/>
      <c r="AI551" s="337"/>
      <c r="AM551" s="337"/>
      <c r="AQ551" s="337"/>
    </row>
    <row r="552" spans="2:43">
      <c r="B552" s="541"/>
      <c r="D552" s="337"/>
      <c r="G552" s="337"/>
      <c r="K552" s="337"/>
      <c r="O552" s="337"/>
      <c r="S552" s="337"/>
      <c r="T552" s="14"/>
      <c r="W552" s="337"/>
      <c r="X552" s="513"/>
      <c r="AA552" s="337"/>
      <c r="AB552" s="17"/>
      <c r="AC552" s="180"/>
      <c r="AD552" s="180"/>
      <c r="AE552" s="514"/>
      <c r="AF552" s="17"/>
      <c r="AI552" s="337"/>
      <c r="AM552" s="337"/>
      <c r="AQ552" s="337"/>
    </row>
    <row r="553" spans="2:43">
      <c r="B553" s="541"/>
      <c r="D553" s="337"/>
      <c r="G553" s="337"/>
      <c r="K553" s="337"/>
      <c r="O553" s="337"/>
      <c r="S553" s="337"/>
      <c r="T553" s="14"/>
      <c r="W553" s="337"/>
      <c r="X553" s="513"/>
      <c r="AA553" s="337"/>
      <c r="AB553" s="17"/>
      <c r="AC553" s="180"/>
      <c r="AD553" s="180"/>
      <c r="AE553" s="514"/>
      <c r="AF553" s="17"/>
      <c r="AI553" s="337"/>
      <c r="AM553" s="337"/>
      <c r="AQ553" s="337"/>
    </row>
    <row r="554" spans="2:43">
      <c r="B554" s="541"/>
      <c r="D554" s="337"/>
      <c r="G554" s="337"/>
      <c r="K554" s="337"/>
      <c r="O554" s="337"/>
      <c r="S554" s="337"/>
      <c r="T554" s="14"/>
      <c r="W554" s="337"/>
      <c r="X554" s="513"/>
      <c r="AA554" s="337"/>
      <c r="AB554" s="17"/>
      <c r="AC554" s="180"/>
      <c r="AD554" s="180"/>
      <c r="AE554" s="514"/>
      <c r="AF554" s="17"/>
      <c r="AI554" s="337"/>
      <c r="AM554" s="337"/>
      <c r="AQ554" s="337"/>
    </row>
    <row r="555" spans="2:43">
      <c r="B555" s="541"/>
      <c r="D555" s="337"/>
      <c r="G555" s="337"/>
      <c r="K555" s="337"/>
      <c r="O555" s="337"/>
      <c r="S555" s="337"/>
      <c r="T555" s="14"/>
      <c r="W555" s="337"/>
      <c r="X555" s="513"/>
      <c r="AA555" s="337"/>
      <c r="AB555" s="17"/>
      <c r="AC555" s="180"/>
      <c r="AD555" s="180"/>
      <c r="AE555" s="514"/>
      <c r="AF555" s="17"/>
      <c r="AI555" s="337"/>
      <c r="AM555" s="337"/>
      <c r="AQ555" s="337"/>
    </row>
    <row r="556" spans="2:43">
      <c r="B556" s="541"/>
      <c r="D556" s="337"/>
      <c r="G556" s="337"/>
      <c r="K556" s="337"/>
      <c r="O556" s="337"/>
      <c r="S556" s="337"/>
      <c r="T556" s="14"/>
      <c r="W556" s="337"/>
      <c r="X556" s="513"/>
      <c r="AA556" s="337"/>
      <c r="AB556" s="17"/>
      <c r="AC556" s="180"/>
      <c r="AD556" s="180"/>
      <c r="AE556" s="514"/>
      <c r="AF556" s="17"/>
      <c r="AI556" s="337"/>
      <c r="AM556" s="337"/>
      <c r="AQ556" s="337"/>
    </row>
    <row r="557" spans="2:43">
      <c r="B557" s="541"/>
      <c r="D557" s="337"/>
      <c r="G557" s="337"/>
      <c r="K557" s="337"/>
      <c r="O557" s="337"/>
      <c r="S557" s="337"/>
      <c r="T557" s="14"/>
      <c r="W557" s="337"/>
      <c r="X557" s="513"/>
      <c r="AA557" s="337"/>
      <c r="AB557" s="17"/>
      <c r="AC557" s="180"/>
      <c r="AD557" s="180"/>
      <c r="AE557" s="514"/>
      <c r="AF557" s="17"/>
      <c r="AI557" s="337"/>
      <c r="AM557" s="337"/>
      <c r="AQ557" s="337"/>
    </row>
    <row r="558" spans="2:43">
      <c r="B558" s="541"/>
      <c r="D558" s="337"/>
      <c r="G558" s="337"/>
      <c r="K558" s="337"/>
      <c r="O558" s="337"/>
      <c r="S558" s="337"/>
      <c r="T558" s="14"/>
      <c r="W558" s="337"/>
      <c r="X558" s="513"/>
      <c r="AA558" s="337"/>
      <c r="AB558" s="17"/>
      <c r="AC558" s="180"/>
      <c r="AD558" s="180"/>
      <c r="AE558" s="514"/>
      <c r="AF558" s="17"/>
      <c r="AI558" s="337"/>
      <c r="AM558" s="337"/>
      <c r="AQ558" s="337"/>
    </row>
    <row r="559" spans="2:43">
      <c r="B559" s="541"/>
      <c r="D559" s="337"/>
      <c r="G559" s="337"/>
      <c r="K559" s="337"/>
      <c r="O559" s="337"/>
      <c r="S559" s="337"/>
      <c r="T559" s="14"/>
      <c r="W559" s="337"/>
      <c r="X559" s="513"/>
      <c r="AA559" s="337"/>
      <c r="AB559" s="17"/>
      <c r="AC559" s="180"/>
      <c r="AD559" s="180"/>
      <c r="AE559" s="514"/>
      <c r="AF559" s="17"/>
      <c r="AI559" s="337"/>
      <c r="AM559" s="337"/>
      <c r="AQ559" s="337"/>
    </row>
    <row r="560" spans="2:43">
      <c r="B560" s="541"/>
      <c r="D560" s="337"/>
      <c r="G560" s="337"/>
      <c r="K560" s="337"/>
      <c r="O560" s="337"/>
      <c r="S560" s="337"/>
      <c r="T560" s="14"/>
      <c r="W560" s="337"/>
      <c r="X560" s="513"/>
      <c r="AA560" s="337"/>
      <c r="AB560" s="17"/>
      <c r="AC560" s="180"/>
      <c r="AD560" s="180"/>
      <c r="AE560" s="514"/>
      <c r="AF560" s="17"/>
      <c r="AI560" s="337"/>
      <c r="AM560" s="337"/>
      <c r="AQ560" s="337"/>
    </row>
    <row r="561" spans="2:43">
      <c r="B561" s="541"/>
      <c r="D561" s="337"/>
      <c r="G561" s="337"/>
      <c r="K561" s="337"/>
      <c r="O561" s="337"/>
      <c r="S561" s="337"/>
      <c r="T561" s="14"/>
      <c r="W561" s="337"/>
      <c r="X561" s="513"/>
      <c r="AA561" s="337"/>
      <c r="AB561" s="17"/>
      <c r="AC561" s="180"/>
      <c r="AD561" s="180"/>
      <c r="AE561" s="514"/>
      <c r="AF561" s="17"/>
      <c r="AI561" s="337"/>
      <c r="AM561" s="337"/>
      <c r="AQ561" s="337"/>
    </row>
    <row r="562" spans="2:43">
      <c r="B562" s="541"/>
      <c r="D562" s="337"/>
      <c r="G562" s="337"/>
      <c r="K562" s="337"/>
      <c r="O562" s="337"/>
      <c r="S562" s="337"/>
      <c r="T562" s="14"/>
      <c r="W562" s="337"/>
      <c r="X562" s="513"/>
      <c r="AA562" s="337"/>
      <c r="AB562" s="17"/>
      <c r="AC562" s="180"/>
      <c r="AD562" s="180"/>
      <c r="AE562" s="514"/>
      <c r="AF562" s="17"/>
      <c r="AI562" s="337"/>
      <c r="AM562" s="337"/>
      <c r="AQ562" s="337"/>
    </row>
    <row r="563" spans="2:43">
      <c r="B563" s="541"/>
      <c r="D563" s="337"/>
      <c r="G563" s="337"/>
      <c r="K563" s="337"/>
      <c r="O563" s="337"/>
      <c r="S563" s="337"/>
      <c r="T563" s="14"/>
      <c r="W563" s="337"/>
      <c r="X563" s="513"/>
      <c r="AA563" s="337"/>
      <c r="AB563" s="17"/>
      <c r="AC563" s="180"/>
      <c r="AD563" s="180"/>
      <c r="AE563" s="514"/>
      <c r="AF563" s="17"/>
      <c r="AI563" s="337"/>
      <c r="AM563" s="337"/>
      <c r="AQ563" s="337"/>
    </row>
    <row r="564" spans="2:43">
      <c r="B564" s="541"/>
      <c r="D564" s="337"/>
      <c r="G564" s="337"/>
      <c r="K564" s="337"/>
      <c r="O564" s="337"/>
      <c r="S564" s="337"/>
      <c r="T564" s="14"/>
      <c r="W564" s="337"/>
      <c r="X564" s="513"/>
      <c r="AA564" s="337"/>
      <c r="AB564" s="17"/>
      <c r="AC564" s="180"/>
      <c r="AD564" s="180"/>
      <c r="AE564" s="514"/>
      <c r="AF564" s="17"/>
      <c r="AI564" s="337"/>
      <c r="AM564" s="337"/>
      <c r="AQ564" s="337"/>
    </row>
    <row r="565" spans="2:43">
      <c r="B565" s="541"/>
      <c r="D565" s="337"/>
      <c r="G565" s="337"/>
      <c r="K565" s="337"/>
      <c r="O565" s="337"/>
      <c r="S565" s="337"/>
      <c r="T565" s="14"/>
      <c r="W565" s="337"/>
      <c r="X565" s="513"/>
      <c r="AA565" s="337"/>
      <c r="AB565" s="17"/>
      <c r="AC565" s="180"/>
      <c r="AD565" s="180"/>
      <c r="AE565" s="514"/>
      <c r="AF565" s="17"/>
      <c r="AI565" s="337"/>
      <c r="AM565" s="337"/>
      <c r="AQ565" s="337"/>
    </row>
    <row r="566" spans="2:43">
      <c r="B566" s="541"/>
      <c r="D566" s="337"/>
      <c r="G566" s="337"/>
      <c r="K566" s="337"/>
      <c r="O566" s="337"/>
      <c r="S566" s="337"/>
      <c r="T566" s="14"/>
      <c r="W566" s="337"/>
      <c r="X566" s="513"/>
      <c r="AA566" s="337"/>
      <c r="AB566" s="17"/>
      <c r="AC566" s="180"/>
      <c r="AD566" s="180"/>
      <c r="AE566" s="514"/>
      <c r="AF566" s="17"/>
      <c r="AI566" s="337"/>
      <c r="AM566" s="337"/>
      <c r="AQ566" s="337"/>
    </row>
    <row r="567" spans="2:43">
      <c r="B567" s="541"/>
      <c r="D567" s="337"/>
      <c r="G567" s="337"/>
      <c r="K567" s="337"/>
      <c r="O567" s="337"/>
      <c r="S567" s="337"/>
      <c r="T567" s="14"/>
      <c r="W567" s="337"/>
      <c r="X567" s="513"/>
      <c r="AA567" s="337"/>
      <c r="AB567" s="17"/>
      <c r="AC567" s="180"/>
      <c r="AD567" s="180"/>
      <c r="AE567" s="514"/>
      <c r="AF567" s="17"/>
      <c r="AI567" s="337"/>
      <c r="AM567" s="337"/>
      <c r="AQ567" s="337"/>
    </row>
    <row r="568" spans="2:43">
      <c r="B568" s="541"/>
      <c r="D568" s="337"/>
      <c r="G568" s="337"/>
      <c r="K568" s="337"/>
      <c r="O568" s="337"/>
      <c r="S568" s="337"/>
      <c r="T568" s="14"/>
      <c r="W568" s="337"/>
      <c r="X568" s="513"/>
      <c r="AA568" s="337"/>
      <c r="AB568" s="17"/>
      <c r="AC568" s="180"/>
      <c r="AD568" s="180"/>
      <c r="AE568" s="514"/>
      <c r="AF568" s="17"/>
      <c r="AI568" s="337"/>
      <c r="AM568" s="337"/>
      <c r="AQ568" s="337"/>
    </row>
    <row r="569" spans="2:43">
      <c r="B569" s="541"/>
      <c r="D569" s="337"/>
      <c r="G569" s="337"/>
      <c r="K569" s="337"/>
      <c r="O569" s="337"/>
      <c r="S569" s="337"/>
      <c r="T569" s="14"/>
      <c r="W569" s="337"/>
      <c r="X569" s="513"/>
      <c r="AA569" s="337"/>
      <c r="AB569" s="17"/>
      <c r="AC569" s="180"/>
      <c r="AD569" s="180"/>
      <c r="AE569" s="514"/>
      <c r="AF569" s="17"/>
      <c r="AI569" s="337"/>
      <c r="AM569" s="337"/>
      <c r="AQ569" s="337"/>
    </row>
    <row r="570" spans="2:43">
      <c r="B570" s="541"/>
      <c r="D570" s="337"/>
      <c r="G570" s="337"/>
      <c r="K570" s="337"/>
      <c r="O570" s="337"/>
      <c r="S570" s="337"/>
      <c r="T570" s="14"/>
      <c r="W570" s="337"/>
      <c r="X570" s="513"/>
      <c r="AA570" s="337"/>
      <c r="AB570" s="17"/>
      <c r="AC570" s="180"/>
      <c r="AD570" s="180"/>
      <c r="AE570" s="514"/>
      <c r="AF570" s="17"/>
      <c r="AI570" s="337"/>
      <c r="AM570" s="337"/>
      <c r="AQ570" s="337"/>
    </row>
    <row r="571" spans="2:43">
      <c r="B571" s="541"/>
      <c r="D571" s="337"/>
      <c r="G571" s="337"/>
      <c r="K571" s="337"/>
      <c r="O571" s="337"/>
      <c r="S571" s="337"/>
      <c r="T571" s="14"/>
      <c r="W571" s="337"/>
      <c r="X571" s="513"/>
      <c r="AA571" s="337"/>
      <c r="AB571" s="17"/>
      <c r="AC571" s="180"/>
      <c r="AD571" s="180"/>
      <c r="AE571" s="514"/>
      <c r="AF571" s="17"/>
      <c r="AI571" s="337"/>
      <c r="AM571" s="337"/>
      <c r="AQ571" s="337"/>
    </row>
    <row r="572" spans="2:43">
      <c r="B572" s="541"/>
      <c r="D572" s="337"/>
      <c r="G572" s="337"/>
      <c r="K572" s="337"/>
      <c r="O572" s="337"/>
      <c r="S572" s="337"/>
      <c r="T572" s="14"/>
      <c r="W572" s="337"/>
      <c r="X572" s="513"/>
      <c r="AA572" s="337"/>
      <c r="AB572" s="17"/>
      <c r="AC572" s="180"/>
      <c r="AD572" s="180"/>
      <c r="AE572" s="514"/>
      <c r="AF572" s="17"/>
      <c r="AI572" s="337"/>
      <c r="AM572" s="337"/>
      <c r="AQ572" s="337"/>
    </row>
    <row r="573" spans="2:43">
      <c r="B573" s="541"/>
      <c r="D573" s="337"/>
      <c r="G573" s="337"/>
      <c r="K573" s="337"/>
      <c r="O573" s="337"/>
      <c r="S573" s="337"/>
      <c r="T573" s="14"/>
      <c r="W573" s="337"/>
      <c r="X573" s="513"/>
      <c r="AA573" s="337"/>
      <c r="AB573" s="17"/>
      <c r="AC573" s="180"/>
      <c r="AD573" s="180"/>
      <c r="AE573" s="514"/>
      <c r="AF573" s="17"/>
      <c r="AI573" s="337"/>
      <c r="AM573" s="337"/>
      <c r="AQ573" s="337"/>
    </row>
    <row r="574" spans="2:43">
      <c r="B574" s="541"/>
      <c r="D574" s="337"/>
      <c r="G574" s="337"/>
      <c r="K574" s="337"/>
      <c r="O574" s="337"/>
      <c r="S574" s="337"/>
      <c r="T574" s="14"/>
      <c r="W574" s="337"/>
      <c r="X574" s="513"/>
      <c r="AA574" s="337"/>
      <c r="AB574" s="17"/>
      <c r="AC574" s="180"/>
      <c r="AD574" s="180"/>
      <c r="AE574" s="514"/>
      <c r="AF574" s="17"/>
      <c r="AI574" s="337"/>
      <c r="AM574" s="337"/>
      <c r="AQ574" s="337"/>
    </row>
    <row r="575" spans="2:43">
      <c r="B575" s="541"/>
      <c r="D575" s="337"/>
      <c r="G575" s="337"/>
      <c r="K575" s="337"/>
      <c r="O575" s="337"/>
      <c r="S575" s="337"/>
      <c r="T575" s="14"/>
      <c r="W575" s="337"/>
      <c r="X575" s="513"/>
      <c r="AA575" s="337"/>
      <c r="AB575" s="17"/>
      <c r="AC575" s="180"/>
      <c r="AD575" s="180"/>
      <c r="AE575" s="514"/>
      <c r="AF575" s="17"/>
      <c r="AI575" s="337"/>
      <c r="AM575" s="337"/>
      <c r="AQ575" s="337"/>
    </row>
    <row r="576" spans="2:43">
      <c r="B576" s="541"/>
      <c r="D576" s="337"/>
      <c r="G576" s="337"/>
      <c r="K576" s="337"/>
      <c r="O576" s="337"/>
      <c r="S576" s="337"/>
      <c r="T576" s="14"/>
      <c r="W576" s="337"/>
      <c r="X576" s="513"/>
      <c r="AA576" s="337"/>
      <c r="AB576" s="17"/>
      <c r="AC576" s="180"/>
      <c r="AD576" s="180"/>
      <c r="AE576" s="514"/>
      <c r="AF576" s="17"/>
      <c r="AI576" s="337"/>
      <c r="AM576" s="337"/>
      <c r="AQ576" s="337"/>
    </row>
    <row r="577" spans="2:43">
      <c r="B577" s="541"/>
      <c r="D577" s="337"/>
      <c r="G577" s="337"/>
      <c r="K577" s="337"/>
      <c r="O577" s="337"/>
      <c r="S577" s="337"/>
      <c r="T577" s="14"/>
      <c r="W577" s="337"/>
      <c r="X577" s="513"/>
      <c r="AA577" s="337"/>
      <c r="AB577" s="17"/>
      <c r="AC577" s="180"/>
      <c r="AD577" s="180"/>
      <c r="AE577" s="514"/>
      <c r="AF577" s="17"/>
      <c r="AI577" s="337"/>
      <c r="AM577" s="337"/>
      <c r="AQ577" s="337"/>
    </row>
    <row r="578" spans="2:43">
      <c r="B578" s="541"/>
      <c r="D578" s="337"/>
      <c r="G578" s="337"/>
      <c r="K578" s="337"/>
      <c r="O578" s="337"/>
      <c r="S578" s="337"/>
      <c r="T578" s="14"/>
      <c r="W578" s="337"/>
      <c r="X578" s="513"/>
      <c r="AA578" s="337"/>
      <c r="AB578" s="17"/>
      <c r="AC578" s="180"/>
      <c r="AD578" s="180"/>
      <c r="AE578" s="514"/>
      <c r="AF578" s="17"/>
      <c r="AI578" s="337"/>
      <c r="AM578" s="337"/>
      <c r="AQ578" s="337"/>
    </row>
    <row r="579" spans="2:43">
      <c r="B579" s="541"/>
      <c r="D579" s="337"/>
      <c r="G579" s="337"/>
      <c r="K579" s="337"/>
      <c r="O579" s="337"/>
      <c r="S579" s="337"/>
      <c r="T579" s="14"/>
      <c r="W579" s="337"/>
      <c r="X579" s="513"/>
      <c r="AA579" s="337"/>
      <c r="AB579" s="17"/>
      <c r="AC579" s="180"/>
      <c r="AD579" s="180"/>
      <c r="AE579" s="514"/>
      <c r="AF579" s="17"/>
      <c r="AI579" s="337"/>
      <c r="AM579" s="337"/>
      <c r="AQ579" s="337"/>
    </row>
    <row r="580" spans="2:43">
      <c r="B580" s="541"/>
      <c r="D580" s="337"/>
      <c r="G580" s="337"/>
      <c r="K580" s="337"/>
      <c r="O580" s="337"/>
      <c r="S580" s="337"/>
      <c r="T580" s="14"/>
      <c r="W580" s="337"/>
      <c r="X580" s="513"/>
      <c r="AA580" s="337"/>
      <c r="AB580" s="17"/>
      <c r="AC580" s="180"/>
      <c r="AD580" s="180"/>
      <c r="AE580" s="514"/>
      <c r="AF580" s="17"/>
      <c r="AI580" s="337"/>
      <c r="AM580" s="337"/>
      <c r="AQ580" s="337"/>
    </row>
    <row r="581" spans="2:43">
      <c r="B581" s="541"/>
      <c r="D581" s="337"/>
      <c r="G581" s="337"/>
      <c r="K581" s="337"/>
      <c r="O581" s="337"/>
      <c r="S581" s="337"/>
      <c r="T581" s="14"/>
      <c r="W581" s="337"/>
      <c r="X581" s="513"/>
      <c r="AA581" s="337"/>
      <c r="AB581" s="17"/>
      <c r="AC581" s="180"/>
      <c r="AD581" s="180"/>
      <c r="AE581" s="514"/>
      <c r="AF581" s="17"/>
      <c r="AI581" s="337"/>
      <c r="AM581" s="337"/>
      <c r="AQ581" s="337"/>
    </row>
    <row r="582" spans="2:43">
      <c r="B582" s="541"/>
      <c r="D582" s="337"/>
      <c r="G582" s="337"/>
      <c r="K582" s="337"/>
      <c r="O582" s="337"/>
      <c r="S582" s="337"/>
      <c r="T582" s="14"/>
      <c r="W582" s="337"/>
      <c r="X582" s="513"/>
      <c r="AA582" s="337"/>
      <c r="AB582" s="17"/>
      <c r="AC582" s="180"/>
      <c r="AD582" s="180"/>
      <c r="AE582" s="514"/>
      <c r="AF582" s="17"/>
      <c r="AI582" s="337"/>
      <c r="AM582" s="337"/>
      <c r="AQ582" s="337"/>
    </row>
    <row r="583" spans="2:43">
      <c r="B583" s="541"/>
      <c r="D583" s="337"/>
      <c r="G583" s="337"/>
      <c r="K583" s="337"/>
      <c r="O583" s="337"/>
      <c r="S583" s="337"/>
      <c r="T583" s="14"/>
      <c r="W583" s="337"/>
      <c r="X583" s="513"/>
      <c r="AA583" s="337"/>
      <c r="AB583" s="17"/>
      <c r="AC583" s="180"/>
      <c r="AD583" s="180"/>
      <c r="AE583" s="514"/>
      <c r="AF583" s="17"/>
      <c r="AI583" s="337"/>
      <c r="AM583" s="337"/>
      <c r="AQ583" s="337"/>
    </row>
    <row r="584" spans="2:43">
      <c r="B584" s="541"/>
      <c r="D584" s="337"/>
      <c r="G584" s="337"/>
      <c r="K584" s="337"/>
      <c r="O584" s="337"/>
      <c r="S584" s="337"/>
      <c r="T584" s="14"/>
      <c r="W584" s="337"/>
      <c r="X584" s="513"/>
      <c r="AA584" s="337"/>
      <c r="AB584" s="17"/>
      <c r="AC584" s="180"/>
      <c r="AD584" s="180"/>
      <c r="AE584" s="514"/>
      <c r="AF584" s="17"/>
      <c r="AI584" s="337"/>
      <c r="AM584" s="337"/>
      <c r="AQ584" s="337"/>
    </row>
    <row r="585" spans="2:43">
      <c r="B585" s="541"/>
      <c r="D585" s="337"/>
      <c r="G585" s="337"/>
      <c r="K585" s="337"/>
      <c r="O585" s="337"/>
      <c r="S585" s="337"/>
      <c r="T585" s="14"/>
      <c r="W585" s="337"/>
      <c r="X585" s="513"/>
      <c r="AA585" s="337"/>
      <c r="AB585" s="17"/>
      <c r="AC585" s="180"/>
      <c r="AD585" s="180"/>
      <c r="AE585" s="514"/>
      <c r="AF585" s="17"/>
      <c r="AI585" s="337"/>
      <c r="AM585" s="337"/>
      <c r="AQ585" s="337"/>
    </row>
    <row r="586" spans="2:43">
      <c r="B586" s="541"/>
      <c r="D586" s="337"/>
      <c r="G586" s="337"/>
      <c r="K586" s="337"/>
      <c r="O586" s="337"/>
      <c r="S586" s="337"/>
      <c r="T586" s="14"/>
      <c r="W586" s="337"/>
      <c r="X586" s="513"/>
      <c r="AA586" s="337"/>
      <c r="AB586" s="17"/>
      <c r="AC586" s="180"/>
      <c r="AD586" s="180"/>
      <c r="AE586" s="514"/>
      <c r="AF586" s="17"/>
      <c r="AI586" s="337"/>
      <c r="AM586" s="337"/>
      <c r="AQ586" s="337"/>
    </row>
    <row r="587" spans="2:43">
      <c r="B587" s="541"/>
      <c r="D587" s="337"/>
      <c r="G587" s="337"/>
      <c r="K587" s="337"/>
      <c r="O587" s="337"/>
      <c r="S587" s="337"/>
      <c r="T587" s="14"/>
      <c r="W587" s="337"/>
      <c r="X587" s="513"/>
      <c r="AA587" s="337"/>
      <c r="AB587" s="17"/>
      <c r="AC587" s="180"/>
      <c r="AD587" s="180"/>
      <c r="AE587" s="514"/>
      <c r="AF587" s="17"/>
      <c r="AI587" s="337"/>
      <c r="AM587" s="337"/>
      <c r="AQ587" s="337"/>
    </row>
    <row r="588" spans="2:43">
      <c r="B588" s="541"/>
      <c r="D588" s="337"/>
      <c r="G588" s="337"/>
      <c r="K588" s="337"/>
      <c r="O588" s="337"/>
      <c r="S588" s="337"/>
      <c r="T588" s="14"/>
      <c r="W588" s="337"/>
      <c r="X588" s="513"/>
      <c r="AA588" s="337"/>
      <c r="AB588" s="17"/>
      <c r="AC588" s="180"/>
      <c r="AD588" s="180"/>
      <c r="AE588" s="514"/>
      <c r="AF588" s="17"/>
      <c r="AI588" s="337"/>
      <c r="AM588" s="337"/>
      <c r="AQ588" s="337"/>
    </row>
    <row r="589" spans="2:43">
      <c r="B589" s="541"/>
      <c r="D589" s="337"/>
      <c r="G589" s="337"/>
      <c r="K589" s="337"/>
      <c r="O589" s="337"/>
      <c r="S589" s="337"/>
      <c r="T589" s="14"/>
      <c r="W589" s="337"/>
      <c r="X589" s="513"/>
      <c r="AA589" s="337"/>
      <c r="AB589" s="17"/>
      <c r="AC589" s="180"/>
      <c r="AD589" s="180"/>
      <c r="AE589" s="514"/>
      <c r="AF589" s="17"/>
      <c r="AI589" s="337"/>
      <c r="AM589" s="337"/>
      <c r="AQ589" s="337"/>
    </row>
    <row r="590" spans="2:43">
      <c r="B590" s="541"/>
      <c r="D590" s="337"/>
      <c r="G590" s="337"/>
      <c r="K590" s="337"/>
      <c r="O590" s="337"/>
      <c r="S590" s="337"/>
      <c r="T590" s="14"/>
      <c r="W590" s="337"/>
      <c r="X590" s="513"/>
      <c r="AA590" s="337"/>
      <c r="AB590" s="17"/>
      <c r="AC590" s="180"/>
      <c r="AD590" s="180"/>
      <c r="AE590" s="514"/>
      <c r="AF590" s="17"/>
      <c r="AI590" s="337"/>
      <c r="AM590" s="337"/>
      <c r="AQ590" s="337"/>
    </row>
    <row r="591" spans="2:43">
      <c r="B591" s="541"/>
      <c r="D591" s="337"/>
      <c r="G591" s="337"/>
      <c r="K591" s="337"/>
      <c r="O591" s="337"/>
      <c r="S591" s="337"/>
      <c r="T591" s="14"/>
      <c r="W591" s="337"/>
      <c r="X591" s="513"/>
      <c r="AA591" s="337"/>
      <c r="AB591" s="17"/>
      <c r="AC591" s="180"/>
      <c r="AD591" s="180"/>
      <c r="AE591" s="514"/>
      <c r="AF591" s="17"/>
      <c r="AI591" s="337"/>
      <c r="AM591" s="337"/>
      <c r="AQ591" s="337"/>
    </row>
    <row r="592" spans="2:43">
      <c r="B592" s="541"/>
      <c r="D592" s="337"/>
      <c r="G592" s="337"/>
      <c r="K592" s="337"/>
      <c r="O592" s="337"/>
      <c r="S592" s="337"/>
      <c r="T592" s="14"/>
      <c r="W592" s="337"/>
      <c r="X592" s="513"/>
      <c r="AA592" s="337"/>
      <c r="AB592" s="17"/>
      <c r="AC592" s="180"/>
      <c r="AD592" s="180"/>
      <c r="AE592" s="514"/>
      <c r="AF592" s="17"/>
      <c r="AI592" s="337"/>
      <c r="AM592" s="337"/>
      <c r="AQ592" s="337"/>
    </row>
    <row r="593" spans="2:43">
      <c r="B593" s="541"/>
      <c r="D593" s="337"/>
      <c r="G593" s="337"/>
      <c r="K593" s="337"/>
      <c r="O593" s="337"/>
      <c r="S593" s="337"/>
      <c r="T593" s="14"/>
      <c r="W593" s="337"/>
      <c r="X593" s="513"/>
      <c r="AA593" s="337"/>
      <c r="AB593" s="17"/>
      <c r="AC593" s="180"/>
      <c r="AD593" s="180"/>
      <c r="AE593" s="514"/>
      <c r="AF593" s="17"/>
      <c r="AI593" s="337"/>
      <c r="AM593" s="337"/>
      <c r="AQ593" s="337"/>
    </row>
    <row r="594" spans="2:43">
      <c r="B594" s="541"/>
      <c r="D594" s="337"/>
      <c r="G594" s="337"/>
      <c r="K594" s="337"/>
      <c r="O594" s="337"/>
      <c r="S594" s="337"/>
      <c r="T594" s="14"/>
      <c r="W594" s="337"/>
      <c r="X594" s="513"/>
      <c r="AA594" s="337"/>
      <c r="AB594" s="17"/>
      <c r="AC594" s="180"/>
      <c r="AD594" s="180"/>
      <c r="AE594" s="514"/>
      <c r="AF594" s="17"/>
      <c r="AI594" s="337"/>
      <c r="AM594" s="337"/>
      <c r="AQ594" s="337"/>
    </row>
    <row r="595" spans="2:43">
      <c r="B595" s="541"/>
      <c r="D595" s="337"/>
      <c r="G595" s="337"/>
      <c r="K595" s="337"/>
      <c r="O595" s="337"/>
      <c r="S595" s="337"/>
      <c r="T595" s="14"/>
      <c r="W595" s="337"/>
      <c r="X595" s="513"/>
      <c r="AA595" s="337"/>
      <c r="AB595" s="17"/>
      <c r="AC595" s="180"/>
      <c r="AD595" s="180"/>
      <c r="AE595" s="514"/>
      <c r="AF595" s="17"/>
      <c r="AI595" s="337"/>
      <c r="AM595" s="337"/>
      <c r="AQ595" s="337"/>
    </row>
    <row r="596" spans="2:43">
      <c r="B596" s="541"/>
      <c r="D596" s="337"/>
      <c r="G596" s="337"/>
      <c r="K596" s="337"/>
      <c r="O596" s="337"/>
      <c r="S596" s="337"/>
      <c r="T596" s="14"/>
      <c r="W596" s="337"/>
      <c r="X596" s="513"/>
      <c r="AA596" s="337"/>
      <c r="AB596" s="17"/>
      <c r="AC596" s="180"/>
      <c r="AD596" s="180"/>
      <c r="AE596" s="514"/>
      <c r="AF596" s="17"/>
      <c r="AI596" s="337"/>
      <c r="AM596" s="337"/>
      <c r="AQ596" s="337"/>
    </row>
    <row r="597" spans="2:43">
      <c r="B597" s="541"/>
      <c r="D597" s="337"/>
      <c r="G597" s="337"/>
      <c r="K597" s="337"/>
      <c r="O597" s="337"/>
      <c r="S597" s="337"/>
      <c r="T597" s="14"/>
      <c r="W597" s="337"/>
      <c r="X597" s="513"/>
      <c r="AA597" s="337"/>
      <c r="AB597" s="17"/>
      <c r="AC597" s="180"/>
      <c r="AD597" s="180"/>
      <c r="AE597" s="514"/>
      <c r="AF597" s="17"/>
      <c r="AI597" s="337"/>
      <c r="AM597" s="337"/>
      <c r="AQ597" s="337"/>
    </row>
    <row r="598" spans="2:43">
      <c r="B598" s="541"/>
      <c r="D598" s="337"/>
      <c r="G598" s="337"/>
      <c r="K598" s="337"/>
      <c r="O598" s="337"/>
      <c r="S598" s="337"/>
      <c r="T598" s="14"/>
      <c r="W598" s="337"/>
      <c r="X598" s="513"/>
      <c r="AA598" s="337"/>
      <c r="AB598" s="17"/>
      <c r="AC598" s="180"/>
      <c r="AD598" s="180"/>
      <c r="AE598" s="514"/>
      <c r="AF598" s="17"/>
      <c r="AI598" s="337"/>
      <c r="AM598" s="337"/>
      <c r="AQ598" s="337"/>
    </row>
    <row r="599" spans="2:43">
      <c r="B599" s="541"/>
      <c r="D599" s="337"/>
      <c r="G599" s="337"/>
      <c r="K599" s="337"/>
      <c r="O599" s="337"/>
      <c r="S599" s="337"/>
      <c r="T599" s="14"/>
      <c r="W599" s="337"/>
      <c r="X599" s="513"/>
      <c r="AA599" s="337"/>
      <c r="AB599" s="17"/>
      <c r="AC599" s="180"/>
      <c r="AD599" s="180"/>
      <c r="AE599" s="514"/>
      <c r="AF599" s="17"/>
      <c r="AI599" s="337"/>
      <c r="AM599" s="337"/>
      <c r="AQ599" s="337"/>
    </row>
    <row r="600" spans="2:43">
      <c r="B600" s="541"/>
      <c r="D600" s="337"/>
      <c r="G600" s="337"/>
      <c r="K600" s="337"/>
      <c r="O600" s="337"/>
      <c r="S600" s="337"/>
      <c r="T600" s="14"/>
      <c r="W600" s="337"/>
      <c r="X600" s="513"/>
      <c r="AA600" s="337"/>
      <c r="AB600" s="17"/>
      <c r="AC600" s="180"/>
      <c r="AD600" s="180"/>
      <c r="AE600" s="514"/>
      <c r="AF600" s="17"/>
      <c r="AI600" s="337"/>
      <c r="AM600" s="337"/>
      <c r="AQ600" s="337"/>
    </row>
    <row r="601" spans="2:43">
      <c r="B601" s="541"/>
      <c r="D601" s="337"/>
      <c r="G601" s="337"/>
      <c r="K601" s="337"/>
      <c r="O601" s="337"/>
      <c r="S601" s="337"/>
      <c r="T601" s="14"/>
      <c r="W601" s="337"/>
      <c r="X601" s="513"/>
      <c r="AA601" s="337"/>
      <c r="AB601" s="17"/>
      <c r="AC601" s="180"/>
      <c r="AD601" s="180"/>
      <c r="AE601" s="514"/>
      <c r="AF601" s="17"/>
      <c r="AI601" s="337"/>
      <c r="AM601" s="337"/>
      <c r="AQ601" s="337"/>
    </row>
    <row r="602" spans="2:43">
      <c r="B602" s="541"/>
      <c r="D602" s="337"/>
      <c r="G602" s="337"/>
      <c r="K602" s="337"/>
      <c r="O602" s="337"/>
      <c r="S602" s="337"/>
      <c r="T602" s="14"/>
      <c r="W602" s="337"/>
      <c r="X602" s="513"/>
      <c r="AA602" s="337"/>
      <c r="AB602" s="17"/>
      <c r="AC602" s="180"/>
      <c r="AD602" s="180"/>
      <c r="AE602" s="514"/>
      <c r="AF602" s="17"/>
      <c r="AI602" s="337"/>
      <c r="AM602" s="337"/>
      <c r="AQ602" s="337"/>
    </row>
    <row r="603" spans="2:43">
      <c r="B603" s="541"/>
      <c r="D603" s="337"/>
      <c r="G603" s="337"/>
      <c r="K603" s="337"/>
      <c r="O603" s="337"/>
      <c r="S603" s="337"/>
      <c r="T603" s="14"/>
      <c r="W603" s="337"/>
      <c r="X603" s="513"/>
      <c r="AA603" s="337"/>
      <c r="AB603" s="17"/>
      <c r="AC603" s="180"/>
      <c r="AD603" s="180"/>
      <c r="AE603" s="514"/>
      <c r="AF603" s="17"/>
      <c r="AI603" s="337"/>
      <c r="AM603" s="337"/>
      <c r="AQ603" s="337"/>
    </row>
    <row r="604" spans="2:43">
      <c r="B604" s="541"/>
      <c r="D604" s="337"/>
      <c r="G604" s="337"/>
      <c r="K604" s="337"/>
      <c r="O604" s="337"/>
      <c r="S604" s="337"/>
      <c r="T604" s="14"/>
      <c r="W604" s="337"/>
      <c r="X604" s="513"/>
      <c r="AA604" s="337"/>
      <c r="AB604" s="17"/>
      <c r="AC604" s="180"/>
      <c r="AD604" s="180"/>
      <c r="AE604" s="514"/>
      <c r="AF604" s="17"/>
      <c r="AI604" s="337"/>
      <c r="AM604" s="337"/>
      <c r="AQ604" s="337"/>
    </row>
    <row r="605" spans="2:43">
      <c r="B605" s="541"/>
      <c r="D605" s="337"/>
      <c r="G605" s="337"/>
      <c r="K605" s="337"/>
      <c r="O605" s="337"/>
      <c r="S605" s="337"/>
      <c r="T605" s="14"/>
      <c r="W605" s="337"/>
      <c r="X605" s="513"/>
      <c r="AA605" s="337"/>
      <c r="AB605" s="17"/>
      <c r="AC605" s="180"/>
      <c r="AD605" s="180"/>
      <c r="AE605" s="514"/>
      <c r="AF605" s="17"/>
      <c r="AI605" s="337"/>
      <c r="AM605" s="337"/>
      <c r="AQ605" s="337"/>
    </row>
    <row r="606" spans="2:43">
      <c r="B606" s="541"/>
      <c r="D606" s="337"/>
      <c r="G606" s="337"/>
      <c r="K606" s="337"/>
      <c r="O606" s="337"/>
      <c r="S606" s="337"/>
      <c r="T606" s="14"/>
      <c r="W606" s="337"/>
      <c r="X606" s="513"/>
      <c r="AA606" s="337"/>
      <c r="AB606" s="17"/>
      <c r="AC606" s="180"/>
      <c r="AD606" s="180"/>
      <c r="AE606" s="514"/>
      <c r="AF606" s="17"/>
      <c r="AI606" s="337"/>
      <c r="AM606" s="337"/>
      <c r="AQ606" s="337"/>
    </row>
    <row r="607" spans="2:43">
      <c r="B607" s="541"/>
      <c r="D607" s="337"/>
      <c r="G607" s="337"/>
      <c r="K607" s="337"/>
      <c r="O607" s="337"/>
      <c r="S607" s="337"/>
      <c r="T607" s="14"/>
      <c r="W607" s="337"/>
      <c r="X607" s="513"/>
      <c r="AA607" s="337"/>
      <c r="AB607" s="17"/>
      <c r="AC607" s="180"/>
      <c r="AD607" s="180"/>
      <c r="AE607" s="514"/>
      <c r="AF607" s="17"/>
      <c r="AI607" s="337"/>
      <c r="AM607" s="337"/>
      <c r="AQ607" s="337"/>
    </row>
    <row r="608" spans="2:43">
      <c r="B608" s="541"/>
      <c r="D608" s="337"/>
      <c r="G608" s="337"/>
      <c r="K608" s="337"/>
      <c r="O608" s="337"/>
      <c r="S608" s="337"/>
      <c r="T608" s="14"/>
      <c r="W608" s="337"/>
      <c r="X608" s="513"/>
      <c r="AA608" s="337"/>
      <c r="AB608" s="17"/>
      <c r="AC608" s="180"/>
      <c r="AD608" s="180"/>
      <c r="AE608" s="514"/>
      <c r="AF608" s="17"/>
      <c r="AI608" s="337"/>
      <c r="AM608" s="337"/>
      <c r="AQ608" s="337"/>
    </row>
    <row r="609" spans="2:43">
      <c r="B609" s="541"/>
      <c r="D609" s="337"/>
      <c r="G609" s="337"/>
      <c r="K609" s="337"/>
      <c r="O609" s="337"/>
      <c r="S609" s="337"/>
      <c r="T609" s="14"/>
      <c r="W609" s="337"/>
      <c r="X609" s="513"/>
      <c r="AA609" s="337"/>
      <c r="AB609" s="17"/>
      <c r="AC609" s="180"/>
      <c r="AD609" s="180"/>
      <c r="AE609" s="514"/>
      <c r="AF609" s="17"/>
      <c r="AI609" s="337"/>
      <c r="AM609" s="337"/>
      <c r="AQ609" s="337"/>
    </row>
    <row r="610" spans="2:43">
      <c r="B610" s="541"/>
      <c r="D610" s="337"/>
      <c r="G610" s="337"/>
      <c r="K610" s="337"/>
      <c r="O610" s="337"/>
      <c r="S610" s="337"/>
      <c r="T610" s="14"/>
      <c r="W610" s="337"/>
      <c r="X610" s="513"/>
      <c r="AA610" s="337"/>
      <c r="AB610" s="17"/>
      <c r="AC610" s="180"/>
      <c r="AD610" s="180"/>
      <c r="AE610" s="514"/>
      <c r="AF610" s="17"/>
      <c r="AI610" s="337"/>
      <c r="AM610" s="337"/>
      <c r="AQ610" s="337"/>
    </row>
    <row r="611" spans="2:43">
      <c r="B611" s="541"/>
      <c r="D611" s="337"/>
      <c r="G611" s="337"/>
      <c r="K611" s="337"/>
      <c r="O611" s="337"/>
      <c r="S611" s="337"/>
      <c r="T611" s="14"/>
      <c r="W611" s="337"/>
      <c r="X611" s="513"/>
      <c r="AA611" s="337"/>
      <c r="AB611" s="17"/>
      <c r="AC611" s="180"/>
      <c r="AD611" s="180"/>
      <c r="AE611" s="514"/>
      <c r="AF611" s="17"/>
      <c r="AI611" s="337"/>
      <c r="AM611" s="337"/>
      <c r="AQ611" s="337"/>
    </row>
    <row r="612" spans="2:43">
      <c r="B612" s="541"/>
      <c r="D612" s="337"/>
      <c r="G612" s="337"/>
      <c r="K612" s="337"/>
      <c r="O612" s="337"/>
      <c r="S612" s="337"/>
      <c r="T612" s="14"/>
      <c r="W612" s="337"/>
      <c r="X612" s="513"/>
      <c r="AA612" s="337"/>
      <c r="AB612" s="17"/>
      <c r="AC612" s="180"/>
      <c r="AD612" s="180"/>
      <c r="AE612" s="514"/>
      <c r="AF612" s="17"/>
      <c r="AI612" s="337"/>
      <c r="AM612" s="337"/>
      <c r="AQ612" s="337"/>
    </row>
    <row r="613" spans="2:43">
      <c r="B613" s="541"/>
      <c r="D613" s="337"/>
      <c r="G613" s="337"/>
      <c r="K613" s="337"/>
      <c r="O613" s="337"/>
      <c r="S613" s="337"/>
      <c r="T613" s="14"/>
      <c r="W613" s="337"/>
      <c r="X613" s="513"/>
      <c r="AA613" s="337"/>
      <c r="AB613" s="17"/>
      <c r="AC613" s="180"/>
      <c r="AD613" s="180"/>
      <c r="AE613" s="514"/>
      <c r="AF613" s="17"/>
      <c r="AI613" s="337"/>
      <c r="AM613" s="337"/>
      <c r="AQ613" s="337"/>
    </row>
    <row r="614" spans="2:43">
      <c r="B614" s="541"/>
      <c r="D614" s="337"/>
      <c r="G614" s="337"/>
      <c r="K614" s="337"/>
      <c r="O614" s="337"/>
      <c r="S614" s="337"/>
      <c r="T614" s="14"/>
      <c r="W614" s="337"/>
      <c r="X614" s="513"/>
      <c r="AA614" s="337"/>
      <c r="AB614" s="17"/>
      <c r="AC614" s="180"/>
      <c r="AD614" s="180"/>
      <c r="AE614" s="514"/>
      <c r="AF614" s="17"/>
      <c r="AI614" s="337"/>
      <c r="AM614" s="337"/>
      <c r="AQ614" s="337"/>
    </row>
    <row r="615" spans="2:43">
      <c r="B615" s="541"/>
      <c r="D615" s="337"/>
      <c r="G615" s="337"/>
      <c r="K615" s="337"/>
      <c r="O615" s="337"/>
      <c r="S615" s="337"/>
      <c r="T615" s="14"/>
      <c r="W615" s="337"/>
      <c r="X615" s="513"/>
      <c r="AA615" s="337"/>
      <c r="AB615" s="17"/>
      <c r="AC615" s="180"/>
      <c r="AD615" s="180"/>
      <c r="AE615" s="514"/>
      <c r="AF615" s="17"/>
      <c r="AI615" s="337"/>
      <c r="AM615" s="337"/>
      <c r="AQ615" s="337"/>
    </row>
    <row r="616" spans="2:43">
      <c r="B616" s="541"/>
      <c r="D616" s="337"/>
      <c r="G616" s="337"/>
      <c r="K616" s="337"/>
      <c r="O616" s="337"/>
      <c r="S616" s="337"/>
      <c r="T616" s="14"/>
      <c r="W616" s="337"/>
      <c r="X616" s="513"/>
      <c r="AA616" s="337"/>
      <c r="AB616" s="17"/>
      <c r="AC616" s="180"/>
      <c r="AD616" s="180"/>
      <c r="AE616" s="514"/>
      <c r="AF616" s="17"/>
      <c r="AI616" s="337"/>
      <c r="AM616" s="337"/>
      <c r="AQ616" s="337"/>
    </row>
    <row r="617" spans="2:43">
      <c r="B617" s="541"/>
      <c r="D617" s="337"/>
      <c r="G617" s="337"/>
      <c r="K617" s="337"/>
      <c r="O617" s="337"/>
      <c r="S617" s="337"/>
      <c r="T617" s="14"/>
      <c r="W617" s="337"/>
      <c r="X617" s="513"/>
      <c r="AA617" s="337"/>
      <c r="AB617" s="17"/>
      <c r="AC617" s="180"/>
      <c r="AD617" s="180"/>
      <c r="AE617" s="514"/>
      <c r="AF617" s="17"/>
      <c r="AI617" s="337"/>
      <c r="AM617" s="337"/>
      <c r="AQ617" s="337"/>
    </row>
    <row r="618" spans="2:43">
      <c r="B618" s="541"/>
      <c r="D618" s="337"/>
      <c r="G618" s="337"/>
      <c r="K618" s="337"/>
      <c r="O618" s="337"/>
      <c r="S618" s="337"/>
      <c r="T618" s="14"/>
      <c r="W618" s="337"/>
      <c r="X618" s="513"/>
      <c r="AA618" s="337"/>
      <c r="AB618" s="17"/>
      <c r="AC618" s="180"/>
      <c r="AD618" s="180"/>
      <c r="AE618" s="514"/>
      <c r="AF618" s="17"/>
      <c r="AI618" s="337"/>
      <c r="AM618" s="337"/>
      <c r="AQ618" s="337"/>
    </row>
    <row r="619" spans="2:43">
      <c r="B619" s="541"/>
      <c r="D619" s="337"/>
      <c r="G619" s="337"/>
      <c r="K619" s="337"/>
      <c r="O619" s="337"/>
      <c r="S619" s="337"/>
      <c r="T619" s="14"/>
      <c r="W619" s="337"/>
      <c r="X619" s="513"/>
      <c r="AA619" s="337"/>
      <c r="AB619" s="17"/>
      <c r="AC619" s="180"/>
      <c r="AD619" s="180"/>
      <c r="AE619" s="514"/>
      <c r="AF619" s="17"/>
      <c r="AI619" s="337"/>
      <c r="AM619" s="337"/>
      <c r="AQ619" s="337"/>
    </row>
    <row r="620" spans="2:43">
      <c r="B620" s="541"/>
      <c r="D620" s="337"/>
      <c r="G620" s="337"/>
      <c r="K620" s="337"/>
      <c r="O620" s="337"/>
      <c r="S620" s="337"/>
      <c r="T620" s="14"/>
      <c r="W620" s="337"/>
      <c r="X620" s="513"/>
      <c r="AA620" s="337"/>
      <c r="AB620" s="17"/>
      <c r="AC620" s="180"/>
      <c r="AD620" s="180"/>
      <c r="AE620" s="514"/>
      <c r="AF620" s="17"/>
      <c r="AI620" s="337"/>
      <c r="AM620" s="337"/>
      <c r="AQ620" s="337"/>
    </row>
    <row r="621" spans="2:43">
      <c r="B621" s="541"/>
      <c r="D621" s="337"/>
      <c r="G621" s="337"/>
      <c r="K621" s="337"/>
      <c r="O621" s="337"/>
      <c r="S621" s="337"/>
      <c r="T621" s="14"/>
      <c r="W621" s="337"/>
      <c r="X621" s="513"/>
      <c r="AA621" s="337"/>
      <c r="AB621" s="17"/>
      <c r="AC621" s="180"/>
      <c r="AD621" s="180"/>
      <c r="AE621" s="514"/>
      <c r="AF621" s="17"/>
      <c r="AI621" s="337"/>
      <c r="AM621" s="337"/>
      <c r="AQ621" s="337"/>
    </row>
    <row r="622" spans="2:43">
      <c r="B622" s="541"/>
      <c r="D622" s="337"/>
      <c r="G622" s="337"/>
      <c r="K622" s="337"/>
      <c r="O622" s="337"/>
      <c r="S622" s="337"/>
      <c r="T622" s="14"/>
      <c r="W622" s="337"/>
      <c r="X622" s="513"/>
      <c r="AA622" s="337"/>
      <c r="AB622" s="17"/>
      <c r="AC622" s="180"/>
      <c r="AD622" s="180"/>
      <c r="AE622" s="514"/>
      <c r="AF622" s="17"/>
      <c r="AI622" s="337"/>
      <c r="AM622" s="337"/>
      <c r="AQ622" s="337"/>
    </row>
    <row r="623" spans="2:43">
      <c r="B623" s="541"/>
      <c r="D623" s="337"/>
      <c r="G623" s="337"/>
      <c r="K623" s="337"/>
      <c r="O623" s="337"/>
      <c r="S623" s="337"/>
      <c r="T623" s="14"/>
      <c r="W623" s="337"/>
      <c r="X623" s="513"/>
      <c r="AA623" s="337"/>
      <c r="AB623" s="17"/>
      <c r="AC623" s="180"/>
      <c r="AD623" s="180"/>
      <c r="AE623" s="514"/>
      <c r="AF623" s="17"/>
      <c r="AI623" s="337"/>
      <c r="AM623" s="337"/>
      <c r="AQ623" s="337"/>
    </row>
    <row r="624" spans="2:43">
      <c r="B624" s="541"/>
      <c r="D624" s="337"/>
      <c r="G624" s="337"/>
      <c r="K624" s="337"/>
      <c r="O624" s="337"/>
      <c r="S624" s="337"/>
      <c r="T624" s="14"/>
      <c r="W624" s="337"/>
      <c r="X624" s="513"/>
      <c r="AA624" s="337"/>
      <c r="AB624" s="17"/>
      <c r="AC624" s="180"/>
      <c r="AD624" s="180"/>
      <c r="AE624" s="514"/>
      <c r="AF624" s="17"/>
      <c r="AI624" s="337"/>
      <c r="AM624" s="337"/>
      <c r="AQ624" s="337"/>
    </row>
    <row r="625" spans="2:43">
      <c r="B625" s="541"/>
      <c r="D625" s="337"/>
      <c r="G625" s="337"/>
      <c r="K625" s="337"/>
      <c r="O625" s="337"/>
      <c r="S625" s="337"/>
      <c r="T625" s="14"/>
      <c r="W625" s="337"/>
      <c r="X625" s="513"/>
      <c r="AA625" s="337"/>
      <c r="AB625" s="17"/>
      <c r="AC625" s="180"/>
      <c r="AD625" s="180"/>
      <c r="AE625" s="514"/>
      <c r="AF625" s="17"/>
      <c r="AI625" s="337"/>
      <c r="AM625" s="337"/>
      <c r="AQ625" s="337"/>
    </row>
    <row r="626" spans="2:43">
      <c r="B626" s="541"/>
      <c r="D626" s="337"/>
      <c r="G626" s="337"/>
      <c r="K626" s="337"/>
      <c r="O626" s="337"/>
      <c r="S626" s="337"/>
      <c r="T626" s="14"/>
      <c r="W626" s="337"/>
      <c r="X626" s="513"/>
      <c r="AA626" s="337"/>
      <c r="AB626" s="17"/>
      <c r="AC626" s="180"/>
      <c r="AD626" s="180"/>
      <c r="AE626" s="514"/>
      <c r="AF626" s="17"/>
      <c r="AI626" s="337"/>
      <c r="AM626" s="337"/>
      <c r="AQ626" s="337"/>
    </row>
    <row r="627" spans="2:43">
      <c r="B627" s="541"/>
      <c r="D627" s="337"/>
      <c r="G627" s="337"/>
      <c r="K627" s="337"/>
      <c r="O627" s="337"/>
      <c r="S627" s="337"/>
      <c r="T627" s="14"/>
      <c r="W627" s="337"/>
      <c r="X627" s="513"/>
      <c r="AA627" s="337"/>
      <c r="AB627" s="17"/>
      <c r="AC627" s="180"/>
      <c r="AD627" s="180"/>
      <c r="AE627" s="514"/>
      <c r="AF627" s="17"/>
      <c r="AI627" s="337"/>
      <c r="AM627" s="337"/>
      <c r="AQ627" s="337"/>
    </row>
    <row r="628" spans="2:43">
      <c r="B628" s="541"/>
      <c r="D628" s="337"/>
      <c r="G628" s="337"/>
      <c r="K628" s="337"/>
      <c r="O628" s="337"/>
      <c r="S628" s="337"/>
      <c r="T628" s="14"/>
      <c r="W628" s="337"/>
      <c r="X628" s="513"/>
      <c r="AA628" s="337"/>
      <c r="AB628" s="17"/>
      <c r="AC628" s="180"/>
      <c r="AD628" s="180"/>
      <c r="AE628" s="514"/>
      <c r="AF628" s="17"/>
      <c r="AI628" s="337"/>
      <c r="AM628" s="337"/>
      <c r="AQ628" s="337"/>
    </row>
    <row r="629" spans="2:43">
      <c r="B629" s="541"/>
      <c r="D629" s="337"/>
      <c r="G629" s="337"/>
      <c r="K629" s="337"/>
      <c r="O629" s="337"/>
      <c r="S629" s="337"/>
      <c r="T629" s="14"/>
      <c r="W629" s="337"/>
      <c r="X629" s="513"/>
      <c r="AA629" s="337"/>
      <c r="AB629" s="17"/>
      <c r="AC629" s="180"/>
      <c r="AD629" s="180"/>
      <c r="AE629" s="514"/>
      <c r="AF629" s="17"/>
      <c r="AI629" s="337"/>
      <c r="AM629" s="337"/>
      <c r="AQ629" s="337"/>
    </row>
    <row r="630" spans="2:43">
      <c r="B630" s="541"/>
      <c r="D630" s="337"/>
      <c r="G630" s="337"/>
      <c r="K630" s="337"/>
      <c r="O630" s="337"/>
      <c r="S630" s="337"/>
      <c r="T630" s="14"/>
      <c r="W630" s="337"/>
      <c r="X630" s="513"/>
      <c r="AA630" s="337"/>
      <c r="AB630" s="17"/>
      <c r="AC630" s="180"/>
      <c r="AD630" s="180"/>
      <c r="AE630" s="514"/>
      <c r="AF630" s="17"/>
      <c r="AI630" s="337"/>
      <c r="AM630" s="337"/>
      <c r="AQ630" s="337"/>
    </row>
    <row r="631" spans="2:43">
      <c r="B631" s="541"/>
      <c r="D631" s="337"/>
      <c r="G631" s="337"/>
      <c r="K631" s="337"/>
      <c r="O631" s="337"/>
      <c r="S631" s="337"/>
      <c r="T631" s="14"/>
      <c r="W631" s="337"/>
      <c r="X631" s="513"/>
      <c r="AA631" s="337"/>
      <c r="AB631" s="17"/>
      <c r="AC631" s="180"/>
      <c r="AD631" s="180"/>
      <c r="AE631" s="514"/>
      <c r="AF631" s="17"/>
      <c r="AI631" s="337"/>
      <c r="AM631" s="337"/>
      <c r="AQ631" s="337"/>
    </row>
    <row r="632" spans="2:43">
      <c r="B632" s="541"/>
      <c r="D632" s="337"/>
      <c r="G632" s="337"/>
      <c r="K632" s="337"/>
      <c r="O632" s="337"/>
      <c r="S632" s="337"/>
      <c r="T632" s="14"/>
      <c r="W632" s="337"/>
      <c r="X632" s="513"/>
      <c r="AA632" s="337"/>
      <c r="AB632" s="17"/>
      <c r="AC632" s="180"/>
      <c r="AD632" s="180"/>
      <c r="AE632" s="514"/>
      <c r="AF632" s="17"/>
      <c r="AI632" s="337"/>
      <c r="AM632" s="337"/>
      <c r="AQ632" s="337"/>
    </row>
    <row r="633" spans="2:43">
      <c r="B633" s="541"/>
      <c r="D633" s="337"/>
      <c r="G633" s="337"/>
      <c r="K633" s="337"/>
      <c r="O633" s="337"/>
      <c r="S633" s="337"/>
      <c r="T633" s="14"/>
      <c r="W633" s="337"/>
      <c r="X633" s="513"/>
      <c r="AA633" s="337"/>
      <c r="AB633" s="17"/>
      <c r="AC633" s="180"/>
      <c r="AD633" s="180"/>
      <c r="AE633" s="514"/>
      <c r="AF633" s="17"/>
      <c r="AI633" s="337"/>
      <c r="AM633" s="337"/>
      <c r="AQ633" s="337"/>
    </row>
    <row r="634" spans="2:43">
      <c r="B634" s="541"/>
      <c r="D634" s="337"/>
      <c r="G634" s="337"/>
      <c r="K634" s="337"/>
      <c r="O634" s="337"/>
      <c r="S634" s="337"/>
      <c r="T634" s="14"/>
      <c r="W634" s="337"/>
      <c r="X634" s="513"/>
      <c r="AA634" s="337"/>
      <c r="AB634" s="17"/>
      <c r="AC634" s="180"/>
      <c r="AD634" s="180"/>
      <c r="AE634" s="514"/>
      <c r="AF634" s="17"/>
      <c r="AI634" s="337"/>
      <c r="AM634" s="337"/>
      <c r="AQ634" s="337"/>
    </row>
    <row r="635" spans="2:43">
      <c r="B635" s="541"/>
      <c r="D635" s="337"/>
      <c r="G635" s="337"/>
      <c r="K635" s="337"/>
      <c r="O635" s="337"/>
      <c r="S635" s="337"/>
      <c r="T635" s="14"/>
      <c r="W635" s="337"/>
      <c r="X635" s="513"/>
      <c r="AA635" s="337"/>
      <c r="AB635" s="17"/>
      <c r="AC635" s="180"/>
      <c r="AD635" s="180"/>
      <c r="AE635" s="514"/>
      <c r="AF635" s="17"/>
      <c r="AI635" s="337"/>
      <c r="AM635" s="337"/>
      <c r="AQ635" s="337"/>
    </row>
    <row r="636" spans="2:43">
      <c r="B636" s="541"/>
      <c r="D636" s="337"/>
      <c r="G636" s="337"/>
      <c r="K636" s="337"/>
      <c r="O636" s="337"/>
      <c r="S636" s="337"/>
      <c r="T636" s="14"/>
      <c r="W636" s="337"/>
      <c r="X636" s="513"/>
      <c r="AA636" s="337"/>
      <c r="AB636" s="17"/>
      <c r="AC636" s="180"/>
      <c r="AD636" s="180"/>
      <c r="AE636" s="514"/>
      <c r="AF636" s="17"/>
      <c r="AI636" s="337"/>
      <c r="AM636" s="337"/>
      <c r="AQ636" s="337"/>
    </row>
    <row r="637" spans="2:43">
      <c r="B637" s="541"/>
      <c r="D637" s="337"/>
      <c r="G637" s="337"/>
      <c r="K637" s="337"/>
      <c r="O637" s="337"/>
      <c r="S637" s="337"/>
      <c r="T637" s="14"/>
      <c r="W637" s="337"/>
      <c r="X637" s="513"/>
      <c r="AA637" s="337"/>
      <c r="AB637" s="17"/>
      <c r="AC637" s="180"/>
      <c r="AD637" s="180"/>
      <c r="AE637" s="514"/>
      <c r="AF637" s="17"/>
      <c r="AI637" s="337"/>
      <c r="AM637" s="337"/>
      <c r="AQ637" s="337"/>
    </row>
    <row r="638" spans="2:43">
      <c r="B638" s="541"/>
      <c r="D638" s="337"/>
      <c r="G638" s="337"/>
      <c r="K638" s="337"/>
      <c r="O638" s="337"/>
      <c r="S638" s="337"/>
      <c r="T638" s="14"/>
      <c r="W638" s="337"/>
      <c r="X638" s="513"/>
      <c r="AA638" s="337"/>
      <c r="AB638" s="17"/>
      <c r="AC638" s="180"/>
      <c r="AD638" s="180"/>
      <c r="AE638" s="514"/>
      <c r="AF638" s="17"/>
      <c r="AI638" s="337"/>
      <c r="AM638" s="337"/>
      <c r="AQ638" s="337"/>
    </row>
    <row r="639" spans="2:43">
      <c r="B639" s="541"/>
      <c r="D639" s="337"/>
      <c r="G639" s="337"/>
      <c r="K639" s="337"/>
      <c r="O639" s="337"/>
      <c r="S639" s="337"/>
      <c r="T639" s="14"/>
      <c r="W639" s="337"/>
      <c r="X639" s="513"/>
      <c r="AA639" s="337"/>
      <c r="AB639" s="17"/>
      <c r="AC639" s="180"/>
      <c r="AD639" s="180"/>
      <c r="AE639" s="514"/>
      <c r="AF639" s="17"/>
      <c r="AI639" s="337"/>
      <c r="AM639" s="337"/>
      <c r="AQ639" s="337"/>
    </row>
    <row r="640" spans="2:43">
      <c r="B640" s="541"/>
      <c r="D640" s="337"/>
      <c r="G640" s="337"/>
      <c r="K640" s="337"/>
      <c r="O640" s="337"/>
      <c r="S640" s="337"/>
      <c r="T640" s="14"/>
      <c r="W640" s="337"/>
      <c r="X640" s="513"/>
      <c r="AA640" s="337"/>
      <c r="AB640" s="17"/>
      <c r="AC640" s="180"/>
      <c r="AD640" s="180"/>
      <c r="AE640" s="514"/>
      <c r="AF640" s="17"/>
      <c r="AI640" s="337"/>
      <c r="AM640" s="337"/>
      <c r="AQ640" s="337"/>
    </row>
    <row r="641" spans="2:43">
      <c r="B641" s="541"/>
      <c r="D641" s="337"/>
      <c r="G641" s="337"/>
      <c r="K641" s="337"/>
      <c r="O641" s="337"/>
      <c r="S641" s="337"/>
      <c r="T641" s="14"/>
      <c r="W641" s="337"/>
      <c r="X641" s="513"/>
      <c r="AA641" s="337"/>
      <c r="AB641" s="17"/>
      <c r="AC641" s="180"/>
      <c r="AD641" s="180"/>
      <c r="AE641" s="514"/>
      <c r="AF641" s="17"/>
      <c r="AI641" s="337"/>
      <c r="AM641" s="337"/>
      <c r="AQ641" s="337"/>
    </row>
    <row r="642" spans="2:43">
      <c r="B642" s="541"/>
      <c r="D642" s="337"/>
      <c r="G642" s="337"/>
      <c r="K642" s="337"/>
      <c r="O642" s="337"/>
      <c r="S642" s="337"/>
      <c r="T642" s="14"/>
      <c r="W642" s="337"/>
      <c r="X642" s="513"/>
      <c r="AA642" s="337"/>
      <c r="AB642" s="17"/>
      <c r="AC642" s="180"/>
      <c r="AD642" s="180"/>
      <c r="AE642" s="514"/>
      <c r="AF642" s="17"/>
      <c r="AI642" s="337"/>
      <c r="AM642" s="337"/>
      <c r="AQ642" s="337"/>
    </row>
    <row r="643" spans="2:43">
      <c r="B643" s="541"/>
      <c r="D643" s="337"/>
      <c r="G643" s="337"/>
      <c r="K643" s="337"/>
      <c r="O643" s="337"/>
      <c r="S643" s="337"/>
      <c r="T643" s="14"/>
      <c r="W643" s="337"/>
      <c r="X643" s="513"/>
      <c r="AA643" s="337"/>
      <c r="AB643" s="17"/>
      <c r="AC643" s="180"/>
      <c r="AD643" s="180"/>
      <c r="AE643" s="514"/>
      <c r="AF643" s="17"/>
      <c r="AI643" s="337"/>
      <c r="AM643" s="337"/>
      <c r="AQ643" s="337"/>
    </row>
    <row r="644" spans="2:43">
      <c r="B644" s="541"/>
      <c r="D644" s="337"/>
      <c r="G644" s="337"/>
      <c r="K644" s="337"/>
      <c r="O644" s="337"/>
      <c r="S644" s="337"/>
      <c r="T644" s="14"/>
      <c r="W644" s="337"/>
      <c r="X644" s="513"/>
      <c r="AA644" s="337"/>
      <c r="AB644" s="17"/>
      <c r="AC644" s="180"/>
      <c r="AD644" s="180"/>
      <c r="AE644" s="514"/>
      <c r="AF644" s="17"/>
      <c r="AI644" s="337"/>
      <c r="AM644" s="337"/>
      <c r="AQ644" s="337"/>
    </row>
    <row r="645" spans="2:43">
      <c r="B645" s="541"/>
      <c r="D645" s="337"/>
      <c r="G645" s="337"/>
      <c r="K645" s="337"/>
      <c r="O645" s="337"/>
      <c r="S645" s="337"/>
      <c r="T645" s="14"/>
      <c r="W645" s="337"/>
      <c r="X645" s="513"/>
      <c r="AA645" s="337"/>
      <c r="AB645" s="17"/>
      <c r="AC645" s="180"/>
      <c r="AD645" s="180"/>
      <c r="AE645" s="514"/>
      <c r="AF645" s="17"/>
      <c r="AI645" s="337"/>
      <c r="AM645" s="337"/>
      <c r="AQ645" s="337"/>
    </row>
    <row r="646" spans="2:43">
      <c r="B646" s="541"/>
      <c r="D646" s="337"/>
      <c r="G646" s="337"/>
      <c r="K646" s="337"/>
      <c r="O646" s="337"/>
      <c r="S646" s="337"/>
      <c r="T646" s="14"/>
      <c r="W646" s="337"/>
      <c r="X646" s="513"/>
      <c r="AA646" s="337"/>
      <c r="AB646" s="17"/>
      <c r="AC646" s="180"/>
      <c r="AD646" s="180"/>
      <c r="AE646" s="514"/>
      <c r="AF646" s="17"/>
      <c r="AI646" s="337"/>
      <c r="AM646" s="337"/>
      <c r="AQ646" s="337"/>
    </row>
    <row r="647" spans="2:43">
      <c r="B647" s="541"/>
      <c r="D647" s="337"/>
      <c r="G647" s="337"/>
      <c r="K647" s="337"/>
      <c r="O647" s="337"/>
      <c r="S647" s="337"/>
      <c r="T647" s="14"/>
      <c r="W647" s="337"/>
      <c r="X647" s="513"/>
      <c r="AA647" s="337"/>
      <c r="AB647" s="17"/>
      <c r="AC647" s="180"/>
      <c r="AD647" s="180"/>
      <c r="AE647" s="514"/>
      <c r="AF647" s="17"/>
      <c r="AI647" s="337"/>
      <c r="AM647" s="337"/>
      <c r="AQ647" s="337"/>
    </row>
    <row r="648" spans="2:43">
      <c r="B648" s="541"/>
      <c r="D648" s="337"/>
      <c r="G648" s="337"/>
      <c r="K648" s="337"/>
      <c r="O648" s="337"/>
      <c r="S648" s="337"/>
      <c r="T648" s="14"/>
      <c r="W648" s="337"/>
      <c r="X648" s="513"/>
      <c r="AA648" s="337"/>
      <c r="AB648" s="17"/>
      <c r="AC648" s="180"/>
      <c r="AD648" s="180"/>
      <c r="AE648" s="514"/>
      <c r="AF648" s="17"/>
      <c r="AI648" s="337"/>
      <c r="AM648" s="337"/>
      <c r="AQ648" s="337"/>
    </row>
    <row r="649" spans="2:43">
      <c r="B649" s="541"/>
      <c r="D649" s="337"/>
      <c r="G649" s="337"/>
      <c r="K649" s="337"/>
      <c r="O649" s="337"/>
      <c r="S649" s="337"/>
      <c r="T649" s="14"/>
      <c r="W649" s="337"/>
      <c r="X649" s="513"/>
      <c r="AA649" s="337"/>
      <c r="AB649" s="17"/>
      <c r="AC649" s="180"/>
      <c r="AD649" s="180"/>
      <c r="AE649" s="514"/>
      <c r="AF649" s="17"/>
      <c r="AI649" s="337"/>
      <c r="AM649" s="337"/>
      <c r="AQ649" s="337"/>
    </row>
    <row r="650" spans="2:43">
      <c r="B650" s="541"/>
      <c r="D650" s="337"/>
      <c r="G650" s="337"/>
      <c r="K650" s="337"/>
      <c r="O650" s="337"/>
      <c r="S650" s="337"/>
      <c r="T650" s="14"/>
      <c r="W650" s="337"/>
      <c r="X650" s="513"/>
      <c r="AA650" s="337"/>
      <c r="AB650" s="17"/>
      <c r="AC650" s="180"/>
      <c r="AD650" s="180"/>
      <c r="AE650" s="514"/>
      <c r="AF650" s="17"/>
      <c r="AI650" s="337"/>
      <c r="AM650" s="337"/>
      <c r="AQ650" s="337"/>
    </row>
    <row r="651" spans="2:43">
      <c r="B651" s="541"/>
      <c r="D651" s="337"/>
      <c r="G651" s="337"/>
      <c r="K651" s="337"/>
      <c r="O651" s="337"/>
      <c r="S651" s="337"/>
      <c r="T651" s="14"/>
      <c r="W651" s="337"/>
      <c r="X651" s="513"/>
      <c r="AA651" s="337"/>
      <c r="AB651" s="17"/>
      <c r="AC651" s="180"/>
      <c r="AD651" s="180"/>
      <c r="AE651" s="514"/>
      <c r="AF651" s="17"/>
      <c r="AI651" s="337"/>
      <c r="AM651" s="337"/>
      <c r="AQ651" s="337"/>
    </row>
    <row r="652" spans="2:43">
      <c r="B652" s="541"/>
      <c r="D652" s="337"/>
      <c r="G652" s="337"/>
      <c r="K652" s="337"/>
      <c r="O652" s="337"/>
      <c r="S652" s="337"/>
      <c r="T652" s="14"/>
      <c r="W652" s="337"/>
      <c r="X652" s="513"/>
      <c r="AA652" s="337"/>
      <c r="AB652" s="17"/>
      <c r="AC652" s="180"/>
      <c r="AD652" s="180"/>
      <c r="AE652" s="514"/>
      <c r="AF652" s="17"/>
      <c r="AI652" s="337"/>
      <c r="AM652" s="337"/>
      <c r="AQ652" s="337"/>
    </row>
    <row r="653" spans="2:43">
      <c r="B653" s="541"/>
      <c r="D653" s="337"/>
      <c r="G653" s="337"/>
      <c r="K653" s="337"/>
      <c r="O653" s="337"/>
      <c r="S653" s="337"/>
      <c r="T653" s="14"/>
      <c r="W653" s="337"/>
      <c r="X653" s="513"/>
      <c r="AA653" s="337"/>
      <c r="AB653" s="17"/>
      <c r="AC653" s="180"/>
      <c r="AD653" s="180"/>
      <c r="AE653" s="514"/>
      <c r="AF653" s="17"/>
      <c r="AI653" s="337"/>
      <c r="AM653" s="337"/>
      <c r="AQ653" s="337"/>
    </row>
    <row r="654" spans="2:43">
      <c r="B654" s="541"/>
      <c r="D654" s="337"/>
      <c r="G654" s="337"/>
      <c r="K654" s="337"/>
      <c r="O654" s="337"/>
      <c r="S654" s="337"/>
      <c r="T654" s="14"/>
      <c r="W654" s="337"/>
      <c r="X654" s="513"/>
      <c r="AA654" s="337"/>
      <c r="AB654" s="17"/>
      <c r="AC654" s="180"/>
      <c r="AD654" s="180"/>
      <c r="AE654" s="514"/>
      <c r="AF654" s="17"/>
      <c r="AI654" s="337"/>
      <c r="AM654" s="337"/>
      <c r="AQ654" s="337"/>
    </row>
    <row r="655" spans="2:43">
      <c r="B655" s="541"/>
      <c r="D655" s="337"/>
      <c r="G655" s="337"/>
      <c r="K655" s="337"/>
      <c r="O655" s="337"/>
      <c r="S655" s="337"/>
      <c r="T655" s="14"/>
      <c r="W655" s="337"/>
      <c r="X655" s="513"/>
      <c r="AA655" s="337"/>
      <c r="AB655" s="17"/>
      <c r="AC655" s="180"/>
      <c r="AD655" s="180"/>
      <c r="AE655" s="514"/>
      <c r="AF655" s="17"/>
      <c r="AI655" s="337"/>
      <c r="AM655" s="337"/>
      <c r="AQ655" s="337"/>
    </row>
    <row r="656" spans="2:43">
      <c r="B656" s="541"/>
      <c r="D656" s="337"/>
      <c r="G656" s="337"/>
      <c r="K656" s="337"/>
      <c r="O656" s="337"/>
      <c r="S656" s="337"/>
      <c r="T656" s="14"/>
      <c r="W656" s="337"/>
      <c r="X656" s="513"/>
      <c r="AA656" s="337"/>
      <c r="AB656" s="17"/>
      <c r="AC656" s="180"/>
      <c r="AD656" s="180"/>
      <c r="AE656" s="514"/>
      <c r="AF656" s="17"/>
      <c r="AI656" s="337"/>
      <c r="AM656" s="337"/>
      <c r="AQ656" s="337"/>
    </row>
    <row r="657" spans="2:43">
      <c r="B657" s="541"/>
      <c r="D657" s="337"/>
      <c r="G657" s="337"/>
      <c r="K657" s="337"/>
      <c r="O657" s="337"/>
      <c r="S657" s="337"/>
      <c r="T657" s="14"/>
      <c r="W657" s="337"/>
      <c r="X657" s="513"/>
      <c r="AA657" s="337"/>
      <c r="AB657" s="17"/>
      <c r="AC657" s="180"/>
      <c r="AD657" s="180"/>
      <c r="AE657" s="514"/>
      <c r="AF657" s="17"/>
      <c r="AI657" s="337"/>
      <c r="AM657" s="337"/>
      <c r="AQ657" s="337"/>
    </row>
    <row r="658" spans="2:43">
      <c r="B658" s="541"/>
      <c r="D658" s="337"/>
      <c r="G658" s="337"/>
      <c r="K658" s="337"/>
      <c r="O658" s="337"/>
      <c r="S658" s="337"/>
      <c r="T658" s="14"/>
      <c r="W658" s="337"/>
      <c r="X658" s="513"/>
      <c r="AA658" s="337"/>
      <c r="AB658" s="17"/>
      <c r="AC658" s="180"/>
      <c r="AD658" s="180"/>
      <c r="AE658" s="514"/>
      <c r="AF658" s="17"/>
      <c r="AI658" s="337"/>
      <c r="AM658" s="337"/>
      <c r="AQ658" s="337"/>
    </row>
    <row r="659" spans="2:43">
      <c r="B659" s="541"/>
      <c r="D659" s="337"/>
      <c r="G659" s="337"/>
      <c r="K659" s="337"/>
      <c r="O659" s="337"/>
      <c r="S659" s="337"/>
      <c r="T659" s="14"/>
      <c r="W659" s="337"/>
      <c r="X659" s="513"/>
      <c r="AA659" s="337"/>
      <c r="AB659" s="17"/>
      <c r="AC659" s="180"/>
      <c r="AD659" s="180"/>
      <c r="AE659" s="514"/>
      <c r="AF659" s="17"/>
      <c r="AI659" s="337"/>
      <c r="AM659" s="337"/>
      <c r="AQ659" s="337"/>
    </row>
    <row r="660" spans="2:43">
      <c r="B660" s="541"/>
      <c r="D660" s="337"/>
      <c r="G660" s="337"/>
      <c r="K660" s="337"/>
      <c r="O660" s="337"/>
      <c r="S660" s="337"/>
      <c r="T660" s="14"/>
      <c r="W660" s="337"/>
      <c r="X660" s="513"/>
      <c r="AA660" s="337"/>
      <c r="AB660" s="17"/>
      <c r="AC660" s="180"/>
      <c r="AD660" s="180"/>
      <c r="AE660" s="514"/>
      <c r="AF660" s="17"/>
      <c r="AI660" s="337"/>
      <c r="AM660" s="337"/>
      <c r="AQ660" s="337"/>
    </row>
    <row r="661" spans="2:43">
      <c r="B661" s="541"/>
      <c r="D661" s="337"/>
      <c r="G661" s="337"/>
      <c r="K661" s="337"/>
      <c r="O661" s="337"/>
      <c r="S661" s="337"/>
      <c r="T661" s="14"/>
      <c r="W661" s="337"/>
      <c r="X661" s="513"/>
      <c r="AA661" s="337"/>
      <c r="AB661" s="17"/>
      <c r="AC661" s="180"/>
      <c r="AD661" s="180"/>
      <c r="AE661" s="514"/>
      <c r="AF661" s="17"/>
      <c r="AI661" s="337"/>
      <c r="AM661" s="337"/>
      <c r="AQ661" s="337"/>
    </row>
    <row r="662" spans="2:43">
      <c r="B662" s="541"/>
      <c r="D662" s="337"/>
      <c r="G662" s="337"/>
      <c r="K662" s="337"/>
      <c r="O662" s="337"/>
      <c r="S662" s="337"/>
      <c r="T662" s="14"/>
      <c r="W662" s="337"/>
      <c r="X662" s="513"/>
      <c r="AA662" s="337"/>
      <c r="AB662" s="17"/>
      <c r="AC662" s="180"/>
      <c r="AD662" s="180"/>
      <c r="AE662" s="514"/>
      <c r="AF662" s="17"/>
      <c r="AI662" s="337"/>
      <c r="AM662" s="337"/>
      <c r="AQ662" s="337"/>
    </row>
    <row r="663" spans="2:43">
      <c r="B663" s="541"/>
      <c r="D663" s="337"/>
      <c r="G663" s="337"/>
      <c r="K663" s="337"/>
      <c r="O663" s="337"/>
      <c r="S663" s="337"/>
      <c r="T663" s="14"/>
      <c r="W663" s="337"/>
      <c r="X663" s="513"/>
      <c r="AA663" s="337"/>
      <c r="AB663" s="17"/>
      <c r="AC663" s="180"/>
      <c r="AD663" s="180"/>
      <c r="AE663" s="514"/>
      <c r="AF663" s="17"/>
      <c r="AI663" s="337"/>
      <c r="AM663" s="337"/>
      <c r="AQ663" s="337"/>
    </row>
    <row r="664" spans="2:43">
      <c r="B664" s="541"/>
      <c r="D664" s="337"/>
      <c r="G664" s="337"/>
      <c r="K664" s="337"/>
      <c r="O664" s="337"/>
      <c r="S664" s="337"/>
      <c r="T664" s="14"/>
      <c r="W664" s="337"/>
      <c r="X664" s="513"/>
      <c r="AA664" s="337"/>
      <c r="AB664" s="17"/>
      <c r="AC664" s="180"/>
      <c r="AD664" s="180"/>
      <c r="AE664" s="514"/>
      <c r="AF664" s="17"/>
      <c r="AI664" s="337"/>
      <c r="AM664" s="337"/>
      <c r="AQ664" s="337"/>
    </row>
    <row r="665" spans="2:43">
      <c r="B665" s="541"/>
      <c r="D665" s="337"/>
      <c r="G665" s="337"/>
      <c r="K665" s="337"/>
      <c r="O665" s="337"/>
      <c r="S665" s="337"/>
      <c r="T665" s="14"/>
      <c r="W665" s="337"/>
      <c r="X665" s="513"/>
      <c r="AA665" s="337"/>
      <c r="AB665" s="17"/>
      <c r="AC665" s="180"/>
      <c r="AD665" s="180"/>
      <c r="AE665" s="514"/>
      <c r="AF665" s="17"/>
      <c r="AI665" s="337"/>
      <c r="AM665" s="337"/>
      <c r="AQ665" s="337"/>
    </row>
    <row r="666" spans="2:43">
      <c r="B666" s="541"/>
      <c r="D666" s="337"/>
      <c r="G666" s="337"/>
      <c r="K666" s="337"/>
      <c r="O666" s="337"/>
      <c r="S666" s="337"/>
      <c r="T666" s="14"/>
      <c r="W666" s="337"/>
      <c r="X666" s="513"/>
      <c r="AA666" s="337"/>
      <c r="AB666" s="17"/>
      <c r="AC666" s="180"/>
      <c r="AD666" s="180"/>
      <c r="AE666" s="514"/>
      <c r="AF666" s="17"/>
      <c r="AI666" s="337"/>
      <c r="AM666" s="337"/>
      <c r="AQ666" s="337"/>
    </row>
    <row r="667" spans="2:43">
      <c r="B667" s="541"/>
      <c r="D667" s="337"/>
      <c r="G667" s="337"/>
      <c r="K667" s="337"/>
      <c r="O667" s="337"/>
      <c r="S667" s="337"/>
      <c r="T667" s="14"/>
      <c r="W667" s="337"/>
      <c r="X667" s="513"/>
      <c r="AA667" s="337"/>
      <c r="AB667" s="17"/>
      <c r="AC667" s="180"/>
      <c r="AD667" s="180"/>
      <c r="AE667" s="514"/>
      <c r="AF667" s="17"/>
      <c r="AI667" s="337"/>
      <c r="AM667" s="337"/>
      <c r="AQ667" s="337"/>
    </row>
    <row r="668" spans="2:43">
      <c r="B668" s="541"/>
      <c r="D668" s="337"/>
      <c r="G668" s="337"/>
      <c r="K668" s="337"/>
      <c r="O668" s="337"/>
      <c r="S668" s="337"/>
      <c r="T668" s="14"/>
      <c r="W668" s="337"/>
      <c r="X668" s="513"/>
      <c r="AA668" s="337"/>
      <c r="AB668" s="17"/>
      <c r="AC668" s="180"/>
      <c r="AD668" s="180"/>
      <c r="AE668" s="514"/>
      <c r="AF668" s="17"/>
      <c r="AI668" s="337"/>
      <c r="AM668" s="337"/>
      <c r="AQ668" s="337"/>
    </row>
    <row r="669" spans="2:43">
      <c r="B669" s="541"/>
      <c r="D669" s="337"/>
      <c r="G669" s="337"/>
      <c r="K669" s="337"/>
      <c r="O669" s="337"/>
      <c r="S669" s="337"/>
      <c r="T669" s="14"/>
      <c r="W669" s="337"/>
      <c r="X669" s="513"/>
      <c r="AA669" s="337"/>
      <c r="AB669" s="17"/>
      <c r="AC669" s="180"/>
      <c r="AD669" s="180"/>
      <c r="AE669" s="514"/>
      <c r="AF669" s="17"/>
      <c r="AI669" s="337"/>
      <c r="AM669" s="337"/>
      <c r="AQ669" s="337"/>
    </row>
    <row r="670" spans="2:43">
      <c r="B670" s="541"/>
      <c r="D670" s="337"/>
      <c r="G670" s="337"/>
      <c r="K670" s="337"/>
      <c r="O670" s="337"/>
      <c r="S670" s="337"/>
      <c r="T670" s="14"/>
      <c r="W670" s="337"/>
      <c r="X670" s="513"/>
      <c r="AA670" s="337"/>
      <c r="AB670" s="17"/>
      <c r="AC670" s="180"/>
      <c r="AD670" s="180"/>
      <c r="AE670" s="514"/>
      <c r="AF670" s="17"/>
      <c r="AI670" s="337"/>
      <c r="AM670" s="337"/>
      <c r="AQ670" s="337"/>
    </row>
    <row r="671" spans="2:43">
      <c r="B671" s="541"/>
      <c r="D671" s="337"/>
      <c r="G671" s="337"/>
      <c r="K671" s="337"/>
      <c r="O671" s="337"/>
      <c r="S671" s="337"/>
      <c r="T671" s="14"/>
      <c r="W671" s="337"/>
      <c r="X671" s="513"/>
      <c r="AA671" s="337"/>
      <c r="AB671" s="17"/>
      <c r="AC671" s="180"/>
      <c r="AD671" s="180"/>
      <c r="AE671" s="514"/>
      <c r="AF671" s="17"/>
      <c r="AI671" s="337"/>
      <c r="AM671" s="337"/>
      <c r="AQ671" s="337"/>
    </row>
    <row r="672" spans="2:43">
      <c r="B672" s="541"/>
      <c r="D672" s="337"/>
      <c r="G672" s="337"/>
      <c r="K672" s="337"/>
      <c r="O672" s="337"/>
      <c r="S672" s="337"/>
      <c r="T672" s="14"/>
      <c r="W672" s="337"/>
      <c r="X672" s="513"/>
      <c r="AA672" s="337"/>
      <c r="AB672" s="17"/>
      <c r="AC672" s="180"/>
      <c r="AD672" s="180"/>
      <c r="AE672" s="514"/>
      <c r="AF672" s="17"/>
      <c r="AI672" s="337"/>
      <c r="AM672" s="337"/>
      <c r="AQ672" s="337"/>
    </row>
    <row r="673" spans="2:43">
      <c r="B673" s="541"/>
      <c r="D673" s="337"/>
      <c r="G673" s="337"/>
      <c r="K673" s="337"/>
      <c r="O673" s="337"/>
      <c r="S673" s="337"/>
      <c r="T673" s="14"/>
      <c r="W673" s="337"/>
      <c r="X673" s="513"/>
      <c r="AA673" s="337"/>
      <c r="AB673" s="17"/>
      <c r="AC673" s="180"/>
      <c r="AD673" s="180"/>
      <c r="AE673" s="514"/>
      <c r="AF673" s="17"/>
      <c r="AI673" s="337"/>
      <c r="AM673" s="337"/>
      <c r="AQ673" s="337"/>
    </row>
    <row r="674" spans="2:43">
      <c r="B674" s="541"/>
      <c r="D674" s="337"/>
      <c r="G674" s="337"/>
      <c r="K674" s="337"/>
      <c r="O674" s="337"/>
      <c r="S674" s="337"/>
      <c r="T674" s="14"/>
      <c r="W674" s="337"/>
      <c r="X674" s="513"/>
      <c r="AA674" s="337"/>
      <c r="AB674" s="17"/>
      <c r="AC674" s="180"/>
      <c r="AD674" s="180"/>
      <c r="AE674" s="514"/>
      <c r="AF674" s="17"/>
      <c r="AI674" s="337"/>
      <c r="AM674" s="337"/>
      <c r="AQ674" s="337"/>
    </row>
    <row r="675" spans="2:43">
      <c r="B675" s="541"/>
      <c r="D675" s="337"/>
      <c r="G675" s="337"/>
      <c r="K675" s="337"/>
      <c r="O675" s="337"/>
      <c r="S675" s="337"/>
      <c r="T675" s="14"/>
      <c r="W675" s="337"/>
      <c r="X675" s="513"/>
      <c r="AA675" s="337"/>
      <c r="AB675" s="17"/>
      <c r="AC675" s="180"/>
      <c r="AD675" s="180"/>
      <c r="AE675" s="514"/>
      <c r="AF675" s="17"/>
      <c r="AI675" s="337"/>
      <c r="AM675" s="337"/>
      <c r="AQ675" s="337"/>
    </row>
    <row r="676" spans="2:43">
      <c r="B676" s="541"/>
      <c r="D676" s="337"/>
      <c r="G676" s="337"/>
      <c r="K676" s="337"/>
      <c r="O676" s="337"/>
      <c r="S676" s="337"/>
      <c r="T676" s="14"/>
      <c r="W676" s="337"/>
      <c r="X676" s="513"/>
      <c r="AA676" s="337"/>
      <c r="AB676" s="17"/>
      <c r="AC676" s="180"/>
      <c r="AD676" s="180"/>
      <c r="AE676" s="514"/>
      <c r="AF676" s="17"/>
      <c r="AI676" s="337"/>
      <c r="AM676" s="337"/>
      <c r="AQ676" s="337"/>
    </row>
    <row r="677" spans="2:43">
      <c r="B677" s="541"/>
      <c r="D677" s="337"/>
      <c r="G677" s="337"/>
      <c r="K677" s="337"/>
      <c r="O677" s="337"/>
      <c r="S677" s="337"/>
      <c r="T677" s="14"/>
      <c r="W677" s="337"/>
      <c r="X677" s="513"/>
      <c r="AA677" s="337"/>
      <c r="AB677" s="17"/>
      <c r="AC677" s="180"/>
      <c r="AD677" s="180"/>
      <c r="AE677" s="514"/>
      <c r="AF677" s="17"/>
      <c r="AI677" s="337"/>
      <c r="AM677" s="337"/>
      <c r="AQ677" s="337"/>
    </row>
    <row r="678" spans="2:43">
      <c r="B678" s="541"/>
      <c r="D678" s="337"/>
      <c r="G678" s="337"/>
      <c r="K678" s="337"/>
      <c r="O678" s="337"/>
      <c r="S678" s="337"/>
      <c r="T678" s="14"/>
      <c r="W678" s="337"/>
      <c r="X678" s="513"/>
      <c r="AA678" s="337"/>
      <c r="AB678" s="17"/>
      <c r="AC678" s="180"/>
      <c r="AD678" s="180"/>
      <c r="AE678" s="514"/>
      <c r="AF678" s="17"/>
      <c r="AI678" s="337"/>
      <c r="AM678" s="337"/>
      <c r="AQ678" s="337"/>
    </row>
    <row r="679" spans="2:43">
      <c r="B679" s="541"/>
      <c r="D679" s="337"/>
      <c r="G679" s="337"/>
      <c r="K679" s="337"/>
      <c r="O679" s="337"/>
      <c r="S679" s="337"/>
      <c r="T679" s="14"/>
      <c r="W679" s="337"/>
      <c r="X679" s="513"/>
      <c r="AA679" s="337"/>
      <c r="AB679" s="17"/>
      <c r="AC679" s="180"/>
      <c r="AD679" s="180"/>
      <c r="AE679" s="514"/>
      <c r="AF679" s="17"/>
      <c r="AI679" s="337"/>
      <c r="AM679" s="337"/>
      <c r="AQ679" s="337"/>
    </row>
    <row r="680" spans="2:43">
      <c r="B680" s="541"/>
      <c r="D680" s="337"/>
      <c r="G680" s="337"/>
      <c r="K680" s="337"/>
      <c r="O680" s="337"/>
      <c r="S680" s="337"/>
      <c r="T680" s="14"/>
      <c r="W680" s="337"/>
      <c r="X680" s="513"/>
      <c r="AA680" s="337"/>
      <c r="AB680" s="17"/>
      <c r="AC680" s="180"/>
      <c r="AD680" s="180"/>
      <c r="AE680" s="514"/>
      <c r="AF680" s="17"/>
      <c r="AI680" s="337"/>
      <c r="AM680" s="337"/>
      <c r="AQ680" s="337"/>
    </row>
    <row r="681" spans="2:43">
      <c r="B681" s="541"/>
      <c r="D681" s="337"/>
      <c r="G681" s="337"/>
      <c r="K681" s="337"/>
      <c r="O681" s="337"/>
      <c r="S681" s="337"/>
      <c r="T681" s="14"/>
      <c r="W681" s="337"/>
      <c r="X681" s="513"/>
      <c r="AA681" s="337"/>
      <c r="AB681" s="17"/>
      <c r="AC681" s="180"/>
      <c r="AD681" s="180"/>
      <c r="AE681" s="514"/>
      <c r="AF681" s="17"/>
      <c r="AI681" s="337"/>
      <c r="AM681" s="337"/>
      <c r="AQ681" s="337"/>
    </row>
    <row r="682" spans="2:43">
      <c r="B682" s="541"/>
      <c r="D682" s="337"/>
      <c r="G682" s="337"/>
      <c r="K682" s="337"/>
      <c r="O682" s="337"/>
      <c r="S682" s="337"/>
      <c r="T682" s="14"/>
      <c r="W682" s="337"/>
      <c r="X682" s="513"/>
      <c r="AA682" s="337"/>
      <c r="AB682" s="17"/>
      <c r="AC682" s="180"/>
      <c r="AD682" s="180"/>
      <c r="AE682" s="514"/>
      <c r="AF682" s="17"/>
      <c r="AI682" s="337"/>
      <c r="AM682" s="337"/>
      <c r="AQ682" s="337"/>
    </row>
    <row r="683" spans="2:43">
      <c r="B683" s="541"/>
      <c r="D683" s="337"/>
      <c r="G683" s="337"/>
      <c r="K683" s="337"/>
      <c r="O683" s="337"/>
      <c r="S683" s="337"/>
      <c r="T683" s="14"/>
      <c r="W683" s="337"/>
      <c r="X683" s="513"/>
      <c r="AA683" s="337"/>
      <c r="AB683" s="17"/>
      <c r="AC683" s="180"/>
      <c r="AD683" s="180"/>
      <c r="AE683" s="514"/>
      <c r="AF683" s="17"/>
      <c r="AI683" s="337"/>
      <c r="AM683" s="337"/>
      <c r="AQ683" s="337"/>
    </row>
    <row r="684" spans="2:43">
      <c r="B684" s="541"/>
      <c r="D684" s="337"/>
      <c r="G684" s="337"/>
      <c r="K684" s="337"/>
      <c r="O684" s="337"/>
      <c r="S684" s="337"/>
      <c r="T684" s="14"/>
      <c r="W684" s="337"/>
      <c r="X684" s="513"/>
      <c r="AA684" s="337"/>
      <c r="AB684" s="17"/>
      <c r="AC684" s="180"/>
      <c r="AD684" s="180"/>
      <c r="AE684" s="514"/>
      <c r="AF684" s="17"/>
      <c r="AI684" s="337"/>
      <c r="AM684" s="337"/>
      <c r="AQ684" s="337"/>
    </row>
    <row r="685" spans="2:43">
      <c r="B685" s="541"/>
      <c r="D685" s="337"/>
      <c r="G685" s="337"/>
      <c r="K685" s="337"/>
      <c r="O685" s="337"/>
      <c r="S685" s="337"/>
      <c r="T685" s="14"/>
      <c r="W685" s="337"/>
      <c r="X685" s="513"/>
      <c r="AA685" s="337"/>
      <c r="AB685" s="17"/>
      <c r="AC685" s="180"/>
      <c r="AD685" s="180"/>
      <c r="AE685" s="514"/>
      <c r="AF685" s="17"/>
      <c r="AI685" s="337"/>
      <c r="AM685" s="337"/>
      <c r="AQ685" s="337"/>
    </row>
    <row r="686" spans="2:43">
      <c r="B686" s="541"/>
      <c r="D686" s="337"/>
      <c r="G686" s="337"/>
      <c r="K686" s="337"/>
      <c r="O686" s="337"/>
      <c r="S686" s="337"/>
      <c r="T686" s="14"/>
      <c r="W686" s="337"/>
      <c r="X686" s="513"/>
      <c r="AA686" s="337"/>
      <c r="AB686" s="17"/>
      <c r="AC686" s="180"/>
      <c r="AD686" s="180"/>
      <c r="AE686" s="514"/>
      <c r="AF686" s="17"/>
      <c r="AI686" s="337"/>
      <c r="AM686" s="337"/>
      <c r="AQ686" s="337"/>
    </row>
    <row r="687" spans="2:43">
      <c r="B687" s="541"/>
      <c r="D687" s="337"/>
      <c r="G687" s="337"/>
      <c r="K687" s="337"/>
      <c r="O687" s="337"/>
      <c r="S687" s="337"/>
      <c r="T687" s="14"/>
      <c r="W687" s="337"/>
      <c r="X687" s="513"/>
      <c r="AA687" s="337"/>
      <c r="AB687" s="17"/>
      <c r="AC687" s="180"/>
      <c r="AD687" s="180"/>
      <c r="AE687" s="514"/>
      <c r="AF687" s="17"/>
      <c r="AI687" s="337"/>
      <c r="AM687" s="337"/>
      <c r="AQ687" s="337"/>
    </row>
    <row r="688" spans="2:43">
      <c r="B688" s="541"/>
      <c r="D688" s="337"/>
      <c r="G688" s="337"/>
      <c r="K688" s="337"/>
      <c r="O688" s="337"/>
      <c r="S688" s="337"/>
      <c r="T688" s="14"/>
      <c r="W688" s="337"/>
      <c r="X688" s="513"/>
      <c r="AA688" s="337"/>
      <c r="AB688" s="17"/>
      <c r="AC688" s="180"/>
      <c r="AD688" s="180"/>
      <c r="AE688" s="514"/>
      <c r="AF688" s="17"/>
      <c r="AI688" s="337"/>
      <c r="AM688" s="337"/>
      <c r="AQ688" s="337"/>
    </row>
    <row r="689" spans="2:43">
      <c r="B689" s="541"/>
      <c r="D689" s="337"/>
      <c r="G689" s="337"/>
      <c r="K689" s="337"/>
      <c r="O689" s="337"/>
      <c r="S689" s="337"/>
      <c r="T689" s="14"/>
      <c r="W689" s="337"/>
      <c r="X689" s="513"/>
      <c r="AA689" s="337"/>
      <c r="AB689" s="17"/>
      <c r="AC689" s="180"/>
      <c r="AD689" s="180"/>
      <c r="AE689" s="514"/>
      <c r="AF689" s="17"/>
      <c r="AI689" s="337"/>
      <c r="AM689" s="337"/>
      <c r="AQ689" s="337"/>
    </row>
    <row r="690" spans="2:43">
      <c r="B690" s="541"/>
      <c r="D690" s="337"/>
      <c r="G690" s="337"/>
      <c r="K690" s="337"/>
      <c r="O690" s="337"/>
      <c r="S690" s="337"/>
      <c r="T690" s="14"/>
      <c r="W690" s="337"/>
      <c r="X690" s="513"/>
      <c r="AA690" s="337"/>
      <c r="AB690" s="17"/>
      <c r="AC690" s="180"/>
      <c r="AD690" s="180"/>
      <c r="AE690" s="514"/>
      <c r="AF690" s="17"/>
      <c r="AI690" s="337"/>
      <c r="AM690" s="337"/>
      <c r="AQ690" s="337"/>
    </row>
    <row r="691" spans="2:43">
      <c r="B691" s="541"/>
      <c r="D691" s="337"/>
      <c r="G691" s="337"/>
      <c r="K691" s="337"/>
      <c r="O691" s="337"/>
      <c r="S691" s="337"/>
      <c r="T691" s="14"/>
      <c r="W691" s="337"/>
      <c r="X691" s="513"/>
      <c r="AA691" s="337"/>
      <c r="AB691" s="17"/>
      <c r="AC691" s="180"/>
      <c r="AD691" s="180"/>
      <c r="AE691" s="514"/>
      <c r="AF691" s="17"/>
      <c r="AI691" s="337"/>
      <c r="AM691" s="337"/>
      <c r="AQ691" s="337"/>
    </row>
    <row r="692" spans="2:43">
      <c r="B692" s="541"/>
      <c r="D692" s="337"/>
      <c r="G692" s="337"/>
      <c r="K692" s="337"/>
      <c r="O692" s="337"/>
      <c r="S692" s="337"/>
      <c r="T692" s="14"/>
      <c r="W692" s="337"/>
      <c r="X692" s="513"/>
      <c r="AA692" s="337"/>
      <c r="AB692" s="17"/>
      <c r="AC692" s="180"/>
      <c r="AD692" s="180"/>
      <c r="AE692" s="514"/>
      <c r="AF692" s="17"/>
      <c r="AI692" s="337"/>
      <c r="AM692" s="337"/>
      <c r="AQ692" s="337"/>
    </row>
    <row r="693" spans="2:43">
      <c r="B693" s="541"/>
      <c r="D693" s="337"/>
      <c r="G693" s="337"/>
      <c r="K693" s="337"/>
      <c r="O693" s="337"/>
      <c r="S693" s="337"/>
      <c r="T693" s="14"/>
      <c r="W693" s="337"/>
      <c r="X693" s="513"/>
      <c r="AA693" s="337"/>
      <c r="AB693" s="17"/>
      <c r="AC693" s="180"/>
      <c r="AD693" s="180"/>
      <c r="AE693" s="514"/>
      <c r="AF693" s="17"/>
      <c r="AI693" s="337"/>
      <c r="AM693" s="337"/>
      <c r="AQ693" s="337"/>
    </row>
    <row r="694" spans="2:43">
      <c r="B694" s="541"/>
      <c r="D694" s="337"/>
      <c r="G694" s="337"/>
      <c r="K694" s="337"/>
      <c r="O694" s="337"/>
      <c r="S694" s="337"/>
      <c r="T694" s="14"/>
      <c r="W694" s="337"/>
      <c r="X694" s="513"/>
      <c r="AA694" s="337"/>
      <c r="AB694" s="17"/>
      <c r="AC694" s="180"/>
      <c r="AD694" s="180"/>
      <c r="AE694" s="514"/>
      <c r="AF694" s="17"/>
      <c r="AI694" s="337"/>
      <c r="AM694" s="337"/>
      <c r="AQ694" s="337"/>
    </row>
    <row r="695" spans="2:43">
      <c r="B695" s="541"/>
      <c r="D695" s="337"/>
      <c r="G695" s="337"/>
      <c r="K695" s="337"/>
      <c r="O695" s="337"/>
      <c r="S695" s="337"/>
      <c r="T695" s="14"/>
      <c r="W695" s="337"/>
      <c r="X695" s="513"/>
      <c r="AA695" s="337"/>
      <c r="AB695" s="17"/>
      <c r="AC695" s="180"/>
      <c r="AD695" s="180"/>
      <c r="AE695" s="514"/>
      <c r="AF695" s="17"/>
      <c r="AI695" s="337"/>
      <c r="AM695" s="337"/>
      <c r="AQ695" s="337"/>
    </row>
    <row r="696" spans="2:43">
      <c r="B696" s="541"/>
      <c r="D696" s="337"/>
      <c r="G696" s="337"/>
      <c r="K696" s="337"/>
      <c r="O696" s="337"/>
      <c r="S696" s="337"/>
      <c r="T696" s="14"/>
      <c r="W696" s="337"/>
      <c r="X696" s="513"/>
      <c r="AA696" s="337"/>
      <c r="AB696" s="17"/>
      <c r="AC696" s="180"/>
      <c r="AD696" s="180"/>
      <c r="AE696" s="514"/>
      <c r="AF696" s="17"/>
      <c r="AI696" s="337"/>
      <c r="AM696" s="337"/>
      <c r="AQ696" s="337"/>
    </row>
    <row r="697" spans="2:43">
      <c r="B697" s="541"/>
      <c r="D697" s="337"/>
      <c r="G697" s="337"/>
      <c r="K697" s="337"/>
      <c r="O697" s="337"/>
      <c r="S697" s="337"/>
      <c r="T697" s="14"/>
      <c r="W697" s="337"/>
      <c r="X697" s="513"/>
      <c r="AA697" s="337"/>
      <c r="AB697" s="17"/>
      <c r="AC697" s="180"/>
      <c r="AD697" s="180"/>
      <c r="AE697" s="514"/>
      <c r="AF697" s="17"/>
      <c r="AI697" s="337"/>
      <c r="AM697" s="337"/>
      <c r="AQ697" s="337"/>
    </row>
    <row r="698" spans="2:43">
      <c r="B698" s="541"/>
      <c r="D698" s="337"/>
      <c r="G698" s="337"/>
      <c r="K698" s="337"/>
      <c r="O698" s="337"/>
      <c r="S698" s="337"/>
      <c r="T698" s="14"/>
      <c r="W698" s="337"/>
      <c r="X698" s="513"/>
      <c r="AA698" s="337"/>
      <c r="AB698" s="17"/>
      <c r="AC698" s="180"/>
      <c r="AD698" s="180"/>
      <c r="AE698" s="514"/>
      <c r="AF698" s="17"/>
      <c r="AI698" s="337"/>
      <c r="AM698" s="337"/>
      <c r="AQ698" s="337"/>
    </row>
    <row r="699" spans="2:43">
      <c r="B699" s="541"/>
      <c r="D699" s="337"/>
      <c r="G699" s="337"/>
      <c r="K699" s="337"/>
      <c r="O699" s="337"/>
      <c r="S699" s="337"/>
      <c r="T699" s="14"/>
      <c r="W699" s="337"/>
      <c r="X699" s="513"/>
      <c r="AA699" s="337"/>
      <c r="AB699" s="17"/>
      <c r="AC699" s="180"/>
      <c r="AD699" s="180"/>
      <c r="AE699" s="514"/>
      <c r="AF699" s="17"/>
      <c r="AI699" s="337"/>
      <c r="AM699" s="337"/>
      <c r="AQ699" s="337"/>
    </row>
    <row r="700" spans="2:43">
      <c r="B700" s="541"/>
      <c r="D700" s="337"/>
      <c r="G700" s="337"/>
      <c r="K700" s="337"/>
      <c r="O700" s="337"/>
      <c r="S700" s="337"/>
      <c r="T700" s="14"/>
      <c r="W700" s="337"/>
      <c r="X700" s="513"/>
      <c r="AA700" s="337"/>
      <c r="AB700" s="17"/>
      <c r="AC700" s="180"/>
      <c r="AD700" s="180"/>
      <c r="AE700" s="514"/>
      <c r="AF700" s="17"/>
      <c r="AI700" s="337"/>
      <c r="AM700" s="337"/>
      <c r="AQ700" s="337"/>
    </row>
    <row r="701" spans="2:43">
      <c r="B701" s="541"/>
      <c r="D701" s="337"/>
      <c r="G701" s="337"/>
      <c r="K701" s="337"/>
      <c r="O701" s="337"/>
      <c r="S701" s="337"/>
      <c r="T701" s="14"/>
      <c r="W701" s="337"/>
      <c r="X701" s="513"/>
      <c r="AA701" s="337"/>
      <c r="AB701" s="17"/>
      <c r="AC701" s="180"/>
      <c r="AD701" s="180"/>
      <c r="AE701" s="514"/>
      <c r="AF701" s="17"/>
      <c r="AI701" s="337"/>
      <c r="AM701" s="337"/>
      <c r="AQ701" s="337"/>
    </row>
    <row r="702" spans="2:43">
      <c r="B702" s="541"/>
      <c r="D702" s="337"/>
      <c r="G702" s="337"/>
      <c r="K702" s="337"/>
      <c r="O702" s="337"/>
      <c r="S702" s="337"/>
      <c r="T702" s="14"/>
      <c r="W702" s="337"/>
      <c r="X702" s="513"/>
      <c r="AA702" s="337"/>
      <c r="AB702" s="17"/>
      <c r="AC702" s="180"/>
      <c r="AD702" s="180"/>
      <c r="AE702" s="514"/>
      <c r="AF702" s="17"/>
      <c r="AI702" s="337"/>
      <c r="AM702" s="337"/>
      <c r="AQ702" s="337"/>
    </row>
    <row r="703" spans="2:43">
      <c r="B703" s="541"/>
      <c r="D703" s="337"/>
      <c r="G703" s="337"/>
      <c r="K703" s="337"/>
      <c r="O703" s="337"/>
      <c r="S703" s="337"/>
      <c r="T703" s="14"/>
      <c r="W703" s="337"/>
      <c r="X703" s="513"/>
      <c r="AA703" s="337"/>
      <c r="AB703" s="17"/>
      <c r="AC703" s="180"/>
      <c r="AD703" s="180"/>
      <c r="AE703" s="514"/>
      <c r="AF703" s="17"/>
      <c r="AI703" s="337"/>
      <c r="AM703" s="337"/>
      <c r="AQ703" s="337"/>
    </row>
    <row r="704" spans="2:43">
      <c r="B704" s="541"/>
      <c r="D704" s="337"/>
      <c r="G704" s="337"/>
      <c r="K704" s="337"/>
      <c r="O704" s="337"/>
      <c r="S704" s="337"/>
      <c r="T704" s="14"/>
      <c r="W704" s="337"/>
      <c r="X704" s="513"/>
      <c r="AA704" s="337"/>
      <c r="AB704" s="17"/>
      <c r="AC704" s="180"/>
      <c r="AD704" s="180"/>
      <c r="AE704" s="514"/>
      <c r="AF704" s="17"/>
      <c r="AI704" s="337"/>
      <c r="AM704" s="337"/>
      <c r="AQ704" s="337"/>
    </row>
    <row r="705" spans="2:43">
      <c r="B705" s="541"/>
      <c r="D705" s="337"/>
      <c r="G705" s="337"/>
      <c r="K705" s="337"/>
      <c r="O705" s="337"/>
      <c r="S705" s="337"/>
      <c r="T705" s="14"/>
      <c r="W705" s="337"/>
      <c r="X705" s="513"/>
      <c r="AA705" s="337"/>
      <c r="AB705" s="17"/>
      <c r="AC705" s="180"/>
      <c r="AD705" s="180"/>
      <c r="AE705" s="514"/>
      <c r="AF705" s="17"/>
      <c r="AI705" s="337"/>
      <c r="AM705" s="337"/>
      <c r="AQ705" s="337"/>
    </row>
    <row r="706" spans="2:43">
      <c r="B706" s="541"/>
      <c r="D706" s="337"/>
      <c r="G706" s="337"/>
      <c r="K706" s="337"/>
      <c r="O706" s="337"/>
      <c r="S706" s="337"/>
      <c r="T706" s="14"/>
      <c r="W706" s="337"/>
      <c r="X706" s="513"/>
      <c r="AA706" s="337"/>
      <c r="AB706" s="17"/>
      <c r="AC706" s="180"/>
      <c r="AD706" s="180"/>
      <c r="AE706" s="514"/>
      <c r="AF706" s="17"/>
      <c r="AI706" s="337"/>
      <c r="AM706" s="337"/>
      <c r="AQ706" s="337"/>
    </row>
    <row r="707" spans="2:43">
      <c r="B707" s="541"/>
      <c r="D707" s="337"/>
      <c r="G707" s="337"/>
      <c r="K707" s="337"/>
      <c r="O707" s="337"/>
      <c r="S707" s="337"/>
      <c r="T707" s="14"/>
      <c r="W707" s="337"/>
      <c r="X707" s="513"/>
      <c r="AA707" s="337"/>
      <c r="AB707" s="17"/>
      <c r="AC707" s="180"/>
      <c r="AD707" s="180"/>
      <c r="AE707" s="514"/>
      <c r="AF707" s="17"/>
      <c r="AI707" s="337"/>
      <c r="AM707" s="337"/>
      <c r="AQ707" s="337"/>
    </row>
    <row r="708" spans="2:43">
      <c r="B708" s="541"/>
      <c r="D708" s="337"/>
      <c r="G708" s="337"/>
      <c r="K708" s="337"/>
      <c r="O708" s="337"/>
      <c r="S708" s="337"/>
      <c r="T708" s="14"/>
      <c r="W708" s="337"/>
      <c r="X708" s="513"/>
      <c r="AA708" s="337"/>
      <c r="AB708" s="17"/>
      <c r="AC708" s="180"/>
      <c r="AD708" s="180"/>
      <c r="AE708" s="514"/>
      <c r="AF708" s="17"/>
      <c r="AI708" s="337"/>
      <c r="AM708" s="337"/>
      <c r="AQ708" s="337"/>
    </row>
    <row r="709" spans="2:43">
      <c r="B709" s="541"/>
      <c r="D709" s="337"/>
      <c r="G709" s="337"/>
      <c r="K709" s="337"/>
      <c r="O709" s="337"/>
      <c r="S709" s="337"/>
      <c r="T709" s="14"/>
      <c r="W709" s="337"/>
      <c r="X709" s="513"/>
      <c r="AA709" s="337"/>
      <c r="AB709" s="17"/>
      <c r="AC709" s="180"/>
      <c r="AD709" s="180"/>
      <c r="AE709" s="514"/>
      <c r="AF709" s="17"/>
      <c r="AI709" s="337"/>
      <c r="AM709" s="337"/>
      <c r="AQ709" s="337"/>
    </row>
    <row r="710" spans="2:43">
      <c r="B710" s="541"/>
      <c r="D710" s="337"/>
      <c r="G710" s="337"/>
      <c r="K710" s="337"/>
      <c r="O710" s="337"/>
      <c r="S710" s="337"/>
      <c r="T710" s="14"/>
      <c r="W710" s="337"/>
      <c r="X710" s="513"/>
      <c r="AA710" s="337"/>
      <c r="AB710" s="17"/>
      <c r="AC710" s="180"/>
      <c r="AD710" s="180"/>
      <c r="AE710" s="514"/>
      <c r="AF710" s="17"/>
      <c r="AI710" s="337"/>
      <c r="AM710" s="337"/>
      <c r="AQ710" s="337"/>
    </row>
    <row r="711" spans="2:43">
      <c r="B711" s="541"/>
      <c r="D711" s="337"/>
      <c r="G711" s="337"/>
      <c r="K711" s="337"/>
      <c r="O711" s="337"/>
      <c r="S711" s="337"/>
      <c r="T711" s="14"/>
      <c r="W711" s="337"/>
      <c r="X711" s="513"/>
      <c r="AA711" s="337"/>
      <c r="AB711" s="17"/>
      <c r="AC711" s="180"/>
      <c r="AD711" s="180"/>
      <c r="AE711" s="514"/>
      <c r="AF711" s="17"/>
      <c r="AI711" s="337"/>
      <c r="AM711" s="337"/>
      <c r="AQ711" s="337"/>
    </row>
    <row r="712" spans="2:43">
      <c r="B712" s="541"/>
      <c r="D712" s="337"/>
      <c r="G712" s="337"/>
      <c r="K712" s="337"/>
      <c r="O712" s="337"/>
      <c r="S712" s="337"/>
      <c r="T712" s="14"/>
      <c r="W712" s="337"/>
      <c r="X712" s="513"/>
      <c r="AA712" s="337"/>
      <c r="AB712" s="17"/>
      <c r="AC712" s="180"/>
      <c r="AD712" s="180"/>
      <c r="AE712" s="514"/>
      <c r="AF712" s="17"/>
      <c r="AI712" s="337"/>
      <c r="AM712" s="337"/>
      <c r="AQ712" s="337"/>
    </row>
    <row r="713" spans="2:43">
      <c r="B713" s="541"/>
      <c r="D713" s="337"/>
      <c r="G713" s="337"/>
      <c r="K713" s="337"/>
      <c r="O713" s="337"/>
      <c r="S713" s="337"/>
      <c r="T713" s="14"/>
      <c r="W713" s="337"/>
      <c r="X713" s="513"/>
      <c r="AA713" s="337"/>
      <c r="AB713" s="17"/>
      <c r="AC713" s="180"/>
      <c r="AD713" s="180"/>
      <c r="AE713" s="514"/>
      <c r="AF713" s="17"/>
      <c r="AI713" s="337"/>
      <c r="AM713" s="337"/>
      <c r="AQ713" s="337"/>
    </row>
    <row r="714" spans="2:43">
      <c r="B714" s="541"/>
      <c r="D714" s="337"/>
      <c r="G714" s="337"/>
      <c r="K714" s="337"/>
      <c r="O714" s="337"/>
      <c r="S714" s="337"/>
      <c r="T714" s="14"/>
      <c r="W714" s="337"/>
      <c r="X714" s="513"/>
      <c r="AA714" s="337"/>
      <c r="AB714" s="17"/>
      <c r="AC714" s="180"/>
      <c r="AD714" s="180"/>
      <c r="AE714" s="514"/>
      <c r="AF714" s="17"/>
      <c r="AI714" s="337"/>
      <c r="AM714" s="337"/>
      <c r="AQ714" s="337"/>
    </row>
    <row r="715" spans="2:43">
      <c r="B715" s="541"/>
      <c r="D715" s="337"/>
      <c r="G715" s="337"/>
      <c r="K715" s="337"/>
      <c r="O715" s="337"/>
      <c r="S715" s="337"/>
      <c r="T715" s="14"/>
      <c r="W715" s="337"/>
      <c r="X715" s="513"/>
      <c r="AA715" s="337"/>
      <c r="AB715" s="17"/>
      <c r="AC715" s="180"/>
      <c r="AD715" s="180"/>
      <c r="AE715" s="514"/>
      <c r="AF715" s="17"/>
      <c r="AI715" s="337"/>
      <c r="AM715" s="337"/>
      <c r="AQ715" s="337"/>
    </row>
    <row r="716" spans="2:43">
      <c r="B716" s="541"/>
      <c r="D716" s="337"/>
      <c r="G716" s="337"/>
      <c r="K716" s="337"/>
      <c r="O716" s="337"/>
      <c r="S716" s="337"/>
      <c r="T716" s="14"/>
      <c r="W716" s="337"/>
      <c r="X716" s="513"/>
      <c r="AA716" s="337"/>
      <c r="AB716" s="17"/>
      <c r="AC716" s="180"/>
      <c r="AD716" s="180"/>
      <c r="AE716" s="514"/>
      <c r="AF716" s="17"/>
      <c r="AI716" s="337"/>
      <c r="AM716" s="337"/>
      <c r="AQ716" s="337"/>
    </row>
    <row r="717" spans="2:43">
      <c r="B717" s="541"/>
      <c r="D717" s="337"/>
      <c r="G717" s="337"/>
      <c r="K717" s="337"/>
      <c r="O717" s="337"/>
      <c r="S717" s="337"/>
      <c r="T717" s="14"/>
      <c r="W717" s="337"/>
      <c r="X717" s="513"/>
      <c r="AA717" s="337"/>
      <c r="AB717" s="17"/>
      <c r="AC717" s="180"/>
      <c r="AD717" s="180"/>
      <c r="AE717" s="514"/>
      <c r="AF717" s="17"/>
      <c r="AI717" s="337"/>
      <c r="AM717" s="337"/>
      <c r="AQ717" s="337"/>
    </row>
    <row r="718" spans="2:43">
      <c r="B718" s="541"/>
      <c r="D718" s="337"/>
      <c r="G718" s="337"/>
      <c r="K718" s="337"/>
      <c r="O718" s="337"/>
      <c r="S718" s="337"/>
      <c r="T718" s="14"/>
      <c r="W718" s="337"/>
      <c r="X718" s="513"/>
      <c r="AA718" s="337"/>
      <c r="AB718" s="17"/>
      <c r="AC718" s="180"/>
      <c r="AD718" s="180"/>
      <c r="AE718" s="514"/>
      <c r="AF718" s="17"/>
      <c r="AI718" s="337"/>
      <c r="AM718" s="337"/>
      <c r="AQ718" s="337"/>
    </row>
    <row r="719" spans="2:43">
      <c r="B719" s="541"/>
      <c r="D719" s="337"/>
      <c r="G719" s="337"/>
      <c r="K719" s="337"/>
      <c r="O719" s="337"/>
      <c r="S719" s="337"/>
      <c r="T719" s="14"/>
      <c r="W719" s="337"/>
      <c r="X719" s="513"/>
      <c r="AA719" s="337"/>
      <c r="AB719" s="17"/>
      <c r="AC719" s="180"/>
      <c r="AD719" s="180"/>
      <c r="AE719" s="514"/>
      <c r="AF719" s="17"/>
      <c r="AI719" s="337"/>
      <c r="AM719" s="337"/>
      <c r="AQ719" s="337"/>
    </row>
    <row r="720" spans="2:43">
      <c r="B720" s="541"/>
      <c r="D720" s="337"/>
      <c r="G720" s="337"/>
      <c r="K720" s="337"/>
      <c r="O720" s="337"/>
      <c r="S720" s="337"/>
      <c r="T720" s="14"/>
      <c r="W720" s="337"/>
      <c r="X720" s="513"/>
      <c r="AA720" s="337"/>
      <c r="AB720" s="17"/>
      <c r="AC720" s="180"/>
      <c r="AD720" s="180"/>
      <c r="AE720" s="514"/>
      <c r="AF720" s="17"/>
      <c r="AI720" s="337"/>
      <c r="AM720" s="337"/>
      <c r="AQ720" s="337"/>
    </row>
    <row r="721" spans="2:43">
      <c r="B721" s="541"/>
      <c r="D721" s="337"/>
      <c r="G721" s="337"/>
      <c r="K721" s="337"/>
      <c r="O721" s="337"/>
      <c r="S721" s="337"/>
      <c r="T721" s="14"/>
      <c r="W721" s="337"/>
      <c r="X721" s="513"/>
      <c r="AA721" s="337"/>
      <c r="AB721" s="17"/>
      <c r="AC721" s="180"/>
      <c r="AD721" s="180"/>
      <c r="AE721" s="514"/>
      <c r="AF721" s="17"/>
      <c r="AI721" s="337"/>
      <c r="AM721" s="337"/>
      <c r="AQ721" s="337"/>
    </row>
    <row r="722" spans="2:43">
      <c r="B722" s="541"/>
      <c r="D722" s="337"/>
      <c r="G722" s="337"/>
      <c r="K722" s="337"/>
      <c r="O722" s="337"/>
      <c r="S722" s="337"/>
      <c r="T722" s="14"/>
      <c r="W722" s="337"/>
      <c r="X722" s="513"/>
      <c r="AA722" s="337"/>
      <c r="AB722" s="17"/>
      <c r="AC722" s="180"/>
      <c r="AD722" s="180"/>
      <c r="AE722" s="514"/>
      <c r="AF722" s="17"/>
      <c r="AI722" s="337"/>
      <c r="AM722" s="337"/>
      <c r="AQ722" s="337"/>
    </row>
    <row r="723" spans="2:43">
      <c r="B723" s="541"/>
      <c r="D723" s="337"/>
      <c r="G723" s="337"/>
      <c r="K723" s="337"/>
      <c r="O723" s="337"/>
      <c r="S723" s="337"/>
      <c r="T723" s="14"/>
      <c r="W723" s="337"/>
      <c r="X723" s="513"/>
      <c r="AA723" s="337"/>
      <c r="AB723" s="17"/>
      <c r="AC723" s="180"/>
      <c r="AD723" s="180"/>
      <c r="AE723" s="514"/>
      <c r="AF723" s="17"/>
      <c r="AI723" s="337"/>
      <c r="AM723" s="337"/>
      <c r="AQ723" s="337"/>
    </row>
    <row r="724" spans="2:43">
      <c r="B724" s="541"/>
      <c r="D724" s="337"/>
      <c r="G724" s="337"/>
      <c r="K724" s="337"/>
      <c r="O724" s="337"/>
      <c r="S724" s="337"/>
      <c r="T724" s="14"/>
      <c r="W724" s="337"/>
      <c r="X724" s="513"/>
      <c r="AA724" s="337"/>
      <c r="AB724" s="17"/>
      <c r="AC724" s="180"/>
      <c r="AD724" s="180"/>
      <c r="AE724" s="514"/>
      <c r="AF724" s="17"/>
      <c r="AI724" s="337"/>
      <c r="AM724" s="337"/>
      <c r="AQ724" s="337"/>
    </row>
    <row r="725" spans="2:43">
      <c r="B725" s="541"/>
      <c r="D725" s="337"/>
      <c r="G725" s="337"/>
      <c r="K725" s="337"/>
      <c r="O725" s="337"/>
      <c r="S725" s="337"/>
      <c r="T725" s="14"/>
      <c r="W725" s="337"/>
      <c r="X725" s="513"/>
      <c r="AA725" s="337"/>
      <c r="AB725" s="17"/>
      <c r="AC725" s="180"/>
      <c r="AD725" s="180"/>
      <c r="AE725" s="514"/>
      <c r="AF725" s="17"/>
      <c r="AI725" s="337"/>
      <c r="AM725" s="337"/>
      <c r="AQ725" s="337"/>
    </row>
    <row r="726" spans="2:43">
      <c r="B726" s="541"/>
      <c r="D726" s="337"/>
      <c r="G726" s="337"/>
      <c r="K726" s="337"/>
      <c r="O726" s="337"/>
      <c r="S726" s="337"/>
      <c r="T726" s="14"/>
      <c r="W726" s="337"/>
      <c r="X726" s="513"/>
      <c r="AA726" s="337"/>
      <c r="AB726" s="17"/>
      <c r="AC726" s="180"/>
      <c r="AD726" s="180"/>
      <c r="AE726" s="514"/>
      <c r="AF726" s="17"/>
      <c r="AI726" s="337"/>
      <c r="AM726" s="337"/>
      <c r="AQ726" s="337"/>
    </row>
    <row r="727" spans="2:43">
      <c r="B727" s="541"/>
      <c r="D727" s="337"/>
      <c r="G727" s="337"/>
      <c r="K727" s="337"/>
      <c r="O727" s="337"/>
      <c r="S727" s="337"/>
      <c r="T727" s="14"/>
      <c r="W727" s="337"/>
      <c r="X727" s="513"/>
      <c r="AA727" s="337"/>
      <c r="AB727" s="17"/>
      <c r="AC727" s="180"/>
      <c r="AD727" s="180"/>
      <c r="AE727" s="514"/>
      <c r="AF727" s="17"/>
      <c r="AI727" s="337"/>
      <c r="AM727" s="337"/>
      <c r="AQ727" s="337"/>
    </row>
    <row r="728" spans="2:43">
      <c r="B728" s="541"/>
      <c r="D728" s="337"/>
      <c r="G728" s="337"/>
      <c r="K728" s="337"/>
      <c r="O728" s="337"/>
      <c r="S728" s="337"/>
      <c r="T728" s="14"/>
      <c r="W728" s="337"/>
      <c r="X728" s="513"/>
      <c r="AA728" s="337"/>
      <c r="AB728" s="17"/>
      <c r="AC728" s="180"/>
      <c r="AD728" s="180"/>
      <c r="AE728" s="514"/>
      <c r="AF728" s="17"/>
      <c r="AI728" s="337"/>
      <c r="AM728" s="337"/>
      <c r="AQ728" s="337"/>
    </row>
    <row r="729" spans="2:43">
      <c r="B729" s="541"/>
      <c r="D729" s="337"/>
      <c r="G729" s="337"/>
      <c r="K729" s="337"/>
      <c r="O729" s="337"/>
      <c r="S729" s="337"/>
      <c r="T729" s="14"/>
      <c r="W729" s="337"/>
      <c r="X729" s="513"/>
      <c r="AA729" s="337"/>
      <c r="AB729" s="17"/>
      <c r="AC729" s="180"/>
      <c r="AD729" s="180"/>
      <c r="AE729" s="514"/>
      <c r="AF729" s="17"/>
      <c r="AI729" s="337"/>
      <c r="AM729" s="337"/>
      <c r="AQ729" s="337"/>
    </row>
    <row r="730" spans="2:43">
      <c r="B730" s="541"/>
      <c r="D730" s="337"/>
      <c r="G730" s="337"/>
      <c r="K730" s="337"/>
      <c r="O730" s="337"/>
      <c r="S730" s="337"/>
      <c r="T730" s="14"/>
      <c r="W730" s="337"/>
      <c r="X730" s="513"/>
      <c r="AA730" s="337"/>
      <c r="AB730" s="17"/>
      <c r="AC730" s="180"/>
      <c r="AD730" s="180"/>
      <c r="AE730" s="514"/>
      <c r="AF730" s="17"/>
      <c r="AI730" s="337"/>
      <c r="AM730" s="337"/>
      <c r="AQ730" s="337"/>
    </row>
    <row r="731" spans="2:43">
      <c r="B731" s="541"/>
      <c r="D731" s="337"/>
      <c r="G731" s="337"/>
      <c r="K731" s="337"/>
      <c r="O731" s="337"/>
      <c r="S731" s="337"/>
      <c r="T731" s="14"/>
      <c r="W731" s="337"/>
      <c r="X731" s="513"/>
      <c r="AA731" s="337"/>
      <c r="AB731" s="17"/>
      <c r="AC731" s="180"/>
      <c r="AD731" s="180"/>
      <c r="AE731" s="514"/>
      <c r="AF731" s="17"/>
      <c r="AI731" s="337"/>
      <c r="AM731" s="337"/>
      <c r="AQ731" s="337"/>
    </row>
    <row r="732" spans="2:43">
      <c r="B732" s="541"/>
      <c r="D732" s="337"/>
      <c r="G732" s="337"/>
      <c r="K732" s="337"/>
      <c r="O732" s="337"/>
      <c r="S732" s="337"/>
      <c r="T732" s="14"/>
      <c r="W732" s="337"/>
      <c r="X732" s="513"/>
      <c r="AA732" s="337"/>
      <c r="AB732" s="17"/>
      <c r="AC732" s="180"/>
      <c r="AD732" s="180"/>
      <c r="AE732" s="514"/>
      <c r="AF732" s="17"/>
      <c r="AI732" s="337"/>
      <c r="AM732" s="337"/>
      <c r="AQ732" s="337"/>
    </row>
    <row r="733" spans="2:43">
      <c r="B733" s="541"/>
      <c r="D733" s="337"/>
      <c r="G733" s="337"/>
      <c r="K733" s="337"/>
      <c r="O733" s="337"/>
      <c r="S733" s="337"/>
      <c r="T733" s="14"/>
      <c r="W733" s="337"/>
      <c r="X733" s="513"/>
      <c r="AA733" s="337"/>
      <c r="AB733" s="17"/>
      <c r="AC733" s="180"/>
      <c r="AD733" s="180"/>
      <c r="AE733" s="514"/>
      <c r="AF733" s="17"/>
      <c r="AI733" s="337"/>
      <c r="AM733" s="337"/>
      <c r="AQ733" s="337"/>
    </row>
    <row r="734" spans="2:43">
      <c r="B734" s="541"/>
      <c r="D734" s="337"/>
      <c r="G734" s="337"/>
      <c r="K734" s="337"/>
      <c r="O734" s="337"/>
      <c r="S734" s="337"/>
      <c r="T734" s="14"/>
      <c r="W734" s="337"/>
      <c r="X734" s="513"/>
      <c r="AA734" s="337"/>
      <c r="AB734" s="17"/>
      <c r="AC734" s="180"/>
      <c r="AD734" s="180"/>
      <c r="AE734" s="514"/>
      <c r="AF734" s="17"/>
      <c r="AI734" s="337"/>
      <c r="AM734" s="337"/>
      <c r="AQ734" s="337"/>
    </row>
    <row r="735" spans="2:43">
      <c r="B735" s="541"/>
      <c r="D735" s="337"/>
      <c r="G735" s="337"/>
      <c r="K735" s="337"/>
      <c r="O735" s="337"/>
      <c r="S735" s="337"/>
      <c r="T735" s="14"/>
      <c r="W735" s="337"/>
      <c r="X735" s="513"/>
      <c r="AA735" s="337"/>
      <c r="AB735" s="17"/>
      <c r="AC735" s="180"/>
      <c r="AD735" s="180"/>
      <c r="AE735" s="514"/>
      <c r="AF735" s="17"/>
      <c r="AI735" s="337"/>
      <c r="AM735" s="337"/>
      <c r="AQ735" s="337"/>
    </row>
    <row r="736" spans="2:43">
      <c r="B736" s="541"/>
      <c r="D736" s="337"/>
      <c r="G736" s="337"/>
      <c r="K736" s="337"/>
      <c r="O736" s="337"/>
      <c r="S736" s="337"/>
      <c r="T736" s="14"/>
      <c r="W736" s="337"/>
      <c r="X736" s="513"/>
      <c r="AA736" s="337"/>
      <c r="AB736" s="17"/>
      <c r="AC736" s="180"/>
      <c r="AD736" s="180"/>
      <c r="AE736" s="514"/>
      <c r="AF736" s="17"/>
      <c r="AI736" s="337"/>
      <c r="AM736" s="337"/>
      <c r="AQ736" s="337"/>
    </row>
    <row r="737" spans="2:43">
      <c r="B737" s="541"/>
      <c r="D737" s="337"/>
      <c r="G737" s="337"/>
      <c r="K737" s="337"/>
      <c r="O737" s="337"/>
      <c r="S737" s="337"/>
      <c r="T737" s="14"/>
      <c r="W737" s="337"/>
      <c r="X737" s="513"/>
      <c r="AA737" s="337"/>
      <c r="AB737" s="17"/>
      <c r="AC737" s="180"/>
      <c r="AD737" s="180"/>
      <c r="AE737" s="514"/>
      <c r="AF737" s="17"/>
      <c r="AI737" s="337"/>
      <c r="AM737" s="337"/>
      <c r="AQ737" s="337"/>
    </row>
    <row r="738" spans="2:43">
      <c r="B738" s="541"/>
      <c r="D738" s="337"/>
      <c r="G738" s="337"/>
      <c r="K738" s="337"/>
      <c r="O738" s="337"/>
      <c r="S738" s="337"/>
      <c r="T738" s="14"/>
      <c r="W738" s="337"/>
      <c r="X738" s="513"/>
      <c r="AA738" s="337"/>
      <c r="AB738" s="17"/>
      <c r="AC738" s="180"/>
      <c r="AD738" s="180"/>
      <c r="AE738" s="514"/>
      <c r="AF738" s="17"/>
      <c r="AI738" s="337"/>
      <c r="AM738" s="337"/>
      <c r="AQ738" s="337"/>
    </row>
    <row r="739" spans="2:43">
      <c r="B739" s="541"/>
      <c r="D739" s="337"/>
      <c r="G739" s="337"/>
      <c r="K739" s="337"/>
      <c r="O739" s="337"/>
      <c r="S739" s="337"/>
      <c r="T739" s="14"/>
      <c r="W739" s="337"/>
      <c r="X739" s="513"/>
      <c r="AA739" s="337"/>
      <c r="AB739" s="17"/>
      <c r="AC739" s="180"/>
      <c r="AD739" s="180"/>
      <c r="AE739" s="514"/>
      <c r="AF739" s="17"/>
      <c r="AI739" s="337"/>
      <c r="AM739" s="337"/>
      <c r="AQ739" s="337"/>
    </row>
    <row r="740" spans="2:43">
      <c r="B740" s="541"/>
      <c r="D740" s="337"/>
      <c r="G740" s="337"/>
      <c r="K740" s="337"/>
      <c r="O740" s="337"/>
      <c r="S740" s="337"/>
      <c r="T740" s="14"/>
      <c r="W740" s="337"/>
      <c r="X740" s="513"/>
      <c r="AA740" s="337"/>
      <c r="AB740" s="17"/>
      <c r="AC740" s="180"/>
      <c r="AD740" s="180"/>
      <c r="AE740" s="514"/>
      <c r="AF740" s="17"/>
      <c r="AI740" s="337"/>
      <c r="AM740" s="337"/>
      <c r="AQ740" s="337"/>
    </row>
    <row r="741" spans="2:43">
      <c r="B741" s="541"/>
      <c r="D741" s="337"/>
      <c r="G741" s="337"/>
      <c r="K741" s="337"/>
      <c r="O741" s="337"/>
      <c r="S741" s="337"/>
      <c r="T741" s="14"/>
      <c r="W741" s="337"/>
      <c r="X741" s="513"/>
      <c r="AA741" s="337"/>
      <c r="AB741" s="17"/>
      <c r="AC741" s="180"/>
      <c r="AD741" s="180"/>
      <c r="AE741" s="514"/>
      <c r="AF741" s="17"/>
      <c r="AI741" s="337"/>
      <c r="AM741" s="337"/>
      <c r="AQ741" s="337"/>
    </row>
    <row r="742" spans="2:43">
      <c r="B742" s="541"/>
      <c r="D742" s="337"/>
      <c r="G742" s="337"/>
      <c r="K742" s="337"/>
      <c r="O742" s="337"/>
      <c r="S742" s="337"/>
      <c r="T742" s="14"/>
      <c r="W742" s="337"/>
      <c r="X742" s="513"/>
      <c r="AA742" s="337"/>
      <c r="AB742" s="17"/>
      <c r="AC742" s="180"/>
      <c r="AD742" s="180"/>
      <c r="AE742" s="514"/>
      <c r="AF742" s="17"/>
      <c r="AI742" s="337"/>
      <c r="AM742" s="337"/>
      <c r="AQ742" s="337"/>
    </row>
    <row r="743" spans="2:43">
      <c r="B743" s="541"/>
      <c r="D743" s="337"/>
      <c r="G743" s="337"/>
      <c r="K743" s="337"/>
      <c r="O743" s="337"/>
      <c r="S743" s="337"/>
      <c r="T743" s="14"/>
      <c r="W743" s="337"/>
      <c r="X743" s="513"/>
      <c r="AA743" s="337"/>
      <c r="AB743" s="17"/>
      <c r="AC743" s="180"/>
      <c r="AD743" s="180"/>
      <c r="AE743" s="514"/>
      <c r="AF743" s="17"/>
      <c r="AI743" s="337"/>
      <c r="AM743" s="337"/>
      <c r="AQ743" s="337"/>
    </row>
    <row r="744" spans="2:43">
      <c r="B744" s="541"/>
      <c r="D744" s="337"/>
      <c r="G744" s="337"/>
      <c r="K744" s="337"/>
      <c r="O744" s="337"/>
      <c r="S744" s="337"/>
      <c r="T744" s="14"/>
      <c r="W744" s="337"/>
      <c r="X744" s="513"/>
      <c r="AA744" s="337"/>
      <c r="AB744" s="17"/>
      <c r="AC744" s="180"/>
      <c r="AD744" s="180"/>
      <c r="AE744" s="514"/>
      <c r="AF744" s="17"/>
      <c r="AI744" s="337"/>
      <c r="AM744" s="337"/>
      <c r="AQ744" s="337"/>
    </row>
    <row r="745" spans="2:43">
      <c r="B745" s="541"/>
      <c r="D745" s="337"/>
      <c r="G745" s="337"/>
      <c r="K745" s="337"/>
      <c r="O745" s="337"/>
      <c r="S745" s="337"/>
      <c r="T745" s="14"/>
      <c r="W745" s="337"/>
      <c r="X745" s="513"/>
      <c r="AA745" s="337"/>
      <c r="AB745" s="17"/>
      <c r="AC745" s="180"/>
      <c r="AD745" s="180"/>
      <c r="AE745" s="514"/>
      <c r="AF745" s="17"/>
      <c r="AI745" s="337"/>
      <c r="AM745" s="337"/>
      <c r="AQ745" s="337"/>
    </row>
    <row r="746" spans="2:43">
      <c r="B746" s="541"/>
      <c r="D746" s="337"/>
      <c r="G746" s="337"/>
      <c r="K746" s="337"/>
      <c r="O746" s="337"/>
      <c r="S746" s="337"/>
      <c r="T746" s="14"/>
      <c r="W746" s="337"/>
      <c r="X746" s="513"/>
      <c r="AA746" s="337"/>
      <c r="AB746" s="17"/>
      <c r="AC746" s="180"/>
      <c r="AD746" s="180"/>
      <c r="AE746" s="514"/>
      <c r="AF746" s="17"/>
      <c r="AI746" s="337"/>
      <c r="AM746" s="337"/>
      <c r="AQ746" s="337"/>
    </row>
    <row r="747" spans="2:43">
      <c r="B747" s="541"/>
      <c r="D747" s="337"/>
      <c r="G747" s="337"/>
      <c r="K747" s="337"/>
      <c r="O747" s="337"/>
      <c r="S747" s="337"/>
      <c r="T747" s="14"/>
      <c r="W747" s="337"/>
      <c r="X747" s="513"/>
      <c r="AA747" s="337"/>
      <c r="AB747" s="17"/>
      <c r="AC747" s="180"/>
      <c r="AD747" s="180"/>
      <c r="AE747" s="514"/>
      <c r="AF747" s="17"/>
      <c r="AI747" s="337"/>
      <c r="AM747" s="337"/>
      <c r="AQ747" s="337"/>
    </row>
    <row r="748" spans="2:43">
      <c r="B748" s="541"/>
      <c r="D748" s="337"/>
      <c r="G748" s="337"/>
      <c r="K748" s="337"/>
      <c r="O748" s="337"/>
      <c r="S748" s="337"/>
      <c r="T748" s="14"/>
      <c r="W748" s="337"/>
      <c r="X748" s="513"/>
      <c r="AA748" s="337"/>
      <c r="AB748" s="17"/>
      <c r="AC748" s="180"/>
      <c r="AD748" s="180"/>
      <c r="AE748" s="514"/>
      <c r="AF748" s="17"/>
      <c r="AI748" s="337"/>
      <c r="AM748" s="337"/>
      <c r="AQ748" s="337"/>
    </row>
    <row r="749" spans="2:43">
      <c r="B749" s="541"/>
      <c r="D749" s="337"/>
      <c r="G749" s="337"/>
      <c r="K749" s="337"/>
      <c r="O749" s="337"/>
      <c r="S749" s="337"/>
      <c r="T749" s="14"/>
      <c r="W749" s="337"/>
      <c r="X749" s="513"/>
      <c r="AA749" s="337"/>
      <c r="AB749" s="17"/>
      <c r="AC749" s="180"/>
      <c r="AD749" s="180"/>
      <c r="AE749" s="514"/>
      <c r="AF749" s="17"/>
      <c r="AI749" s="337"/>
      <c r="AM749" s="337"/>
      <c r="AQ749" s="337"/>
    </row>
    <row r="750" spans="2:43">
      <c r="B750" s="541"/>
      <c r="D750" s="337"/>
      <c r="G750" s="337"/>
      <c r="K750" s="337"/>
      <c r="O750" s="337"/>
      <c r="S750" s="337"/>
      <c r="T750" s="14"/>
      <c r="W750" s="337"/>
      <c r="X750" s="513"/>
      <c r="AA750" s="337"/>
      <c r="AB750" s="17"/>
      <c r="AC750" s="180"/>
      <c r="AD750" s="180"/>
      <c r="AE750" s="514"/>
      <c r="AF750" s="17"/>
      <c r="AI750" s="337"/>
      <c r="AM750" s="337"/>
      <c r="AQ750" s="337"/>
    </row>
    <row r="751" spans="2:43">
      <c r="B751" s="541"/>
      <c r="D751" s="337"/>
      <c r="G751" s="337"/>
      <c r="K751" s="337"/>
      <c r="O751" s="337"/>
      <c r="S751" s="337"/>
      <c r="T751" s="14"/>
      <c r="W751" s="337"/>
      <c r="X751" s="513"/>
      <c r="AA751" s="337"/>
      <c r="AB751" s="17"/>
      <c r="AC751" s="180"/>
      <c r="AD751" s="180"/>
      <c r="AE751" s="514"/>
      <c r="AF751" s="17"/>
      <c r="AI751" s="337"/>
      <c r="AM751" s="337"/>
      <c r="AQ751" s="337"/>
    </row>
    <row r="752" spans="2:43">
      <c r="B752" s="541"/>
      <c r="D752" s="337"/>
      <c r="G752" s="337"/>
      <c r="K752" s="337"/>
      <c r="O752" s="337"/>
      <c r="S752" s="337"/>
      <c r="T752" s="14"/>
      <c r="W752" s="337"/>
      <c r="X752" s="513"/>
      <c r="AA752" s="337"/>
      <c r="AB752" s="17"/>
      <c r="AC752" s="180"/>
      <c r="AD752" s="180"/>
      <c r="AE752" s="514"/>
      <c r="AF752" s="17"/>
      <c r="AI752" s="337"/>
      <c r="AM752" s="337"/>
      <c r="AQ752" s="337"/>
    </row>
    <row r="753" spans="2:43">
      <c r="B753" s="541"/>
      <c r="D753" s="337"/>
      <c r="G753" s="337"/>
      <c r="K753" s="337"/>
      <c r="O753" s="337"/>
      <c r="S753" s="337"/>
      <c r="T753" s="14"/>
      <c r="W753" s="337"/>
      <c r="X753" s="513"/>
      <c r="AA753" s="337"/>
      <c r="AB753" s="17"/>
      <c r="AC753" s="180"/>
      <c r="AD753" s="180"/>
      <c r="AE753" s="514"/>
      <c r="AF753" s="17"/>
      <c r="AI753" s="337"/>
      <c r="AM753" s="337"/>
      <c r="AQ753" s="337"/>
    </row>
    <row r="754" spans="2:43">
      <c r="B754" s="541"/>
      <c r="D754" s="337"/>
      <c r="G754" s="337"/>
      <c r="K754" s="337"/>
      <c r="O754" s="337"/>
      <c r="S754" s="337"/>
      <c r="T754" s="14"/>
      <c r="W754" s="337"/>
      <c r="X754" s="513"/>
      <c r="AA754" s="337"/>
      <c r="AB754" s="17"/>
      <c r="AC754" s="180"/>
      <c r="AD754" s="180"/>
      <c r="AE754" s="514"/>
      <c r="AF754" s="17"/>
      <c r="AI754" s="337"/>
      <c r="AM754" s="337"/>
      <c r="AQ754" s="337"/>
    </row>
    <row r="755" spans="2:43">
      <c r="B755" s="541"/>
      <c r="D755" s="337"/>
      <c r="G755" s="337"/>
      <c r="K755" s="337"/>
      <c r="O755" s="337"/>
      <c r="S755" s="337"/>
      <c r="T755" s="14"/>
      <c r="W755" s="337"/>
      <c r="X755" s="513"/>
      <c r="AA755" s="337"/>
      <c r="AB755" s="17"/>
      <c r="AC755" s="180"/>
      <c r="AD755" s="180"/>
      <c r="AE755" s="514"/>
      <c r="AF755" s="17"/>
      <c r="AI755" s="337"/>
      <c r="AM755" s="337"/>
      <c r="AQ755" s="337"/>
    </row>
    <row r="756" spans="2:43">
      <c r="B756" s="541"/>
      <c r="D756" s="337"/>
      <c r="G756" s="337"/>
      <c r="K756" s="337"/>
      <c r="O756" s="337"/>
      <c r="S756" s="337"/>
      <c r="T756" s="14"/>
      <c r="W756" s="337"/>
      <c r="X756" s="513"/>
      <c r="AA756" s="337"/>
      <c r="AB756" s="17"/>
      <c r="AC756" s="180"/>
      <c r="AD756" s="180"/>
      <c r="AE756" s="514"/>
      <c r="AF756" s="17"/>
      <c r="AI756" s="337"/>
      <c r="AM756" s="337"/>
      <c r="AQ756" s="337"/>
    </row>
    <row r="757" spans="2:43">
      <c r="B757" s="541"/>
      <c r="D757" s="337"/>
      <c r="G757" s="337"/>
      <c r="K757" s="337"/>
      <c r="O757" s="337"/>
      <c r="S757" s="337"/>
      <c r="T757" s="14"/>
      <c r="W757" s="337"/>
      <c r="X757" s="513"/>
      <c r="AA757" s="337"/>
      <c r="AB757" s="17"/>
      <c r="AC757" s="180"/>
      <c r="AD757" s="180"/>
      <c r="AE757" s="514"/>
      <c r="AF757" s="17"/>
      <c r="AI757" s="337"/>
      <c r="AM757" s="337"/>
      <c r="AQ757" s="337"/>
    </row>
    <row r="758" spans="2:43">
      <c r="B758" s="541"/>
      <c r="D758" s="337"/>
      <c r="G758" s="337"/>
      <c r="K758" s="337"/>
      <c r="O758" s="337"/>
      <c r="S758" s="337"/>
      <c r="T758" s="14"/>
      <c r="W758" s="337"/>
      <c r="X758" s="513"/>
      <c r="AA758" s="337"/>
      <c r="AB758" s="17"/>
      <c r="AC758" s="180"/>
      <c r="AD758" s="180"/>
      <c r="AE758" s="514"/>
      <c r="AF758" s="17"/>
      <c r="AI758" s="337"/>
      <c r="AM758" s="337"/>
      <c r="AQ758" s="337"/>
    </row>
    <row r="759" spans="2:43">
      <c r="B759" s="541"/>
      <c r="D759" s="337"/>
      <c r="G759" s="337"/>
      <c r="K759" s="337"/>
      <c r="O759" s="337"/>
      <c r="S759" s="337"/>
      <c r="T759" s="14"/>
      <c r="W759" s="337"/>
      <c r="X759" s="513"/>
      <c r="AA759" s="337"/>
      <c r="AB759" s="17"/>
      <c r="AC759" s="180"/>
      <c r="AD759" s="180"/>
      <c r="AE759" s="514"/>
      <c r="AF759" s="17"/>
      <c r="AI759" s="337"/>
      <c r="AM759" s="337"/>
      <c r="AQ759" s="337"/>
    </row>
    <row r="760" spans="2:43">
      <c r="B760" s="541"/>
      <c r="D760" s="337"/>
      <c r="G760" s="337"/>
      <c r="K760" s="337"/>
      <c r="O760" s="337"/>
      <c r="S760" s="337"/>
      <c r="T760" s="14"/>
      <c r="W760" s="337"/>
      <c r="X760" s="513"/>
      <c r="AA760" s="337"/>
      <c r="AB760" s="17"/>
      <c r="AC760" s="180"/>
      <c r="AD760" s="180"/>
      <c r="AE760" s="514"/>
      <c r="AF760" s="17"/>
      <c r="AI760" s="337"/>
      <c r="AM760" s="337"/>
      <c r="AQ760" s="337"/>
    </row>
    <row r="761" spans="2:43">
      <c r="B761" s="541"/>
      <c r="D761" s="337"/>
      <c r="G761" s="337"/>
      <c r="K761" s="337"/>
      <c r="O761" s="337"/>
      <c r="S761" s="337"/>
      <c r="T761" s="14"/>
      <c r="W761" s="337"/>
      <c r="X761" s="513"/>
      <c r="AA761" s="337"/>
      <c r="AB761" s="17"/>
      <c r="AC761" s="180"/>
      <c r="AD761" s="180"/>
      <c r="AE761" s="514"/>
      <c r="AF761" s="17"/>
      <c r="AI761" s="337"/>
      <c r="AM761" s="337"/>
      <c r="AQ761" s="337"/>
    </row>
    <row r="762" spans="2:43">
      <c r="B762" s="541"/>
      <c r="D762" s="337"/>
      <c r="G762" s="337"/>
      <c r="K762" s="337"/>
      <c r="O762" s="337"/>
      <c r="S762" s="337"/>
      <c r="T762" s="14"/>
      <c r="W762" s="337"/>
      <c r="X762" s="513"/>
      <c r="AA762" s="337"/>
      <c r="AB762" s="17"/>
      <c r="AC762" s="180"/>
      <c r="AD762" s="180"/>
      <c r="AE762" s="514"/>
      <c r="AF762" s="17"/>
      <c r="AI762" s="337"/>
      <c r="AM762" s="337"/>
      <c r="AQ762" s="337"/>
    </row>
    <row r="763" spans="2:43">
      <c r="B763" s="541"/>
      <c r="D763" s="337"/>
      <c r="G763" s="337"/>
      <c r="K763" s="337"/>
      <c r="O763" s="337"/>
      <c r="S763" s="337"/>
      <c r="T763" s="14"/>
      <c r="W763" s="337"/>
      <c r="X763" s="513"/>
      <c r="AA763" s="337"/>
      <c r="AB763" s="17"/>
      <c r="AC763" s="180"/>
      <c r="AD763" s="180"/>
      <c r="AE763" s="514"/>
      <c r="AF763" s="17"/>
      <c r="AI763" s="337"/>
      <c r="AM763" s="337"/>
      <c r="AQ763" s="337"/>
    </row>
    <row r="764" spans="2:43">
      <c r="B764" s="541"/>
      <c r="D764" s="337"/>
      <c r="G764" s="337"/>
      <c r="K764" s="337"/>
      <c r="O764" s="337"/>
      <c r="S764" s="337"/>
      <c r="T764" s="14"/>
      <c r="W764" s="337"/>
      <c r="X764" s="513"/>
      <c r="AA764" s="337"/>
      <c r="AB764" s="17"/>
      <c r="AC764" s="180"/>
      <c r="AD764" s="180"/>
      <c r="AE764" s="514"/>
      <c r="AF764" s="17"/>
      <c r="AI764" s="337"/>
      <c r="AM764" s="337"/>
      <c r="AQ764" s="337"/>
    </row>
    <row r="765" spans="2:43">
      <c r="B765" s="541"/>
      <c r="D765" s="337"/>
      <c r="G765" s="337"/>
      <c r="K765" s="337"/>
      <c r="O765" s="337"/>
      <c r="S765" s="337"/>
      <c r="T765" s="14"/>
      <c r="W765" s="337"/>
      <c r="X765" s="513"/>
      <c r="AA765" s="337"/>
      <c r="AB765" s="17"/>
      <c r="AC765" s="180"/>
      <c r="AD765" s="180"/>
      <c r="AE765" s="514"/>
      <c r="AF765" s="17"/>
      <c r="AI765" s="337"/>
      <c r="AM765" s="337"/>
      <c r="AQ765" s="337"/>
    </row>
    <row r="766" spans="2:43">
      <c r="B766" s="541"/>
      <c r="D766" s="337"/>
      <c r="G766" s="337"/>
      <c r="K766" s="337"/>
      <c r="O766" s="337"/>
      <c r="S766" s="337"/>
      <c r="T766" s="14"/>
      <c r="W766" s="337"/>
      <c r="X766" s="513"/>
      <c r="AA766" s="337"/>
      <c r="AB766" s="17"/>
      <c r="AC766" s="180"/>
      <c r="AD766" s="180"/>
      <c r="AE766" s="514"/>
      <c r="AF766" s="17"/>
      <c r="AI766" s="337"/>
      <c r="AM766" s="337"/>
      <c r="AQ766" s="337"/>
    </row>
    <row r="767" spans="2:43">
      <c r="B767" s="541"/>
      <c r="D767" s="337"/>
      <c r="G767" s="337"/>
      <c r="K767" s="337"/>
      <c r="O767" s="337"/>
      <c r="S767" s="337"/>
      <c r="T767" s="14"/>
      <c r="W767" s="337"/>
      <c r="X767" s="513"/>
      <c r="AA767" s="337"/>
      <c r="AB767" s="17"/>
      <c r="AC767" s="180"/>
      <c r="AD767" s="180"/>
      <c r="AE767" s="514"/>
      <c r="AF767" s="17"/>
      <c r="AI767" s="337"/>
      <c r="AM767" s="337"/>
      <c r="AQ767" s="337"/>
    </row>
    <row r="768" spans="2:43">
      <c r="B768" s="541"/>
      <c r="D768" s="337"/>
      <c r="G768" s="337"/>
      <c r="K768" s="337"/>
      <c r="O768" s="337"/>
      <c r="S768" s="337"/>
      <c r="T768" s="14"/>
      <c r="W768" s="337"/>
      <c r="X768" s="513"/>
      <c r="AA768" s="337"/>
      <c r="AB768" s="17"/>
      <c r="AC768" s="180"/>
      <c r="AD768" s="180"/>
      <c r="AE768" s="514"/>
      <c r="AF768" s="17"/>
      <c r="AI768" s="337"/>
      <c r="AM768" s="337"/>
      <c r="AQ768" s="337"/>
    </row>
    <row r="769" spans="2:43">
      <c r="B769" s="541"/>
      <c r="D769" s="337"/>
      <c r="G769" s="337"/>
      <c r="K769" s="337"/>
      <c r="O769" s="337"/>
      <c r="S769" s="337"/>
      <c r="T769" s="14"/>
      <c r="W769" s="337"/>
      <c r="X769" s="513"/>
      <c r="AA769" s="337"/>
      <c r="AB769" s="17"/>
      <c r="AC769" s="180"/>
      <c r="AD769" s="180"/>
      <c r="AE769" s="514"/>
      <c r="AF769" s="17"/>
      <c r="AI769" s="337"/>
      <c r="AM769" s="337"/>
      <c r="AQ769" s="337"/>
    </row>
    <row r="770" spans="2:43">
      <c r="B770" s="541"/>
      <c r="D770" s="337"/>
      <c r="G770" s="337"/>
      <c r="K770" s="337"/>
      <c r="O770" s="337"/>
      <c r="S770" s="337"/>
      <c r="T770" s="14"/>
      <c r="W770" s="337"/>
      <c r="X770" s="513"/>
      <c r="AA770" s="337"/>
      <c r="AB770" s="17"/>
      <c r="AC770" s="180"/>
      <c r="AD770" s="180"/>
      <c r="AE770" s="514"/>
      <c r="AF770" s="17"/>
      <c r="AI770" s="337"/>
      <c r="AM770" s="337"/>
      <c r="AQ770" s="337"/>
    </row>
    <row r="771" spans="2:43">
      <c r="B771" s="541"/>
      <c r="D771" s="337"/>
      <c r="G771" s="337"/>
      <c r="K771" s="337"/>
      <c r="O771" s="337"/>
      <c r="S771" s="337"/>
      <c r="T771" s="14"/>
      <c r="W771" s="337"/>
      <c r="X771" s="513"/>
      <c r="AA771" s="337"/>
      <c r="AB771" s="17"/>
      <c r="AC771" s="180"/>
      <c r="AD771" s="180"/>
      <c r="AE771" s="514"/>
      <c r="AF771" s="17"/>
      <c r="AI771" s="337"/>
      <c r="AM771" s="337"/>
      <c r="AQ771" s="337"/>
    </row>
    <row r="772" spans="2:43">
      <c r="B772" s="541"/>
      <c r="D772" s="337"/>
      <c r="G772" s="337"/>
      <c r="K772" s="337"/>
      <c r="O772" s="337"/>
      <c r="S772" s="337"/>
      <c r="T772" s="14"/>
      <c r="W772" s="337"/>
      <c r="X772" s="513"/>
      <c r="AA772" s="337"/>
      <c r="AB772" s="17"/>
      <c r="AC772" s="180"/>
      <c r="AD772" s="180"/>
      <c r="AE772" s="514"/>
      <c r="AF772" s="17"/>
      <c r="AI772" s="337"/>
      <c r="AM772" s="337"/>
      <c r="AQ772" s="337"/>
    </row>
    <row r="773" spans="2:43">
      <c r="B773" s="541"/>
      <c r="D773" s="337"/>
      <c r="G773" s="337"/>
      <c r="K773" s="337"/>
      <c r="O773" s="337"/>
      <c r="S773" s="337"/>
      <c r="T773" s="14"/>
      <c r="W773" s="337"/>
      <c r="X773" s="513"/>
      <c r="AA773" s="337"/>
      <c r="AB773" s="17"/>
      <c r="AC773" s="180"/>
      <c r="AD773" s="180"/>
      <c r="AE773" s="514"/>
      <c r="AF773" s="17"/>
      <c r="AI773" s="337"/>
      <c r="AM773" s="337"/>
      <c r="AQ773" s="337"/>
    </row>
    <row r="774" spans="2:43">
      <c r="B774" s="541"/>
      <c r="D774" s="337"/>
      <c r="G774" s="337"/>
      <c r="K774" s="337"/>
      <c r="O774" s="337"/>
      <c r="S774" s="337"/>
      <c r="T774" s="14"/>
      <c r="W774" s="337"/>
      <c r="X774" s="513"/>
      <c r="AA774" s="337"/>
      <c r="AB774" s="17"/>
      <c r="AC774" s="180"/>
      <c r="AD774" s="180"/>
      <c r="AE774" s="514"/>
      <c r="AF774" s="17"/>
      <c r="AI774" s="337"/>
      <c r="AM774" s="337"/>
      <c r="AQ774" s="337"/>
    </row>
    <row r="775" spans="2:43">
      <c r="B775" s="541"/>
      <c r="D775" s="337"/>
      <c r="G775" s="337"/>
      <c r="K775" s="337"/>
      <c r="O775" s="337"/>
      <c r="S775" s="337"/>
      <c r="T775" s="14"/>
      <c r="W775" s="337"/>
      <c r="X775" s="513"/>
      <c r="AA775" s="337"/>
      <c r="AB775" s="17"/>
      <c r="AC775" s="180"/>
      <c r="AD775" s="180"/>
      <c r="AE775" s="514"/>
      <c r="AF775" s="17"/>
      <c r="AI775" s="337"/>
      <c r="AM775" s="337"/>
      <c r="AQ775" s="337"/>
    </row>
    <row r="776" spans="2:43">
      <c r="B776" s="541"/>
      <c r="D776" s="337"/>
      <c r="G776" s="337"/>
      <c r="K776" s="337"/>
      <c r="O776" s="337"/>
      <c r="S776" s="337"/>
      <c r="T776" s="14"/>
      <c r="W776" s="337"/>
      <c r="X776" s="513"/>
      <c r="AA776" s="337"/>
      <c r="AB776" s="17"/>
      <c r="AC776" s="180"/>
      <c r="AD776" s="180"/>
      <c r="AE776" s="514"/>
      <c r="AF776" s="17"/>
      <c r="AI776" s="337"/>
      <c r="AM776" s="337"/>
      <c r="AQ776" s="337"/>
    </row>
    <row r="777" spans="2:43">
      <c r="B777" s="541"/>
      <c r="D777" s="337"/>
      <c r="G777" s="337"/>
      <c r="K777" s="337"/>
      <c r="O777" s="337"/>
      <c r="S777" s="337"/>
      <c r="T777" s="14"/>
      <c r="W777" s="337"/>
      <c r="X777" s="513"/>
      <c r="AA777" s="337"/>
      <c r="AB777" s="17"/>
      <c r="AC777" s="180"/>
      <c r="AD777" s="180"/>
      <c r="AE777" s="514"/>
      <c r="AF777" s="17"/>
      <c r="AI777" s="337"/>
      <c r="AM777" s="337"/>
      <c r="AQ777" s="337"/>
    </row>
    <row r="778" spans="2:43">
      <c r="B778" s="541"/>
      <c r="D778" s="337"/>
      <c r="G778" s="337"/>
      <c r="K778" s="337"/>
      <c r="O778" s="337"/>
      <c r="S778" s="337"/>
      <c r="T778" s="14"/>
      <c r="W778" s="337"/>
      <c r="X778" s="513"/>
      <c r="AA778" s="337"/>
      <c r="AB778" s="17"/>
      <c r="AC778" s="180"/>
      <c r="AD778" s="180"/>
      <c r="AE778" s="514"/>
      <c r="AF778" s="17"/>
      <c r="AI778" s="337"/>
      <c r="AM778" s="337"/>
      <c r="AQ778" s="337"/>
    </row>
    <row r="779" spans="2:43">
      <c r="B779" s="541"/>
      <c r="D779" s="337"/>
      <c r="G779" s="337"/>
      <c r="K779" s="337"/>
      <c r="O779" s="337"/>
      <c r="S779" s="337"/>
      <c r="T779" s="14"/>
      <c r="W779" s="337"/>
      <c r="X779" s="513"/>
      <c r="AA779" s="337"/>
      <c r="AB779" s="17"/>
      <c r="AC779" s="180"/>
      <c r="AD779" s="180"/>
      <c r="AE779" s="514"/>
      <c r="AF779" s="17"/>
      <c r="AI779" s="337"/>
      <c r="AM779" s="337"/>
      <c r="AQ779" s="337"/>
    </row>
    <row r="780" spans="2:43">
      <c r="B780" s="541"/>
      <c r="D780" s="337"/>
      <c r="G780" s="337"/>
      <c r="K780" s="337"/>
      <c r="O780" s="337"/>
      <c r="S780" s="337"/>
      <c r="T780" s="14"/>
      <c r="W780" s="337"/>
      <c r="X780" s="513"/>
      <c r="AA780" s="337"/>
      <c r="AB780" s="17"/>
      <c r="AC780" s="180"/>
      <c r="AD780" s="180"/>
      <c r="AE780" s="514"/>
      <c r="AF780" s="17"/>
      <c r="AI780" s="337"/>
      <c r="AM780" s="337"/>
      <c r="AQ780" s="337"/>
    </row>
    <row r="781" spans="2:43">
      <c r="B781" s="541"/>
      <c r="D781" s="337"/>
      <c r="G781" s="337"/>
      <c r="K781" s="337"/>
      <c r="O781" s="337"/>
      <c r="S781" s="337"/>
      <c r="T781" s="14"/>
      <c r="W781" s="337"/>
      <c r="X781" s="513"/>
      <c r="AA781" s="337"/>
      <c r="AB781" s="17"/>
      <c r="AC781" s="180"/>
      <c r="AD781" s="180"/>
      <c r="AE781" s="514"/>
      <c r="AF781" s="17"/>
      <c r="AI781" s="337"/>
      <c r="AM781" s="337"/>
      <c r="AQ781" s="337"/>
    </row>
    <row r="782" spans="2:43">
      <c r="B782" s="541"/>
      <c r="D782" s="337"/>
      <c r="G782" s="337"/>
      <c r="K782" s="337"/>
      <c r="O782" s="337"/>
      <c r="S782" s="337"/>
      <c r="T782" s="14"/>
      <c r="W782" s="337"/>
      <c r="X782" s="513"/>
      <c r="AA782" s="337"/>
      <c r="AB782" s="17"/>
      <c r="AC782" s="180"/>
      <c r="AD782" s="180"/>
      <c r="AE782" s="514"/>
      <c r="AF782" s="17"/>
      <c r="AI782" s="337"/>
      <c r="AM782" s="337"/>
      <c r="AQ782" s="337"/>
    </row>
    <row r="783" spans="2:43">
      <c r="B783" s="541"/>
      <c r="D783" s="337"/>
      <c r="G783" s="337"/>
      <c r="K783" s="337"/>
      <c r="O783" s="337"/>
      <c r="S783" s="337"/>
      <c r="T783" s="14"/>
      <c r="W783" s="337"/>
      <c r="X783" s="513"/>
      <c r="AA783" s="337"/>
      <c r="AB783" s="17"/>
      <c r="AC783" s="180"/>
      <c r="AD783" s="180"/>
      <c r="AE783" s="514"/>
      <c r="AF783" s="17"/>
      <c r="AI783" s="337"/>
      <c r="AM783" s="337"/>
      <c r="AQ783" s="337"/>
    </row>
    <row r="784" spans="2:43">
      <c r="B784" s="541"/>
      <c r="D784" s="337"/>
      <c r="G784" s="337"/>
      <c r="K784" s="337"/>
      <c r="O784" s="337"/>
      <c r="S784" s="337"/>
      <c r="T784" s="14"/>
      <c r="W784" s="337"/>
      <c r="X784" s="513"/>
      <c r="AA784" s="337"/>
      <c r="AB784" s="17"/>
      <c r="AC784" s="180"/>
      <c r="AD784" s="180"/>
      <c r="AE784" s="514"/>
      <c r="AF784" s="17"/>
      <c r="AI784" s="337"/>
      <c r="AM784" s="337"/>
      <c r="AQ784" s="337"/>
    </row>
    <row r="785" spans="2:43">
      <c r="B785" s="541"/>
      <c r="D785" s="337"/>
      <c r="G785" s="337"/>
      <c r="K785" s="337"/>
      <c r="O785" s="337"/>
      <c r="S785" s="337"/>
      <c r="T785" s="14"/>
      <c r="W785" s="337"/>
      <c r="X785" s="513"/>
      <c r="AA785" s="337"/>
      <c r="AB785" s="17"/>
      <c r="AC785" s="180"/>
      <c r="AD785" s="180"/>
      <c r="AE785" s="514"/>
      <c r="AF785" s="17"/>
      <c r="AI785" s="337"/>
      <c r="AM785" s="337"/>
      <c r="AQ785" s="337"/>
    </row>
    <row r="786" spans="2:43">
      <c r="B786" s="541"/>
      <c r="D786" s="337"/>
      <c r="G786" s="337"/>
      <c r="K786" s="337"/>
      <c r="O786" s="337"/>
      <c r="S786" s="337"/>
      <c r="T786" s="14"/>
      <c r="W786" s="337"/>
      <c r="X786" s="513"/>
      <c r="AA786" s="337"/>
      <c r="AB786" s="17"/>
      <c r="AC786" s="180"/>
      <c r="AD786" s="180"/>
      <c r="AE786" s="514"/>
      <c r="AF786" s="17"/>
      <c r="AI786" s="337"/>
      <c r="AM786" s="337"/>
      <c r="AQ786" s="337"/>
    </row>
    <row r="787" spans="2:43">
      <c r="B787" s="541"/>
      <c r="D787" s="337"/>
      <c r="G787" s="337"/>
      <c r="K787" s="337"/>
      <c r="O787" s="337"/>
      <c r="S787" s="337"/>
      <c r="T787" s="14"/>
      <c r="W787" s="337"/>
      <c r="X787" s="513"/>
      <c r="AA787" s="337"/>
      <c r="AB787" s="17"/>
      <c r="AC787" s="180"/>
      <c r="AD787" s="180"/>
      <c r="AE787" s="514"/>
      <c r="AF787" s="17"/>
      <c r="AI787" s="337"/>
      <c r="AM787" s="337"/>
      <c r="AQ787" s="337"/>
    </row>
    <row r="788" spans="2:43">
      <c r="B788" s="541"/>
      <c r="D788" s="337"/>
      <c r="G788" s="337"/>
      <c r="K788" s="337"/>
      <c r="O788" s="337"/>
      <c r="S788" s="337"/>
      <c r="T788" s="14"/>
      <c r="W788" s="337"/>
      <c r="X788" s="513"/>
      <c r="AA788" s="337"/>
      <c r="AB788" s="17"/>
      <c r="AC788" s="180"/>
      <c r="AD788" s="180"/>
      <c r="AE788" s="514"/>
      <c r="AF788" s="17"/>
      <c r="AI788" s="337"/>
      <c r="AM788" s="337"/>
      <c r="AQ788" s="337"/>
    </row>
    <row r="789" spans="2:43">
      <c r="B789" s="541"/>
      <c r="D789" s="337"/>
      <c r="G789" s="337"/>
      <c r="K789" s="337"/>
      <c r="O789" s="337"/>
      <c r="S789" s="337"/>
      <c r="T789" s="14"/>
      <c r="W789" s="337"/>
      <c r="X789" s="513"/>
      <c r="AA789" s="337"/>
      <c r="AB789" s="17"/>
      <c r="AC789" s="180"/>
      <c r="AD789" s="180"/>
      <c r="AE789" s="514"/>
      <c r="AF789" s="17"/>
      <c r="AI789" s="337"/>
      <c r="AM789" s="337"/>
      <c r="AQ789" s="337"/>
    </row>
    <row r="790" spans="2:43">
      <c r="B790" s="541"/>
      <c r="D790" s="337"/>
      <c r="G790" s="337"/>
      <c r="K790" s="337"/>
      <c r="O790" s="337"/>
      <c r="S790" s="337"/>
      <c r="T790" s="14"/>
      <c r="W790" s="337"/>
      <c r="X790" s="513"/>
      <c r="AA790" s="337"/>
      <c r="AB790" s="17"/>
      <c r="AC790" s="180"/>
      <c r="AD790" s="180"/>
      <c r="AE790" s="514"/>
      <c r="AF790" s="17"/>
      <c r="AI790" s="337"/>
      <c r="AM790" s="337"/>
      <c r="AQ790" s="337"/>
    </row>
    <row r="791" spans="2:43">
      <c r="B791" s="541"/>
      <c r="D791" s="337"/>
      <c r="G791" s="337"/>
      <c r="K791" s="337"/>
      <c r="O791" s="337"/>
      <c r="S791" s="337"/>
      <c r="T791" s="14"/>
      <c r="W791" s="337"/>
      <c r="X791" s="513"/>
      <c r="AA791" s="337"/>
      <c r="AB791" s="17"/>
      <c r="AC791" s="180"/>
      <c r="AD791" s="180"/>
      <c r="AE791" s="514"/>
      <c r="AF791" s="17"/>
      <c r="AI791" s="337"/>
      <c r="AM791" s="337"/>
      <c r="AQ791" s="337"/>
    </row>
    <row r="792" spans="2:43">
      <c r="B792" s="541"/>
      <c r="D792" s="337"/>
      <c r="G792" s="337"/>
      <c r="K792" s="337"/>
      <c r="O792" s="337"/>
      <c r="S792" s="337"/>
      <c r="T792" s="14"/>
      <c r="W792" s="337"/>
      <c r="X792" s="513"/>
      <c r="AA792" s="337"/>
      <c r="AB792" s="17"/>
      <c r="AC792" s="180"/>
      <c r="AD792" s="180"/>
      <c r="AE792" s="514"/>
      <c r="AF792" s="17"/>
      <c r="AI792" s="337"/>
      <c r="AM792" s="337"/>
      <c r="AQ792" s="337"/>
    </row>
    <row r="793" spans="2:43">
      <c r="B793" s="541"/>
      <c r="D793" s="337"/>
      <c r="G793" s="337"/>
      <c r="K793" s="337"/>
      <c r="O793" s="337"/>
      <c r="S793" s="337"/>
      <c r="T793" s="14"/>
      <c r="W793" s="337"/>
      <c r="X793" s="513"/>
      <c r="AA793" s="337"/>
      <c r="AB793" s="17"/>
      <c r="AC793" s="180"/>
      <c r="AD793" s="180"/>
      <c r="AE793" s="514"/>
      <c r="AF793" s="17"/>
      <c r="AI793" s="337"/>
      <c r="AM793" s="337"/>
      <c r="AQ793" s="337"/>
    </row>
    <row r="794" spans="2:43">
      <c r="B794" s="541"/>
      <c r="D794" s="337"/>
      <c r="G794" s="337"/>
      <c r="K794" s="337"/>
      <c r="O794" s="337"/>
      <c r="S794" s="337"/>
      <c r="T794" s="14"/>
      <c r="W794" s="337"/>
      <c r="X794" s="513"/>
      <c r="AA794" s="337"/>
      <c r="AB794" s="17"/>
      <c r="AC794" s="180"/>
      <c r="AD794" s="180"/>
      <c r="AE794" s="514"/>
      <c r="AF794" s="17"/>
      <c r="AI794" s="337"/>
      <c r="AM794" s="337"/>
      <c r="AQ794" s="337"/>
    </row>
    <row r="795" spans="2:43">
      <c r="B795" s="541"/>
      <c r="D795" s="337"/>
      <c r="G795" s="337"/>
      <c r="K795" s="337"/>
      <c r="O795" s="337"/>
      <c r="S795" s="337"/>
      <c r="T795" s="14"/>
      <c r="W795" s="337"/>
      <c r="X795" s="513"/>
      <c r="AA795" s="337"/>
      <c r="AB795" s="17"/>
      <c r="AC795" s="180"/>
      <c r="AD795" s="180"/>
      <c r="AE795" s="514"/>
      <c r="AF795" s="17"/>
      <c r="AI795" s="337"/>
      <c r="AM795" s="337"/>
      <c r="AQ795" s="337"/>
    </row>
    <row r="796" spans="2:43">
      <c r="B796" s="541"/>
      <c r="D796" s="337"/>
      <c r="G796" s="337"/>
      <c r="K796" s="337"/>
      <c r="O796" s="337"/>
      <c r="S796" s="337"/>
      <c r="T796" s="14"/>
      <c r="W796" s="337"/>
      <c r="X796" s="513"/>
      <c r="AA796" s="337"/>
      <c r="AB796" s="17"/>
      <c r="AC796" s="180"/>
      <c r="AD796" s="180"/>
      <c r="AE796" s="514"/>
      <c r="AF796" s="17"/>
      <c r="AI796" s="337"/>
      <c r="AM796" s="337"/>
      <c r="AQ796" s="337"/>
    </row>
    <row r="797" spans="2:43">
      <c r="B797" s="541"/>
      <c r="D797" s="337"/>
      <c r="G797" s="337"/>
      <c r="K797" s="337"/>
      <c r="O797" s="337"/>
      <c r="S797" s="337"/>
      <c r="T797" s="14"/>
      <c r="W797" s="337"/>
      <c r="X797" s="513"/>
      <c r="AA797" s="337"/>
      <c r="AB797" s="17"/>
      <c r="AC797" s="180"/>
      <c r="AD797" s="180"/>
      <c r="AE797" s="514"/>
      <c r="AF797" s="17"/>
      <c r="AI797" s="337"/>
      <c r="AM797" s="337"/>
      <c r="AQ797" s="337"/>
    </row>
    <row r="798" spans="2:43">
      <c r="B798" s="541"/>
      <c r="D798" s="337"/>
      <c r="G798" s="337"/>
      <c r="K798" s="337"/>
      <c r="O798" s="337"/>
      <c r="S798" s="337"/>
      <c r="T798" s="14"/>
      <c r="W798" s="337"/>
      <c r="X798" s="513"/>
      <c r="AA798" s="337"/>
      <c r="AB798" s="17"/>
      <c r="AC798" s="180"/>
      <c r="AD798" s="180"/>
      <c r="AE798" s="514"/>
      <c r="AF798" s="17"/>
      <c r="AI798" s="337"/>
      <c r="AM798" s="337"/>
      <c r="AQ798" s="337"/>
    </row>
    <row r="799" spans="2:43">
      <c r="B799" s="541"/>
      <c r="D799" s="337"/>
      <c r="G799" s="337"/>
      <c r="K799" s="337"/>
      <c r="O799" s="337"/>
      <c r="S799" s="337"/>
      <c r="T799" s="14"/>
      <c r="W799" s="337"/>
      <c r="X799" s="513"/>
      <c r="AA799" s="337"/>
      <c r="AB799" s="17"/>
      <c r="AC799" s="180"/>
      <c r="AD799" s="180"/>
      <c r="AE799" s="514"/>
      <c r="AF799" s="17"/>
      <c r="AI799" s="337"/>
      <c r="AM799" s="337"/>
      <c r="AQ799" s="337"/>
    </row>
    <row r="800" spans="2:43">
      <c r="B800" s="541"/>
      <c r="D800" s="337"/>
      <c r="G800" s="337"/>
      <c r="K800" s="337"/>
      <c r="O800" s="337"/>
      <c r="S800" s="337"/>
      <c r="T800" s="14"/>
      <c r="W800" s="337"/>
      <c r="X800" s="513"/>
      <c r="AA800" s="337"/>
      <c r="AB800" s="17"/>
      <c r="AC800" s="180"/>
      <c r="AD800" s="180"/>
      <c r="AE800" s="514"/>
      <c r="AF800" s="17"/>
      <c r="AI800" s="337"/>
      <c r="AM800" s="337"/>
      <c r="AQ800" s="337"/>
    </row>
    <row r="801" spans="2:43">
      <c r="B801" s="541"/>
      <c r="D801" s="337"/>
      <c r="G801" s="337"/>
      <c r="K801" s="337"/>
      <c r="O801" s="337"/>
      <c r="S801" s="337"/>
      <c r="T801" s="14"/>
      <c r="W801" s="337"/>
      <c r="X801" s="513"/>
      <c r="AA801" s="337"/>
      <c r="AB801" s="17"/>
      <c r="AC801" s="180"/>
      <c r="AD801" s="180"/>
      <c r="AE801" s="514"/>
      <c r="AF801" s="17"/>
      <c r="AI801" s="337"/>
      <c r="AM801" s="337"/>
      <c r="AQ801" s="337"/>
    </row>
    <row r="802" spans="2:43">
      <c r="B802" s="541"/>
      <c r="D802" s="337"/>
      <c r="G802" s="337"/>
      <c r="K802" s="337"/>
      <c r="O802" s="337"/>
      <c r="S802" s="337"/>
      <c r="T802" s="14"/>
      <c r="W802" s="337"/>
      <c r="X802" s="513"/>
      <c r="AA802" s="337"/>
      <c r="AB802" s="17"/>
      <c r="AC802" s="180"/>
      <c r="AD802" s="180"/>
      <c r="AE802" s="514"/>
      <c r="AF802" s="17"/>
      <c r="AI802" s="337"/>
      <c r="AM802" s="337"/>
      <c r="AQ802" s="337"/>
    </row>
    <row r="803" spans="2:43">
      <c r="B803" s="541"/>
      <c r="D803" s="337"/>
      <c r="G803" s="337"/>
      <c r="K803" s="337"/>
      <c r="O803" s="337"/>
      <c r="S803" s="337"/>
      <c r="T803" s="14"/>
      <c r="W803" s="337"/>
      <c r="X803" s="513"/>
      <c r="AA803" s="337"/>
      <c r="AB803" s="17"/>
      <c r="AC803" s="180"/>
      <c r="AD803" s="180"/>
      <c r="AE803" s="514"/>
      <c r="AF803" s="17"/>
      <c r="AI803" s="337"/>
      <c r="AM803" s="337"/>
      <c r="AQ803" s="337"/>
    </row>
    <row r="804" spans="2:43">
      <c r="B804" s="541"/>
      <c r="D804" s="337"/>
      <c r="G804" s="337"/>
      <c r="K804" s="337"/>
      <c r="O804" s="337"/>
      <c r="S804" s="337"/>
      <c r="T804" s="14"/>
      <c r="W804" s="337"/>
      <c r="X804" s="513"/>
      <c r="AA804" s="337"/>
      <c r="AB804" s="17"/>
      <c r="AC804" s="180"/>
      <c r="AD804" s="180"/>
      <c r="AE804" s="514"/>
      <c r="AF804" s="17"/>
      <c r="AI804" s="337"/>
      <c r="AM804" s="337"/>
      <c r="AQ804" s="337"/>
    </row>
    <row r="805" spans="2:43">
      <c r="B805" s="541"/>
      <c r="D805" s="337"/>
      <c r="G805" s="337"/>
      <c r="K805" s="337"/>
      <c r="O805" s="337"/>
      <c r="S805" s="337"/>
      <c r="T805" s="14"/>
      <c r="W805" s="337"/>
      <c r="X805" s="513"/>
      <c r="AA805" s="337"/>
      <c r="AB805" s="17"/>
      <c r="AC805" s="180"/>
      <c r="AD805" s="180"/>
      <c r="AE805" s="514"/>
      <c r="AF805" s="17"/>
      <c r="AI805" s="337"/>
      <c r="AM805" s="337"/>
      <c r="AQ805" s="337"/>
    </row>
    <row r="806" spans="2:43">
      <c r="B806" s="541"/>
      <c r="D806" s="337"/>
      <c r="G806" s="337"/>
      <c r="K806" s="337"/>
      <c r="O806" s="337"/>
      <c r="S806" s="337"/>
      <c r="T806" s="14"/>
      <c r="W806" s="337"/>
      <c r="X806" s="513"/>
      <c r="AA806" s="337"/>
      <c r="AB806" s="17"/>
      <c r="AC806" s="180"/>
      <c r="AD806" s="180"/>
      <c r="AE806" s="514"/>
      <c r="AF806" s="17"/>
      <c r="AI806" s="337"/>
      <c r="AM806" s="337"/>
      <c r="AQ806" s="337"/>
    </row>
    <row r="807" spans="2:43">
      <c r="B807" s="541"/>
      <c r="D807" s="337"/>
      <c r="G807" s="337"/>
      <c r="K807" s="337"/>
      <c r="O807" s="337"/>
      <c r="S807" s="337"/>
      <c r="T807" s="14"/>
      <c r="W807" s="337"/>
      <c r="X807" s="513"/>
      <c r="AA807" s="337"/>
      <c r="AB807" s="17"/>
      <c r="AC807" s="180"/>
      <c r="AD807" s="180"/>
      <c r="AE807" s="514"/>
      <c r="AF807" s="17"/>
      <c r="AI807" s="337"/>
      <c r="AM807" s="337"/>
      <c r="AQ807" s="337"/>
    </row>
    <row r="808" spans="2:43">
      <c r="B808" s="541"/>
      <c r="D808" s="337"/>
      <c r="G808" s="337"/>
      <c r="K808" s="337"/>
      <c r="O808" s="337"/>
      <c r="S808" s="337"/>
      <c r="T808" s="14"/>
      <c r="W808" s="337"/>
      <c r="X808" s="513"/>
      <c r="AA808" s="337"/>
      <c r="AB808" s="17"/>
      <c r="AC808" s="180"/>
      <c r="AD808" s="180"/>
      <c r="AE808" s="514"/>
      <c r="AF808" s="17"/>
      <c r="AI808" s="337"/>
      <c r="AM808" s="337"/>
      <c r="AQ808" s="337"/>
    </row>
    <row r="809" spans="2:43">
      <c r="B809" s="541"/>
      <c r="D809" s="337"/>
      <c r="G809" s="337"/>
      <c r="K809" s="337"/>
      <c r="O809" s="337"/>
      <c r="S809" s="337"/>
      <c r="T809" s="14"/>
      <c r="W809" s="337"/>
      <c r="X809" s="513"/>
      <c r="AA809" s="337"/>
      <c r="AB809" s="17"/>
      <c r="AC809" s="180"/>
      <c r="AD809" s="180"/>
      <c r="AE809" s="514"/>
      <c r="AF809" s="17"/>
      <c r="AI809" s="337"/>
      <c r="AM809" s="337"/>
      <c r="AQ809" s="337"/>
    </row>
    <row r="810" spans="2:43">
      <c r="B810" s="541"/>
      <c r="D810" s="337"/>
      <c r="G810" s="337"/>
      <c r="K810" s="337"/>
      <c r="O810" s="337"/>
      <c r="S810" s="337"/>
      <c r="T810" s="14"/>
      <c r="W810" s="337"/>
      <c r="X810" s="513"/>
      <c r="AA810" s="337"/>
      <c r="AB810" s="17"/>
      <c r="AC810" s="180"/>
      <c r="AD810" s="180"/>
      <c r="AE810" s="514"/>
      <c r="AF810" s="17"/>
      <c r="AI810" s="337"/>
      <c r="AM810" s="337"/>
      <c r="AQ810" s="337"/>
    </row>
    <row r="811" spans="2:43">
      <c r="B811" s="541"/>
      <c r="D811" s="337"/>
      <c r="G811" s="337"/>
      <c r="K811" s="337"/>
      <c r="O811" s="337"/>
      <c r="S811" s="337"/>
      <c r="T811" s="14"/>
      <c r="W811" s="337"/>
      <c r="X811" s="513"/>
      <c r="AA811" s="337"/>
      <c r="AB811" s="17"/>
      <c r="AC811" s="180"/>
      <c r="AD811" s="180"/>
      <c r="AE811" s="514"/>
      <c r="AF811" s="17"/>
      <c r="AI811" s="337"/>
      <c r="AM811" s="337"/>
      <c r="AQ811" s="337"/>
    </row>
    <row r="812" spans="2:43">
      <c r="B812" s="541"/>
      <c r="D812" s="337"/>
      <c r="G812" s="337"/>
      <c r="K812" s="337"/>
      <c r="O812" s="337"/>
      <c r="S812" s="337"/>
      <c r="T812" s="14"/>
      <c r="W812" s="337"/>
      <c r="X812" s="513"/>
      <c r="AA812" s="337"/>
      <c r="AB812" s="17"/>
      <c r="AC812" s="180"/>
      <c r="AD812" s="180"/>
      <c r="AE812" s="514"/>
      <c r="AF812" s="17"/>
      <c r="AI812" s="337"/>
      <c r="AM812" s="337"/>
      <c r="AQ812" s="337"/>
    </row>
    <row r="813" spans="2:43">
      <c r="B813" s="541"/>
      <c r="D813" s="337"/>
      <c r="G813" s="337"/>
      <c r="K813" s="337"/>
      <c r="O813" s="337"/>
      <c r="S813" s="337"/>
      <c r="T813" s="14"/>
      <c r="W813" s="337"/>
      <c r="X813" s="513"/>
      <c r="AA813" s="337"/>
      <c r="AB813" s="17"/>
      <c r="AC813" s="180"/>
      <c r="AD813" s="180"/>
      <c r="AE813" s="514"/>
      <c r="AF813" s="17"/>
      <c r="AI813" s="337"/>
      <c r="AM813" s="337"/>
      <c r="AQ813" s="337"/>
    </row>
    <row r="814" spans="2:43">
      <c r="B814" s="541"/>
      <c r="D814" s="337"/>
      <c r="G814" s="337"/>
      <c r="K814" s="337"/>
      <c r="O814" s="337"/>
      <c r="S814" s="337"/>
      <c r="T814" s="14"/>
      <c r="W814" s="337"/>
      <c r="X814" s="513"/>
      <c r="AA814" s="337"/>
      <c r="AB814" s="17"/>
      <c r="AC814" s="180"/>
      <c r="AD814" s="180"/>
      <c r="AE814" s="514"/>
      <c r="AF814" s="17"/>
      <c r="AI814" s="337"/>
      <c r="AM814" s="337"/>
      <c r="AQ814" s="337"/>
    </row>
    <row r="815" spans="2:43">
      <c r="B815" s="541"/>
      <c r="D815" s="337"/>
      <c r="G815" s="337"/>
      <c r="K815" s="337"/>
      <c r="O815" s="337"/>
      <c r="S815" s="337"/>
      <c r="T815" s="14"/>
      <c r="W815" s="337"/>
      <c r="X815" s="513"/>
      <c r="AA815" s="337"/>
      <c r="AB815" s="17"/>
      <c r="AC815" s="180"/>
      <c r="AD815" s="180"/>
      <c r="AE815" s="514"/>
      <c r="AF815" s="17"/>
      <c r="AI815" s="337"/>
      <c r="AM815" s="337"/>
      <c r="AQ815" s="337"/>
    </row>
    <row r="816" spans="2:43">
      <c r="B816" s="541"/>
      <c r="D816" s="337"/>
      <c r="G816" s="337"/>
      <c r="K816" s="337"/>
      <c r="O816" s="337"/>
      <c r="S816" s="337"/>
      <c r="T816" s="14"/>
      <c r="W816" s="337"/>
      <c r="X816" s="513"/>
      <c r="AA816" s="337"/>
      <c r="AB816" s="17"/>
      <c r="AC816" s="180"/>
      <c r="AD816" s="180"/>
      <c r="AE816" s="514"/>
      <c r="AF816" s="17"/>
      <c r="AI816" s="337"/>
      <c r="AM816" s="337"/>
      <c r="AQ816" s="337"/>
    </row>
    <row r="817" spans="2:43">
      <c r="B817" s="541"/>
      <c r="D817" s="337"/>
      <c r="G817" s="337"/>
      <c r="K817" s="337"/>
      <c r="O817" s="337"/>
      <c r="S817" s="337"/>
      <c r="T817" s="14"/>
      <c r="W817" s="337"/>
      <c r="X817" s="513"/>
      <c r="AA817" s="337"/>
      <c r="AB817" s="17"/>
      <c r="AC817" s="180"/>
      <c r="AD817" s="180"/>
      <c r="AE817" s="514"/>
      <c r="AF817" s="17"/>
      <c r="AI817" s="337"/>
      <c r="AM817" s="337"/>
      <c r="AQ817" s="337"/>
    </row>
    <row r="818" spans="2:43">
      <c r="B818" s="541"/>
      <c r="D818" s="337"/>
      <c r="G818" s="337"/>
      <c r="K818" s="337"/>
      <c r="O818" s="337"/>
      <c r="S818" s="337"/>
      <c r="T818" s="14"/>
      <c r="W818" s="337"/>
      <c r="X818" s="513"/>
      <c r="AA818" s="337"/>
      <c r="AB818" s="17"/>
      <c r="AC818" s="180"/>
      <c r="AD818" s="180"/>
      <c r="AE818" s="514"/>
      <c r="AF818" s="17"/>
      <c r="AI818" s="337"/>
      <c r="AM818" s="337"/>
      <c r="AQ818" s="337"/>
    </row>
    <row r="819" spans="2:43">
      <c r="B819" s="541"/>
      <c r="D819" s="337"/>
      <c r="G819" s="337"/>
      <c r="K819" s="337"/>
      <c r="O819" s="337"/>
      <c r="S819" s="337"/>
      <c r="T819" s="14"/>
      <c r="W819" s="337"/>
      <c r="X819" s="513"/>
      <c r="AA819" s="337"/>
      <c r="AB819" s="17"/>
      <c r="AC819" s="180"/>
      <c r="AD819" s="180"/>
      <c r="AE819" s="514"/>
      <c r="AF819" s="17"/>
      <c r="AI819" s="337"/>
      <c r="AM819" s="337"/>
      <c r="AQ819" s="337"/>
    </row>
    <row r="820" spans="2:43">
      <c r="B820" s="541"/>
      <c r="D820" s="337"/>
      <c r="G820" s="337"/>
      <c r="K820" s="337"/>
      <c r="O820" s="337"/>
      <c r="S820" s="337"/>
      <c r="T820" s="14"/>
      <c r="W820" s="337"/>
      <c r="X820" s="513"/>
      <c r="AA820" s="337"/>
      <c r="AB820" s="17"/>
      <c r="AC820" s="180"/>
      <c r="AD820" s="180"/>
      <c r="AE820" s="514"/>
      <c r="AF820" s="17"/>
      <c r="AI820" s="337"/>
      <c r="AM820" s="337"/>
      <c r="AQ820" s="337"/>
    </row>
    <row r="821" spans="2:43">
      <c r="B821" s="541"/>
      <c r="D821" s="337"/>
      <c r="G821" s="337"/>
      <c r="K821" s="337"/>
      <c r="O821" s="337"/>
      <c r="S821" s="337"/>
      <c r="T821" s="14"/>
      <c r="W821" s="337"/>
      <c r="X821" s="513"/>
      <c r="AA821" s="337"/>
      <c r="AB821" s="17"/>
      <c r="AC821" s="180"/>
      <c r="AD821" s="180"/>
      <c r="AE821" s="514"/>
      <c r="AF821" s="17"/>
      <c r="AI821" s="337"/>
      <c r="AM821" s="337"/>
      <c r="AQ821" s="337"/>
    </row>
    <row r="822" spans="2:43">
      <c r="B822" s="541"/>
      <c r="D822" s="337"/>
      <c r="G822" s="337"/>
      <c r="K822" s="337"/>
      <c r="O822" s="337"/>
      <c r="S822" s="337"/>
      <c r="T822" s="14"/>
      <c r="W822" s="337"/>
      <c r="X822" s="513"/>
      <c r="AA822" s="337"/>
      <c r="AB822" s="17"/>
      <c r="AC822" s="180"/>
      <c r="AD822" s="180"/>
      <c r="AE822" s="514"/>
      <c r="AF822" s="17"/>
      <c r="AI822" s="337"/>
      <c r="AM822" s="337"/>
      <c r="AQ822" s="337"/>
    </row>
    <row r="823" spans="2:43">
      <c r="B823" s="541"/>
      <c r="D823" s="337"/>
      <c r="G823" s="337"/>
      <c r="K823" s="337"/>
      <c r="O823" s="337"/>
      <c r="S823" s="337"/>
      <c r="T823" s="14"/>
      <c r="W823" s="337"/>
      <c r="X823" s="513"/>
      <c r="AA823" s="337"/>
      <c r="AB823" s="17"/>
      <c r="AC823" s="180"/>
      <c r="AD823" s="180"/>
      <c r="AE823" s="514"/>
      <c r="AF823" s="17"/>
      <c r="AI823" s="337"/>
      <c r="AM823" s="337"/>
      <c r="AQ823" s="337"/>
    </row>
    <row r="824" spans="2:43">
      <c r="B824" s="541"/>
      <c r="D824" s="337"/>
      <c r="G824" s="337"/>
      <c r="K824" s="337"/>
      <c r="O824" s="337"/>
      <c r="S824" s="337"/>
      <c r="T824" s="14"/>
      <c r="W824" s="337"/>
      <c r="X824" s="513"/>
      <c r="AA824" s="337"/>
      <c r="AB824" s="17"/>
      <c r="AC824" s="180"/>
      <c r="AD824" s="180"/>
      <c r="AE824" s="514"/>
      <c r="AF824" s="17"/>
      <c r="AI824" s="337"/>
      <c r="AM824" s="337"/>
      <c r="AQ824" s="337"/>
    </row>
    <row r="825" spans="2:43">
      <c r="B825" s="541"/>
      <c r="D825" s="337"/>
      <c r="G825" s="337"/>
      <c r="K825" s="337"/>
      <c r="O825" s="337"/>
      <c r="S825" s="337"/>
      <c r="T825" s="14"/>
      <c r="W825" s="337"/>
      <c r="X825" s="513"/>
      <c r="AA825" s="337"/>
      <c r="AB825" s="17"/>
      <c r="AC825" s="180"/>
      <c r="AD825" s="180"/>
      <c r="AE825" s="514"/>
      <c r="AF825" s="17"/>
      <c r="AI825" s="337"/>
      <c r="AM825" s="337"/>
      <c r="AQ825" s="337"/>
    </row>
    <row r="826" spans="2:43">
      <c r="B826" s="541"/>
      <c r="D826" s="337"/>
      <c r="G826" s="337"/>
      <c r="K826" s="337"/>
      <c r="O826" s="337"/>
      <c r="S826" s="337"/>
      <c r="T826" s="14"/>
      <c r="W826" s="337"/>
      <c r="X826" s="513"/>
      <c r="AA826" s="337"/>
      <c r="AB826" s="17"/>
      <c r="AC826" s="180"/>
      <c r="AD826" s="180"/>
      <c r="AE826" s="514"/>
      <c r="AF826" s="17"/>
      <c r="AI826" s="337"/>
      <c r="AM826" s="337"/>
      <c r="AQ826" s="337"/>
    </row>
    <row r="827" spans="2:43">
      <c r="B827" s="541"/>
      <c r="D827" s="337"/>
      <c r="G827" s="337"/>
      <c r="K827" s="337"/>
      <c r="O827" s="337"/>
      <c r="S827" s="337"/>
      <c r="T827" s="14"/>
      <c r="W827" s="337"/>
      <c r="X827" s="513"/>
      <c r="AA827" s="337"/>
      <c r="AB827" s="17"/>
      <c r="AC827" s="180"/>
      <c r="AD827" s="180"/>
      <c r="AE827" s="514"/>
      <c r="AF827" s="17"/>
      <c r="AI827" s="337"/>
      <c r="AM827" s="337"/>
      <c r="AQ827" s="337"/>
    </row>
    <row r="828" spans="2:43">
      <c r="B828" s="541"/>
      <c r="D828" s="337"/>
      <c r="G828" s="337"/>
      <c r="K828" s="337"/>
      <c r="O828" s="337"/>
      <c r="S828" s="337"/>
      <c r="T828" s="14"/>
      <c r="W828" s="337"/>
      <c r="X828" s="513"/>
      <c r="AA828" s="337"/>
      <c r="AB828" s="17"/>
      <c r="AC828" s="180"/>
      <c r="AD828" s="180"/>
      <c r="AE828" s="514"/>
      <c r="AF828" s="17"/>
      <c r="AI828" s="337"/>
      <c r="AM828" s="337"/>
      <c r="AQ828" s="337"/>
    </row>
    <row r="829" spans="2:43">
      <c r="B829" s="541"/>
      <c r="D829" s="337"/>
      <c r="G829" s="337"/>
      <c r="K829" s="337"/>
      <c r="O829" s="337"/>
      <c r="S829" s="337"/>
      <c r="T829" s="14"/>
      <c r="W829" s="337"/>
      <c r="X829" s="513"/>
      <c r="AA829" s="337"/>
      <c r="AB829" s="17"/>
      <c r="AC829" s="180"/>
      <c r="AD829" s="180"/>
      <c r="AE829" s="514"/>
      <c r="AF829" s="17"/>
      <c r="AI829" s="337"/>
      <c r="AM829" s="337"/>
      <c r="AQ829" s="337"/>
    </row>
    <row r="830" spans="2:43">
      <c r="B830" s="541"/>
      <c r="D830" s="337"/>
      <c r="G830" s="337"/>
      <c r="K830" s="337"/>
      <c r="O830" s="337"/>
      <c r="S830" s="337"/>
      <c r="T830" s="14"/>
      <c r="W830" s="337"/>
      <c r="X830" s="513"/>
      <c r="AA830" s="337"/>
      <c r="AB830" s="17"/>
      <c r="AC830" s="180"/>
      <c r="AD830" s="180"/>
      <c r="AE830" s="514"/>
      <c r="AF830" s="17"/>
      <c r="AI830" s="337"/>
      <c r="AM830" s="337"/>
      <c r="AQ830" s="337"/>
    </row>
    <row r="831" spans="2:43">
      <c r="B831" s="541"/>
      <c r="D831" s="337"/>
      <c r="G831" s="337"/>
      <c r="K831" s="337"/>
      <c r="O831" s="337"/>
      <c r="S831" s="337"/>
      <c r="T831" s="14"/>
      <c r="W831" s="337"/>
      <c r="X831" s="513"/>
      <c r="AA831" s="337"/>
      <c r="AB831" s="17"/>
      <c r="AC831" s="180"/>
      <c r="AD831" s="180"/>
      <c r="AE831" s="514"/>
      <c r="AF831" s="17"/>
      <c r="AI831" s="337"/>
      <c r="AM831" s="337"/>
      <c r="AQ831" s="337"/>
    </row>
    <row r="832" spans="2:43">
      <c r="B832" s="541"/>
      <c r="D832" s="337"/>
      <c r="G832" s="337"/>
      <c r="K832" s="337"/>
      <c r="O832" s="337"/>
      <c r="S832" s="337"/>
      <c r="T832" s="14"/>
      <c r="W832" s="337"/>
      <c r="X832" s="513"/>
      <c r="AA832" s="337"/>
      <c r="AB832" s="17"/>
      <c r="AC832" s="180"/>
      <c r="AD832" s="180"/>
      <c r="AE832" s="514"/>
      <c r="AF832" s="17"/>
      <c r="AI832" s="337"/>
      <c r="AM832" s="337"/>
      <c r="AQ832" s="337"/>
    </row>
    <row r="833" spans="2:43">
      <c r="B833" s="541"/>
      <c r="D833" s="337"/>
      <c r="G833" s="337"/>
      <c r="K833" s="337"/>
      <c r="O833" s="337"/>
      <c r="S833" s="337"/>
      <c r="T833" s="14"/>
      <c r="W833" s="337"/>
      <c r="X833" s="513"/>
      <c r="AA833" s="337"/>
      <c r="AB833" s="17"/>
      <c r="AC833" s="180"/>
      <c r="AD833" s="180"/>
      <c r="AE833" s="514"/>
      <c r="AF833" s="17"/>
      <c r="AI833" s="337"/>
      <c r="AM833" s="337"/>
      <c r="AQ833" s="337"/>
    </row>
    <row r="834" spans="2:43">
      <c r="B834" s="541"/>
      <c r="D834" s="337"/>
      <c r="G834" s="337"/>
      <c r="K834" s="337"/>
      <c r="O834" s="337"/>
      <c r="S834" s="337"/>
      <c r="T834" s="14"/>
      <c r="W834" s="337"/>
      <c r="X834" s="513"/>
      <c r="AA834" s="337"/>
      <c r="AB834" s="17"/>
      <c r="AC834" s="180"/>
      <c r="AD834" s="180"/>
      <c r="AE834" s="514"/>
      <c r="AF834" s="17"/>
      <c r="AI834" s="337"/>
      <c r="AM834" s="337"/>
      <c r="AQ834" s="337"/>
    </row>
    <row r="835" spans="2:43">
      <c r="B835" s="541"/>
      <c r="D835" s="337"/>
      <c r="G835" s="337"/>
      <c r="K835" s="337"/>
      <c r="O835" s="337"/>
      <c r="S835" s="337"/>
      <c r="T835" s="14"/>
      <c r="W835" s="337"/>
      <c r="X835" s="513"/>
      <c r="AA835" s="337"/>
      <c r="AB835" s="17"/>
      <c r="AC835" s="180"/>
      <c r="AD835" s="180"/>
      <c r="AE835" s="514"/>
      <c r="AF835" s="17"/>
      <c r="AI835" s="337"/>
      <c r="AM835" s="337"/>
      <c r="AQ835" s="337"/>
    </row>
    <row r="836" spans="2:43">
      <c r="B836" s="541"/>
      <c r="D836" s="337"/>
      <c r="G836" s="337"/>
      <c r="K836" s="337"/>
      <c r="O836" s="337"/>
      <c r="S836" s="337"/>
      <c r="T836" s="14"/>
      <c r="W836" s="337"/>
      <c r="X836" s="513"/>
      <c r="AA836" s="337"/>
      <c r="AB836" s="17"/>
      <c r="AC836" s="180"/>
      <c r="AD836" s="180"/>
      <c r="AE836" s="514"/>
      <c r="AF836" s="17"/>
      <c r="AI836" s="337"/>
      <c r="AM836" s="337"/>
      <c r="AQ836" s="337"/>
    </row>
    <row r="837" spans="2:43">
      <c r="B837" s="541"/>
      <c r="D837" s="337"/>
      <c r="G837" s="337"/>
      <c r="K837" s="337"/>
      <c r="O837" s="337"/>
      <c r="S837" s="337"/>
      <c r="T837" s="14"/>
      <c r="W837" s="337"/>
      <c r="X837" s="513"/>
      <c r="AA837" s="337"/>
      <c r="AB837" s="17"/>
      <c r="AC837" s="180"/>
      <c r="AD837" s="180"/>
      <c r="AE837" s="514"/>
      <c r="AF837" s="17"/>
      <c r="AI837" s="337"/>
      <c r="AM837" s="337"/>
      <c r="AQ837" s="337"/>
    </row>
    <row r="838" spans="2:43">
      <c r="B838" s="541"/>
      <c r="D838" s="337"/>
      <c r="G838" s="337"/>
      <c r="K838" s="337"/>
      <c r="O838" s="337"/>
      <c r="S838" s="337"/>
      <c r="T838" s="14"/>
      <c r="W838" s="337"/>
      <c r="X838" s="513"/>
      <c r="AA838" s="337"/>
      <c r="AB838" s="17"/>
      <c r="AC838" s="180"/>
      <c r="AD838" s="180"/>
      <c r="AE838" s="514"/>
      <c r="AF838" s="17"/>
      <c r="AI838" s="337"/>
      <c r="AM838" s="337"/>
      <c r="AQ838" s="337"/>
    </row>
    <row r="839" spans="2:43">
      <c r="B839" s="541"/>
      <c r="D839" s="337"/>
      <c r="G839" s="337"/>
      <c r="K839" s="337"/>
      <c r="O839" s="337"/>
      <c r="S839" s="337"/>
      <c r="T839" s="14"/>
      <c r="W839" s="337"/>
      <c r="X839" s="513"/>
      <c r="AA839" s="337"/>
      <c r="AB839" s="17"/>
      <c r="AC839" s="180"/>
      <c r="AD839" s="180"/>
      <c r="AE839" s="514"/>
      <c r="AF839" s="17"/>
      <c r="AI839" s="337"/>
      <c r="AM839" s="337"/>
      <c r="AQ839" s="337"/>
    </row>
    <row r="840" spans="2:43">
      <c r="B840" s="541"/>
      <c r="D840" s="337"/>
      <c r="G840" s="337"/>
      <c r="K840" s="337"/>
      <c r="O840" s="337"/>
      <c r="S840" s="337"/>
      <c r="T840" s="14"/>
      <c r="W840" s="337"/>
      <c r="X840" s="513"/>
      <c r="AA840" s="337"/>
      <c r="AB840" s="17"/>
      <c r="AC840" s="180"/>
      <c r="AD840" s="180"/>
      <c r="AE840" s="514"/>
      <c r="AF840" s="17"/>
      <c r="AI840" s="337"/>
      <c r="AM840" s="337"/>
      <c r="AQ840" s="337"/>
    </row>
    <row r="841" spans="2:43">
      <c r="B841" s="541"/>
      <c r="D841" s="337"/>
      <c r="G841" s="337"/>
      <c r="K841" s="337"/>
      <c r="O841" s="337"/>
      <c r="S841" s="337"/>
      <c r="T841" s="14"/>
      <c r="W841" s="337"/>
      <c r="X841" s="513"/>
      <c r="AA841" s="337"/>
      <c r="AB841" s="17"/>
      <c r="AC841" s="180"/>
      <c r="AD841" s="180"/>
      <c r="AE841" s="514"/>
      <c r="AF841" s="17"/>
      <c r="AI841" s="337"/>
      <c r="AM841" s="337"/>
      <c r="AQ841" s="337"/>
    </row>
    <row r="842" spans="2:43">
      <c r="B842" s="541"/>
      <c r="D842" s="337"/>
      <c r="G842" s="337"/>
      <c r="K842" s="337"/>
      <c r="O842" s="337"/>
      <c r="S842" s="337"/>
      <c r="T842" s="14"/>
      <c r="W842" s="337"/>
      <c r="X842" s="513"/>
      <c r="AA842" s="337"/>
      <c r="AB842" s="17"/>
      <c r="AC842" s="180"/>
      <c r="AD842" s="180"/>
      <c r="AE842" s="514"/>
      <c r="AF842" s="17"/>
      <c r="AI842" s="337"/>
      <c r="AM842" s="337"/>
      <c r="AQ842" s="337"/>
    </row>
    <row r="843" spans="2:43">
      <c r="B843" s="541"/>
      <c r="D843" s="337"/>
      <c r="G843" s="337"/>
      <c r="K843" s="337"/>
      <c r="O843" s="337"/>
      <c r="S843" s="337"/>
      <c r="T843" s="14"/>
      <c r="W843" s="337"/>
      <c r="X843" s="513"/>
      <c r="AA843" s="337"/>
      <c r="AB843" s="17"/>
      <c r="AC843" s="180"/>
      <c r="AD843" s="180"/>
      <c r="AE843" s="514"/>
      <c r="AF843" s="17"/>
      <c r="AI843" s="337"/>
      <c r="AM843" s="337"/>
      <c r="AQ843" s="337"/>
    </row>
    <row r="844" spans="2:43">
      <c r="B844" s="541"/>
      <c r="D844" s="337"/>
      <c r="G844" s="337"/>
      <c r="K844" s="337"/>
      <c r="O844" s="337"/>
      <c r="S844" s="337"/>
      <c r="T844" s="14"/>
      <c r="W844" s="337"/>
      <c r="X844" s="513"/>
      <c r="AA844" s="337"/>
      <c r="AB844" s="17"/>
      <c r="AC844" s="180"/>
      <c r="AD844" s="180"/>
      <c r="AE844" s="514"/>
      <c r="AF844" s="17"/>
      <c r="AI844" s="337"/>
      <c r="AM844" s="337"/>
      <c r="AQ844" s="337"/>
    </row>
    <row r="845" spans="2:43">
      <c r="B845" s="541"/>
      <c r="D845" s="337"/>
      <c r="G845" s="337"/>
      <c r="K845" s="337"/>
      <c r="O845" s="337"/>
      <c r="S845" s="337"/>
      <c r="T845" s="14"/>
      <c r="W845" s="337"/>
      <c r="X845" s="513"/>
      <c r="AA845" s="337"/>
      <c r="AB845" s="17"/>
      <c r="AC845" s="180"/>
      <c r="AD845" s="180"/>
      <c r="AE845" s="514"/>
      <c r="AF845" s="17"/>
      <c r="AI845" s="337"/>
      <c r="AM845" s="337"/>
      <c r="AQ845" s="337"/>
    </row>
    <row r="846" spans="2:43">
      <c r="B846" s="541"/>
      <c r="D846" s="337"/>
      <c r="G846" s="337"/>
      <c r="K846" s="337"/>
      <c r="O846" s="337"/>
      <c r="S846" s="337"/>
      <c r="T846" s="14"/>
      <c r="W846" s="337"/>
      <c r="X846" s="513"/>
      <c r="AA846" s="337"/>
      <c r="AB846" s="17"/>
      <c r="AC846" s="180"/>
      <c r="AD846" s="180"/>
      <c r="AE846" s="514"/>
      <c r="AF846" s="17"/>
      <c r="AI846" s="337"/>
      <c r="AM846" s="337"/>
      <c r="AQ846" s="337"/>
    </row>
    <row r="847" spans="2:43">
      <c r="B847" s="541"/>
      <c r="D847" s="337"/>
      <c r="G847" s="337"/>
      <c r="K847" s="337"/>
      <c r="O847" s="337"/>
      <c r="S847" s="337"/>
      <c r="T847" s="14"/>
      <c r="W847" s="337"/>
      <c r="X847" s="513"/>
      <c r="AA847" s="337"/>
      <c r="AB847" s="17"/>
      <c r="AC847" s="180"/>
      <c r="AD847" s="180"/>
      <c r="AE847" s="514"/>
      <c r="AF847" s="17"/>
      <c r="AI847" s="337"/>
      <c r="AM847" s="337"/>
      <c r="AQ847" s="337"/>
    </row>
    <row r="848" spans="2:43">
      <c r="B848" s="541"/>
      <c r="D848" s="337"/>
      <c r="G848" s="337"/>
      <c r="K848" s="337"/>
      <c r="O848" s="337"/>
      <c r="S848" s="337"/>
      <c r="T848" s="14"/>
      <c r="W848" s="337"/>
      <c r="X848" s="513"/>
      <c r="AA848" s="337"/>
      <c r="AB848" s="17"/>
      <c r="AC848" s="180"/>
      <c r="AD848" s="180"/>
      <c r="AE848" s="514"/>
      <c r="AF848" s="17"/>
      <c r="AI848" s="337"/>
      <c r="AM848" s="337"/>
      <c r="AQ848" s="337"/>
    </row>
    <row r="849" spans="2:43">
      <c r="B849" s="541"/>
      <c r="D849" s="337"/>
      <c r="G849" s="337"/>
      <c r="K849" s="337"/>
      <c r="O849" s="337"/>
      <c r="S849" s="337"/>
      <c r="T849" s="14"/>
      <c r="W849" s="337"/>
      <c r="X849" s="513"/>
      <c r="AA849" s="337"/>
      <c r="AB849" s="17"/>
      <c r="AC849" s="180"/>
      <c r="AD849" s="180"/>
      <c r="AE849" s="514"/>
      <c r="AF849" s="17"/>
      <c r="AI849" s="337"/>
      <c r="AM849" s="337"/>
      <c r="AQ849" s="337"/>
    </row>
    <row r="850" spans="2:43">
      <c r="B850" s="541"/>
      <c r="D850" s="337"/>
      <c r="G850" s="337"/>
      <c r="K850" s="337"/>
      <c r="O850" s="337"/>
      <c r="S850" s="337"/>
      <c r="T850" s="14"/>
      <c r="W850" s="337"/>
      <c r="X850" s="513"/>
      <c r="AA850" s="337"/>
      <c r="AB850" s="17"/>
      <c r="AC850" s="180"/>
      <c r="AD850" s="180"/>
      <c r="AE850" s="514"/>
      <c r="AF850" s="17"/>
      <c r="AI850" s="337"/>
      <c r="AM850" s="337"/>
      <c r="AQ850" s="337"/>
    </row>
    <row r="851" spans="2:43">
      <c r="B851" s="541"/>
      <c r="D851" s="337"/>
      <c r="G851" s="337"/>
      <c r="K851" s="337"/>
      <c r="O851" s="337"/>
      <c r="S851" s="337"/>
      <c r="T851" s="14"/>
      <c r="W851" s="337"/>
      <c r="X851" s="513"/>
      <c r="AA851" s="337"/>
      <c r="AB851" s="17"/>
      <c r="AC851" s="180"/>
      <c r="AD851" s="180"/>
      <c r="AE851" s="514"/>
      <c r="AF851" s="17"/>
      <c r="AI851" s="337"/>
      <c r="AM851" s="337"/>
      <c r="AQ851" s="337"/>
    </row>
    <row r="852" spans="2:43">
      <c r="B852" s="541"/>
      <c r="D852" s="337"/>
      <c r="G852" s="337"/>
      <c r="K852" s="337"/>
      <c r="O852" s="337"/>
      <c r="S852" s="337"/>
      <c r="T852" s="14"/>
      <c r="W852" s="337"/>
      <c r="X852" s="513"/>
      <c r="AA852" s="337"/>
      <c r="AB852" s="17"/>
      <c r="AC852" s="180"/>
      <c r="AD852" s="180"/>
      <c r="AE852" s="514"/>
      <c r="AF852" s="17"/>
      <c r="AI852" s="337"/>
      <c r="AM852" s="337"/>
      <c r="AQ852" s="337"/>
    </row>
    <row r="853" spans="2:43">
      <c r="B853" s="541"/>
      <c r="D853" s="337"/>
      <c r="G853" s="337"/>
      <c r="K853" s="337"/>
      <c r="O853" s="337"/>
      <c r="S853" s="337"/>
      <c r="T853" s="14"/>
      <c r="W853" s="337"/>
      <c r="X853" s="513"/>
      <c r="AA853" s="337"/>
      <c r="AB853" s="17"/>
      <c r="AC853" s="180"/>
      <c r="AD853" s="180"/>
      <c r="AE853" s="514"/>
      <c r="AF853" s="17"/>
      <c r="AI853" s="337"/>
      <c r="AM853" s="337"/>
      <c r="AQ853" s="337"/>
    </row>
    <row r="854" spans="2:43">
      <c r="B854" s="541"/>
      <c r="D854" s="337"/>
      <c r="G854" s="337"/>
      <c r="K854" s="337"/>
      <c r="O854" s="337"/>
      <c r="S854" s="337"/>
      <c r="T854" s="14"/>
      <c r="W854" s="337"/>
      <c r="X854" s="513"/>
      <c r="AA854" s="337"/>
      <c r="AB854" s="17"/>
      <c r="AC854" s="180"/>
      <c r="AD854" s="180"/>
      <c r="AE854" s="514"/>
      <c r="AF854" s="17"/>
      <c r="AI854" s="337"/>
      <c r="AM854" s="337"/>
      <c r="AQ854" s="337"/>
    </row>
    <row r="855" spans="2:43">
      <c r="B855" s="541"/>
      <c r="D855" s="337"/>
      <c r="G855" s="337"/>
      <c r="K855" s="337"/>
      <c r="O855" s="337"/>
      <c r="S855" s="337"/>
      <c r="T855" s="14"/>
      <c r="W855" s="337"/>
      <c r="X855" s="513"/>
      <c r="AA855" s="337"/>
      <c r="AB855" s="17"/>
      <c r="AC855" s="180"/>
      <c r="AD855" s="180"/>
      <c r="AE855" s="514"/>
      <c r="AF855" s="17"/>
      <c r="AI855" s="337"/>
      <c r="AM855" s="337"/>
      <c r="AQ855" s="337"/>
    </row>
    <row r="856" spans="2:43">
      <c r="B856" s="541"/>
      <c r="D856" s="337"/>
      <c r="G856" s="337"/>
      <c r="K856" s="337"/>
      <c r="O856" s="337"/>
      <c r="S856" s="337"/>
      <c r="T856" s="14"/>
      <c r="W856" s="337"/>
      <c r="X856" s="513"/>
      <c r="AA856" s="337"/>
      <c r="AB856" s="17"/>
      <c r="AC856" s="180"/>
      <c r="AD856" s="180"/>
      <c r="AE856" s="514"/>
      <c r="AF856" s="17"/>
      <c r="AI856" s="337"/>
      <c r="AM856" s="337"/>
      <c r="AQ856" s="337"/>
    </row>
    <row r="857" spans="2:43">
      <c r="B857" s="541"/>
      <c r="D857" s="337"/>
      <c r="G857" s="337"/>
      <c r="K857" s="337"/>
      <c r="O857" s="337"/>
      <c r="S857" s="337"/>
      <c r="T857" s="14"/>
      <c r="W857" s="337"/>
      <c r="X857" s="513"/>
      <c r="AA857" s="337"/>
      <c r="AB857" s="17"/>
      <c r="AC857" s="180"/>
      <c r="AD857" s="180"/>
      <c r="AE857" s="514"/>
      <c r="AF857" s="17"/>
      <c r="AI857" s="337"/>
      <c r="AM857" s="337"/>
      <c r="AQ857" s="337"/>
    </row>
    <row r="858" spans="2:43">
      <c r="B858" s="541"/>
      <c r="D858" s="337"/>
      <c r="G858" s="337"/>
      <c r="K858" s="337"/>
      <c r="O858" s="337"/>
      <c r="S858" s="337"/>
      <c r="T858" s="14"/>
      <c r="W858" s="337"/>
      <c r="X858" s="513"/>
      <c r="AA858" s="337"/>
      <c r="AB858" s="17"/>
      <c r="AC858" s="180"/>
      <c r="AD858" s="180"/>
      <c r="AE858" s="514"/>
      <c r="AF858" s="17"/>
      <c r="AI858" s="337"/>
      <c r="AM858" s="337"/>
      <c r="AQ858" s="337"/>
    </row>
    <row r="859" spans="2:43">
      <c r="B859" s="541"/>
      <c r="D859" s="337"/>
      <c r="G859" s="337"/>
      <c r="K859" s="337"/>
      <c r="O859" s="337"/>
      <c r="S859" s="337"/>
      <c r="T859" s="14"/>
      <c r="W859" s="337"/>
      <c r="X859" s="513"/>
      <c r="AA859" s="337"/>
      <c r="AB859" s="17"/>
      <c r="AC859" s="180"/>
      <c r="AD859" s="180"/>
      <c r="AE859" s="514"/>
      <c r="AF859" s="17"/>
      <c r="AI859" s="337"/>
      <c r="AM859" s="337"/>
      <c r="AQ859" s="337"/>
    </row>
    <row r="860" spans="2:43">
      <c r="B860" s="541"/>
      <c r="D860" s="337"/>
      <c r="G860" s="337"/>
      <c r="K860" s="337"/>
      <c r="O860" s="337"/>
      <c r="S860" s="337"/>
      <c r="T860" s="14"/>
      <c r="W860" s="337"/>
      <c r="X860" s="513"/>
      <c r="AA860" s="337"/>
      <c r="AB860" s="17"/>
      <c r="AC860" s="180"/>
      <c r="AD860" s="180"/>
      <c r="AE860" s="514"/>
      <c r="AF860" s="17"/>
      <c r="AI860" s="337"/>
      <c r="AM860" s="337"/>
      <c r="AQ860" s="337"/>
    </row>
    <row r="861" spans="2:43">
      <c r="B861" s="541"/>
      <c r="D861" s="337"/>
      <c r="G861" s="337"/>
      <c r="K861" s="337"/>
      <c r="O861" s="337"/>
      <c r="S861" s="337"/>
      <c r="T861" s="14"/>
      <c r="W861" s="337"/>
      <c r="X861" s="513"/>
      <c r="AA861" s="337"/>
      <c r="AB861" s="17"/>
      <c r="AC861" s="180"/>
      <c r="AD861" s="180"/>
      <c r="AE861" s="514"/>
      <c r="AF861" s="17"/>
      <c r="AI861" s="337"/>
      <c r="AM861" s="337"/>
      <c r="AQ861" s="337"/>
    </row>
    <row r="862" spans="2:43">
      <c r="B862" s="541"/>
      <c r="D862" s="337"/>
      <c r="G862" s="337"/>
      <c r="K862" s="337"/>
      <c r="O862" s="337"/>
      <c r="S862" s="337"/>
      <c r="T862" s="14"/>
      <c r="W862" s="337"/>
      <c r="X862" s="513"/>
      <c r="AA862" s="337"/>
      <c r="AB862" s="17"/>
      <c r="AC862" s="180"/>
      <c r="AD862" s="180"/>
      <c r="AE862" s="514"/>
      <c r="AF862" s="17"/>
      <c r="AI862" s="337"/>
      <c r="AM862" s="337"/>
      <c r="AQ862" s="337"/>
    </row>
    <row r="863" spans="2:43">
      <c r="B863" s="541"/>
      <c r="D863" s="337"/>
      <c r="G863" s="337"/>
      <c r="K863" s="337"/>
      <c r="O863" s="337"/>
      <c r="S863" s="337"/>
      <c r="T863" s="14"/>
      <c r="W863" s="337"/>
      <c r="X863" s="513"/>
      <c r="AA863" s="337"/>
      <c r="AB863" s="17"/>
      <c r="AC863" s="180"/>
      <c r="AD863" s="180"/>
      <c r="AE863" s="514"/>
      <c r="AF863" s="17"/>
      <c r="AI863" s="337"/>
      <c r="AM863" s="337"/>
      <c r="AQ863" s="337"/>
    </row>
    <row r="864" spans="2:43">
      <c r="B864" s="541"/>
      <c r="D864" s="337"/>
      <c r="G864" s="337"/>
      <c r="K864" s="337"/>
      <c r="O864" s="337"/>
      <c r="S864" s="337"/>
      <c r="T864" s="14"/>
      <c r="W864" s="337"/>
      <c r="X864" s="513"/>
      <c r="AA864" s="337"/>
      <c r="AB864" s="17"/>
      <c r="AC864" s="180"/>
      <c r="AD864" s="180"/>
      <c r="AE864" s="514"/>
      <c r="AF864" s="17"/>
      <c r="AI864" s="337"/>
      <c r="AM864" s="337"/>
      <c r="AQ864" s="337"/>
    </row>
    <row r="865" spans="2:43">
      <c r="B865" s="541"/>
      <c r="D865" s="337"/>
      <c r="G865" s="337"/>
      <c r="K865" s="337"/>
      <c r="O865" s="337"/>
      <c r="S865" s="337"/>
      <c r="T865" s="14"/>
      <c r="W865" s="337"/>
      <c r="X865" s="513"/>
      <c r="AA865" s="337"/>
      <c r="AB865" s="17"/>
      <c r="AC865" s="180"/>
      <c r="AD865" s="180"/>
      <c r="AE865" s="514"/>
      <c r="AF865" s="17"/>
      <c r="AI865" s="337"/>
      <c r="AM865" s="337"/>
      <c r="AQ865" s="337"/>
    </row>
    <row r="866" spans="2:43">
      <c r="B866" s="541"/>
      <c r="D866" s="337"/>
      <c r="G866" s="337"/>
      <c r="K866" s="337"/>
      <c r="O866" s="337"/>
      <c r="S866" s="337"/>
      <c r="T866" s="14"/>
      <c r="W866" s="337"/>
      <c r="X866" s="513"/>
      <c r="AA866" s="337"/>
      <c r="AB866" s="17"/>
      <c r="AC866" s="180"/>
      <c r="AD866" s="180"/>
      <c r="AE866" s="514"/>
      <c r="AF866" s="17"/>
      <c r="AI866" s="337"/>
      <c r="AM866" s="337"/>
      <c r="AQ866" s="337"/>
    </row>
    <row r="867" spans="2:43">
      <c r="B867" s="541"/>
      <c r="D867" s="337"/>
      <c r="G867" s="337"/>
      <c r="K867" s="337"/>
      <c r="O867" s="337"/>
      <c r="S867" s="337"/>
      <c r="T867" s="14"/>
      <c r="W867" s="337"/>
      <c r="X867" s="513"/>
      <c r="AA867" s="337"/>
      <c r="AB867" s="17"/>
      <c r="AC867" s="180"/>
      <c r="AD867" s="180"/>
      <c r="AE867" s="514"/>
      <c r="AF867" s="17"/>
      <c r="AI867" s="337"/>
      <c r="AM867" s="337"/>
      <c r="AQ867" s="337"/>
    </row>
    <row r="868" spans="2:43">
      <c r="B868" s="541"/>
      <c r="D868" s="337"/>
      <c r="G868" s="337"/>
      <c r="K868" s="337"/>
      <c r="O868" s="337"/>
      <c r="S868" s="337"/>
      <c r="T868" s="14"/>
      <c r="W868" s="337"/>
      <c r="X868" s="513"/>
      <c r="AA868" s="337"/>
      <c r="AB868" s="17"/>
      <c r="AC868" s="180"/>
      <c r="AD868" s="180"/>
      <c r="AE868" s="514"/>
      <c r="AF868" s="17"/>
      <c r="AI868" s="337"/>
      <c r="AM868" s="337"/>
      <c r="AQ868" s="337"/>
    </row>
    <row r="869" spans="2:43">
      <c r="B869" s="541"/>
      <c r="D869" s="337"/>
      <c r="G869" s="337"/>
      <c r="K869" s="337"/>
      <c r="O869" s="337"/>
      <c r="S869" s="337"/>
      <c r="T869" s="14"/>
      <c r="W869" s="337"/>
      <c r="X869" s="513"/>
      <c r="AA869" s="337"/>
      <c r="AB869" s="17"/>
      <c r="AC869" s="180"/>
      <c r="AD869" s="180"/>
      <c r="AE869" s="514"/>
      <c r="AF869" s="17"/>
      <c r="AI869" s="337"/>
      <c r="AM869" s="337"/>
      <c r="AQ869" s="337"/>
    </row>
    <row r="870" spans="2:43">
      <c r="B870" s="541"/>
      <c r="D870" s="337"/>
      <c r="G870" s="337"/>
      <c r="K870" s="337"/>
      <c r="O870" s="337"/>
      <c r="S870" s="337"/>
      <c r="T870" s="14"/>
      <c r="W870" s="337"/>
      <c r="X870" s="513"/>
      <c r="AA870" s="337"/>
      <c r="AB870" s="17"/>
      <c r="AC870" s="180"/>
      <c r="AD870" s="180"/>
      <c r="AE870" s="514"/>
      <c r="AF870" s="17"/>
      <c r="AI870" s="337"/>
      <c r="AM870" s="337"/>
      <c r="AQ870" s="337"/>
    </row>
    <row r="871" spans="2:43">
      <c r="B871" s="541"/>
      <c r="D871" s="337"/>
      <c r="G871" s="337"/>
      <c r="K871" s="337"/>
      <c r="O871" s="337"/>
      <c r="S871" s="337"/>
      <c r="T871" s="14"/>
      <c r="W871" s="337"/>
      <c r="X871" s="513"/>
      <c r="AA871" s="337"/>
      <c r="AB871" s="17"/>
      <c r="AC871" s="180"/>
      <c r="AD871" s="180"/>
      <c r="AE871" s="514"/>
      <c r="AF871" s="17"/>
      <c r="AI871" s="337"/>
      <c r="AM871" s="337"/>
      <c r="AQ871" s="337"/>
    </row>
    <row r="872" spans="2:43">
      <c r="B872" s="541"/>
      <c r="D872" s="337"/>
      <c r="G872" s="337"/>
      <c r="K872" s="337"/>
      <c r="O872" s="337"/>
      <c r="S872" s="337"/>
      <c r="T872" s="14"/>
      <c r="W872" s="337"/>
      <c r="X872" s="513"/>
      <c r="AA872" s="337"/>
      <c r="AB872" s="17"/>
      <c r="AC872" s="180"/>
      <c r="AD872" s="180"/>
      <c r="AE872" s="514"/>
      <c r="AF872" s="17"/>
      <c r="AI872" s="337"/>
      <c r="AM872" s="337"/>
      <c r="AQ872" s="337"/>
    </row>
    <row r="873" spans="2:43">
      <c r="B873" s="541"/>
      <c r="D873" s="337"/>
      <c r="G873" s="337"/>
      <c r="K873" s="337"/>
      <c r="O873" s="337"/>
      <c r="S873" s="337"/>
      <c r="T873" s="14"/>
      <c r="W873" s="337"/>
      <c r="X873" s="513"/>
      <c r="AA873" s="337"/>
      <c r="AB873" s="17"/>
      <c r="AC873" s="180"/>
      <c r="AD873" s="180"/>
      <c r="AE873" s="514"/>
      <c r="AF873" s="17"/>
      <c r="AI873" s="337"/>
      <c r="AM873" s="337"/>
      <c r="AQ873" s="337"/>
    </row>
    <row r="874" spans="2:43">
      <c r="B874" s="541"/>
      <c r="D874" s="337"/>
      <c r="G874" s="337"/>
      <c r="K874" s="337"/>
      <c r="O874" s="337"/>
      <c r="S874" s="337"/>
      <c r="T874" s="14"/>
      <c r="W874" s="337"/>
      <c r="X874" s="513"/>
      <c r="AA874" s="337"/>
      <c r="AB874" s="17"/>
      <c r="AC874" s="180"/>
      <c r="AD874" s="180"/>
      <c r="AE874" s="514"/>
      <c r="AF874" s="17"/>
      <c r="AI874" s="337"/>
      <c r="AM874" s="337"/>
      <c r="AQ874" s="337"/>
    </row>
    <row r="875" spans="2:43">
      <c r="B875" s="541"/>
      <c r="D875" s="337"/>
      <c r="G875" s="337"/>
      <c r="K875" s="337"/>
      <c r="O875" s="337"/>
      <c r="S875" s="337"/>
      <c r="T875" s="14"/>
      <c r="W875" s="337"/>
      <c r="X875" s="513"/>
      <c r="AA875" s="337"/>
      <c r="AB875" s="17"/>
      <c r="AC875" s="180"/>
      <c r="AD875" s="180"/>
      <c r="AE875" s="514"/>
      <c r="AF875" s="17"/>
      <c r="AI875" s="337"/>
      <c r="AM875" s="337"/>
      <c r="AQ875" s="337"/>
    </row>
    <row r="876" spans="2:43">
      <c r="B876" s="541"/>
      <c r="D876" s="337"/>
      <c r="G876" s="337"/>
      <c r="K876" s="337"/>
      <c r="O876" s="337"/>
      <c r="S876" s="337"/>
      <c r="T876" s="14"/>
      <c r="W876" s="337"/>
      <c r="X876" s="513"/>
      <c r="AA876" s="337"/>
      <c r="AB876" s="17"/>
      <c r="AC876" s="180"/>
      <c r="AD876" s="180"/>
      <c r="AE876" s="514"/>
      <c r="AF876" s="17"/>
      <c r="AI876" s="337"/>
      <c r="AM876" s="337"/>
      <c r="AQ876" s="337"/>
    </row>
    <row r="877" spans="2:43">
      <c r="B877" s="541"/>
      <c r="D877" s="337"/>
      <c r="G877" s="337"/>
      <c r="K877" s="337"/>
      <c r="O877" s="337"/>
      <c r="S877" s="337"/>
      <c r="T877" s="14"/>
      <c r="W877" s="337"/>
      <c r="X877" s="513"/>
      <c r="AA877" s="337"/>
      <c r="AB877" s="17"/>
      <c r="AC877" s="180"/>
      <c r="AD877" s="180"/>
      <c r="AE877" s="514"/>
      <c r="AF877" s="17"/>
      <c r="AI877" s="337"/>
      <c r="AM877" s="337"/>
      <c r="AQ877" s="337"/>
    </row>
    <row r="878" spans="2:43">
      <c r="B878" s="541"/>
      <c r="D878" s="337"/>
      <c r="G878" s="337"/>
      <c r="K878" s="337"/>
      <c r="O878" s="337"/>
      <c r="S878" s="337"/>
      <c r="T878" s="14"/>
      <c r="W878" s="337"/>
      <c r="X878" s="513"/>
      <c r="AA878" s="337"/>
      <c r="AB878" s="17"/>
      <c r="AC878" s="180"/>
      <c r="AD878" s="180"/>
      <c r="AE878" s="514"/>
      <c r="AF878" s="17"/>
      <c r="AI878" s="337"/>
      <c r="AM878" s="337"/>
      <c r="AQ878" s="337"/>
    </row>
    <row r="879" spans="2:43">
      <c r="B879" s="541"/>
      <c r="D879" s="337"/>
      <c r="G879" s="337"/>
      <c r="K879" s="337"/>
      <c r="O879" s="337"/>
      <c r="S879" s="337"/>
      <c r="T879" s="14"/>
      <c r="W879" s="337"/>
      <c r="X879" s="513"/>
      <c r="AA879" s="337"/>
      <c r="AB879" s="17"/>
      <c r="AC879" s="180"/>
      <c r="AD879" s="180"/>
      <c r="AE879" s="514"/>
      <c r="AF879" s="17"/>
      <c r="AI879" s="337"/>
      <c r="AM879" s="337"/>
      <c r="AQ879" s="337"/>
    </row>
    <row r="880" spans="2:43">
      <c r="B880" s="541"/>
      <c r="D880" s="337"/>
      <c r="G880" s="337"/>
      <c r="K880" s="337"/>
      <c r="O880" s="337"/>
      <c r="S880" s="337"/>
      <c r="T880" s="14"/>
      <c r="W880" s="337"/>
      <c r="X880" s="513"/>
      <c r="AA880" s="337"/>
      <c r="AB880" s="17"/>
      <c r="AC880" s="180"/>
      <c r="AD880" s="180"/>
      <c r="AE880" s="514"/>
      <c r="AF880" s="17"/>
      <c r="AI880" s="337"/>
      <c r="AM880" s="337"/>
      <c r="AQ880" s="337"/>
    </row>
    <row r="881" spans="2:43">
      <c r="B881" s="541"/>
      <c r="D881" s="337"/>
      <c r="G881" s="337"/>
      <c r="K881" s="337"/>
      <c r="O881" s="337"/>
      <c r="S881" s="337"/>
      <c r="T881" s="14"/>
      <c r="W881" s="337"/>
      <c r="X881" s="513"/>
      <c r="AA881" s="337"/>
      <c r="AB881" s="17"/>
      <c r="AC881" s="180"/>
      <c r="AD881" s="180"/>
      <c r="AE881" s="514"/>
      <c r="AF881" s="17"/>
      <c r="AI881" s="337"/>
      <c r="AM881" s="337"/>
      <c r="AQ881" s="337"/>
    </row>
    <row r="882" spans="2:43">
      <c r="B882" s="541"/>
      <c r="D882" s="337"/>
      <c r="G882" s="337"/>
      <c r="K882" s="337"/>
      <c r="O882" s="337"/>
      <c r="S882" s="337"/>
      <c r="T882" s="14"/>
      <c r="W882" s="337"/>
      <c r="X882" s="513"/>
      <c r="AA882" s="337"/>
      <c r="AB882" s="17"/>
      <c r="AC882" s="180"/>
      <c r="AD882" s="180"/>
      <c r="AE882" s="514"/>
      <c r="AF882" s="17"/>
      <c r="AI882" s="337"/>
      <c r="AM882" s="337"/>
      <c r="AQ882" s="337"/>
    </row>
    <row r="883" spans="2:43">
      <c r="B883" s="541"/>
      <c r="D883" s="337"/>
      <c r="G883" s="337"/>
      <c r="K883" s="337"/>
      <c r="O883" s="337"/>
      <c r="S883" s="337"/>
      <c r="T883" s="14"/>
      <c r="W883" s="337"/>
      <c r="X883" s="513"/>
      <c r="AA883" s="337"/>
      <c r="AB883" s="17"/>
      <c r="AC883" s="180"/>
      <c r="AD883" s="180"/>
      <c r="AE883" s="514"/>
      <c r="AF883" s="17"/>
      <c r="AI883" s="337"/>
      <c r="AM883" s="337"/>
      <c r="AQ883" s="337"/>
    </row>
    <row r="884" spans="2:43">
      <c r="B884" s="541"/>
      <c r="D884" s="337"/>
      <c r="G884" s="337"/>
      <c r="K884" s="337"/>
      <c r="O884" s="337"/>
      <c r="S884" s="337"/>
      <c r="T884" s="14"/>
      <c r="W884" s="337"/>
      <c r="X884" s="513"/>
      <c r="AA884" s="337"/>
      <c r="AB884" s="17"/>
      <c r="AC884" s="180"/>
      <c r="AD884" s="180"/>
      <c r="AE884" s="514"/>
      <c r="AF884" s="17"/>
      <c r="AI884" s="337"/>
      <c r="AM884" s="337"/>
      <c r="AQ884" s="337"/>
    </row>
    <row r="885" spans="2:43">
      <c r="B885" s="541"/>
      <c r="D885" s="337"/>
      <c r="G885" s="337"/>
      <c r="K885" s="337"/>
      <c r="O885" s="337"/>
      <c r="S885" s="337"/>
      <c r="T885" s="14"/>
      <c r="W885" s="337"/>
      <c r="X885" s="513"/>
      <c r="AA885" s="337"/>
      <c r="AB885" s="17"/>
      <c r="AC885" s="180"/>
      <c r="AD885" s="180"/>
      <c r="AE885" s="514"/>
      <c r="AF885" s="17"/>
      <c r="AI885" s="337"/>
      <c r="AM885" s="337"/>
      <c r="AQ885" s="337"/>
    </row>
    <row r="886" spans="2:43">
      <c r="B886" s="541"/>
      <c r="D886" s="337"/>
      <c r="G886" s="337"/>
      <c r="K886" s="337"/>
      <c r="O886" s="337"/>
      <c r="S886" s="337"/>
      <c r="T886" s="14"/>
      <c r="W886" s="337"/>
      <c r="X886" s="513"/>
      <c r="AA886" s="337"/>
      <c r="AB886" s="17"/>
      <c r="AC886" s="180"/>
      <c r="AD886" s="180"/>
      <c r="AE886" s="514"/>
      <c r="AF886" s="17"/>
      <c r="AI886" s="337"/>
      <c r="AM886" s="337"/>
      <c r="AQ886" s="337"/>
    </row>
    <row r="887" spans="2:43">
      <c r="B887" s="541"/>
      <c r="D887" s="337"/>
      <c r="G887" s="337"/>
      <c r="K887" s="337"/>
      <c r="O887" s="337"/>
      <c r="S887" s="337"/>
      <c r="T887" s="14"/>
      <c r="W887" s="337"/>
      <c r="X887" s="513"/>
      <c r="AA887" s="337"/>
      <c r="AB887" s="17"/>
      <c r="AC887" s="180"/>
      <c r="AD887" s="180"/>
      <c r="AE887" s="514"/>
      <c r="AF887" s="17"/>
      <c r="AI887" s="337"/>
      <c r="AM887" s="337"/>
      <c r="AQ887" s="337"/>
    </row>
    <row r="888" spans="2:43">
      <c r="B888" s="541"/>
      <c r="D888" s="337"/>
      <c r="G888" s="337"/>
      <c r="K888" s="337"/>
      <c r="O888" s="337"/>
      <c r="S888" s="337"/>
      <c r="T888" s="14"/>
      <c r="W888" s="337"/>
      <c r="X888" s="513"/>
      <c r="AA888" s="337"/>
      <c r="AB888" s="17"/>
      <c r="AC888" s="180"/>
      <c r="AD888" s="180"/>
      <c r="AE888" s="514"/>
      <c r="AF888" s="17"/>
      <c r="AI888" s="337"/>
      <c r="AM888" s="337"/>
      <c r="AQ888" s="337"/>
    </row>
    <row r="889" spans="2:43">
      <c r="B889" s="541"/>
      <c r="D889" s="337"/>
      <c r="G889" s="337"/>
      <c r="K889" s="337"/>
      <c r="O889" s="337"/>
      <c r="S889" s="337"/>
      <c r="T889" s="14"/>
      <c r="W889" s="337"/>
      <c r="X889" s="513"/>
      <c r="AA889" s="337"/>
      <c r="AB889" s="17"/>
      <c r="AC889" s="180"/>
      <c r="AD889" s="180"/>
      <c r="AE889" s="514"/>
      <c r="AF889" s="17"/>
      <c r="AI889" s="337"/>
      <c r="AM889" s="337"/>
      <c r="AQ889" s="337"/>
    </row>
    <row r="890" spans="2:43">
      <c r="B890" s="541"/>
      <c r="D890" s="337"/>
      <c r="G890" s="337"/>
      <c r="K890" s="337"/>
      <c r="O890" s="337"/>
      <c r="S890" s="337"/>
      <c r="T890" s="14"/>
      <c r="W890" s="337"/>
      <c r="X890" s="513"/>
      <c r="AA890" s="337"/>
      <c r="AB890" s="17"/>
      <c r="AC890" s="180"/>
      <c r="AD890" s="180"/>
      <c r="AE890" s="514"/>
      <c r="AF890" s="17"/>
      <c r="AI890" s="337"/>
      <c r="AM890" s="337"/>
      <c r="AQ890" s="337"/>
    </row>
    <row r="891" spans="2:43">
      <c r="B891" s="541"/>
      <c r="D891" s="337"/>
      <c r="G891" s="337"/>
      <c r="K891" s="337"/>
      <c r="O891" s="337"/>
      <c r="S891" s="337"/>
      <c r="T891" s="14"/>
      <c r="W891" s="337"/>
      <c r="X891" s="513"/>
      <c r="AA891" s="337"/>
      <c r="AB891" s="17"/>
      <c r="AC891" s="180"/>
      <c r="AD891" s="180"/>
      <c r="AE891" s="514"/>
      <c r="AF891" s="17"/>
      <c r="AI891" s="337"/>
      <c r="AM891" s="337"/>
      <c r="AQ891" s="337"/>
    </row>
    <row r="892" spans="2:43">
      <c r="B892" s="541"/>
      <c r="D892" s="337"/>
      <c r="G892" s="337"/>
      <c r="K892" s="337"/>
      <c r="O892" s="337"/>
      <c r="S892" s="337"/>
      <c r="T892" s="14"/>
      <c r="W892" s="337"/>
      <c r="X892" s="513"/>
      <c r="AA892" s="337"/>
      <c r="AB892" s="17"/>
      <c r="AC892" s="180"/>
      <c r="AD892" s="180"/>
      <c r="AE892" s="514"/>
      <c r="AF892" s="17"/>
      <c r="AI892" s="337"/>
      <c r="AM892" s="337"/>
      <c r="AQ892" s="337"/>
    </row>
    <row r="893" spans="2:43">
      <c r="B893" s="541"/>
      <c r="D893" s="337"/>
      <c r="G893" s="337"/>
      <c r="K893" s="337"/>
      <c r="O893" s="337"/>
      <c r="S893" s="337"/>
      <c r="T893" s="14"/>
      <c r="W893" s="337"/>
      <c r="X893" s="513"/>
      <c r="AA893" s="337"/>
      <c r="AB893" s="17"/>
      <c r="AC893" s="180"/>
      <c r="AD893" s="180"/>
      <c r="AE893" s="514"/>
      <c r="AF893" s="17"/>
      <c r="AI893" s="337"/>
      <c r="AM893" s="337"/>
      <c r="AQ893" s="337"/>
    </row>
    <row r="894" spans="2:43">
      <c r="B894" s="541"/>
      <c r="D894" s="337"/>
      <c r="G894" s="337"/>
      <c r="K894" s="337"/>
      <c r="O894" s="337"/>
      <c r="S894" s="337"/>
      <c r="T894" s="14"/>
      <c r="W894" s="337"/>
      <c r="X894" s="513"/>
      <c r="AA894" s="337"/>
      <c r="AB894" s="17"/>
      <c r="AC894" s="180"/>
      <c r="AD894" s="180"/>
      <c r="AE894" s="514"/>
      <c r="AF894" s="17"/>
      <c r="AI894" s="337"/>
      <c r="AM894" s="337"/>
      <c r="AQ894" s="337"/>
    </row>
    <row r="895" spans="2:43">
      <c r="B895" s="541"/>
      <c r="D895" s="337"/>
      <c r="G895" s="337"/>
      <c r="K895" s="337"/>
      <c r="O895" s="337"/>
      <c r="S895" s="337"/>
      <c r="T895" s="14"/>
      <c r="W895" s="337"/>
      <c r="X895" s="513"/>
      <c r="AA895" s="337"/>
      <c r="AB895" s="17"/>
      <c r="AC895" s="180"/>
      <c r="AD895" s="180"/>
      <c r="AE895" s="514"/>
      <c r="AF895" s="17"/>
      <c r="AI895" s="337"/>
      <c r="AM895" s="337"/>
      <c r="AQ895" s="337"/>
    </row>
    <row r="896" spans="2:43">
      <c r="B896" s="541"/>
      <c r="D896" s="337"/>
      <c r="G896" s="337"/>
      <c r="K896" s="337"/>
      <c r="O896" s="337"/>
      <c r="S896" s="337"/>
      <c r="T896" s="14"/>
      <c r="W896" s="337"/>
      <c r="X896" s="513"/>
      <c r="AA896" s="337"/>
      <c r="AB896" s="17"/>
      <c r="AC896" s="180"/>
      <c r="AD896" s="180"/>
      <c r="AE896" s="514"/>
      <c r="AF896" s="17"/>
      <c r="AI896" s="337"/>
      <c r="AM896" s="337"/>
      <c r="AQ896" s="337"/>
    </row>
    <row r="897" spans="2:43">
      <c r="B897" s="541"/>
      <c r="D897" s="337"/>
      <c r="G897" s="337"/>
      <c r="K897" s="337"/>
      <c r="O897" s="337"/>
      <c r="S897" s="337"/>
      <c r="T897" s="14"/>
      <c r="W897" s="337"/>
      <c r="X897" s="513"/>
      <c r="AA897" s="337"/>
      <c r="AB897" s="17"/>
      <c r="AC897" s="180"/>
      <c r="AD897" s="180"/>
      <c r="AE897" s="514"/>
      <c r="AF897" s="17"/>
      <c r="AI897" s="337"/>
      <c r="AM897" s="337"/>
      <c r="AQ897" s="337"/>
    </row>
    <row r="898" spans="2:43">
      <c r="B898" s="541"/>
      <c r="D898" s="337"/>
      <c r="G898" s="337"/>
      <c r="K898" s="337"/>
      <c r="O898" s="337"/>
      <c r="S898" s="337"/>
      <c r="T898" s="14"/>
      <c r="W898" s="337"/>
      <c r="X898" s="513"/>
      <c r="AA898" s="337"/>
      <c r="AB898" s="17"/>
      <c r="AC898" s="180"/>
      <c r="AD898" s="180"/>
      <c r="AE898" s="514"/>
      <c r="AF898" s="17"/>
      <c r="AI898" s="337"/>
      <c r="AM898" s="337"/>
      <c r="AQ898" s="337"/>
    </row>
    <row r="899" spans="2:43">
      <c r="B899" s="541"/>
      <c r="D899" s="337"/>
      <c r="G899" s="337"/>
      <c r="K899" s="337"/>
      <c r="O899" s="337"/>
      <c r="S899" s="337"/>
      <c r="T899" s="14"/>
      <c r="W899" s="337"/>
      <c r="X899" s="513"/>
      <c r="AA899" s="337"/>
      <c r="AB899" s="17"/>
      <c r="AC899" s="180"/>
      <c r="AD899" s="180"/>
      <c r="AE899" s="514"/>
      <c r="AF899" s="17"/>
      <c r="AI899" s="337"/>
      <c r="AM899" s="337"/>
      <c r="AQ899" s="337"/>
    </row>
    <row r="900" spans="2:43">
      <c r="B900" s="541"/>
      <c r="D900" s="337"/>
      <c r="G900" s="337"/>
      <c r="K900" s="337"/>
      <c r="O900" s="337"/>
      <c r="S900" s="337"/>
      <c r="T900" s="14"/>
      <c r="W900" s="337"/>
      <c r="X900" s="513"/>
      <c r="AA900" s="337"/>
      <c r="AB900" s="17"/>
      <c r="AC900" s="180"/>
      <c r="AD900" s="180"/>
      <c r="AE900" s="514"/>
      <c r="AF900" s="17"/>
      <c r="AI900" s="337"/>
      <c r="AM900" s="337"/>
      <c r="AQ900" s="337"/>
    </row>
    <row r="901" spans="2:43">
      <c r="B901" s="541"/>
      <c r="D901" s="337"/>
      <c r="G901" s="337"/>
      <c r="K901" s="337"/>
      <c r="O901" s="337"/>
      <c r="S901" s="337"/>
      <c r="T901" s="14"/>
      <c r="W901" s="337"/>
      <c r="X901" s="513"/>
      <c r="AA901" s="337"/>
      <c r="AB901" s="17"/>
      <c r="AC901" s="180"/>
      <c r="AD901" s="180"/>
      <c r="AE901" s="514"/>
      <c r="AF901" s="17"/>
      <c r="AI901" s="337"/>
      <c r="AM901" s="337"/>
      <c r="AQ901" s="337"/>
    </row>
    <row r="902" spans="2:43">
      <c r="B902" s="541"/>
      <c r="D902" s="337"/>
      <c r="G902" s="337"/>
      <c r="K902" s="337"/>
      <c r="O902" s="337"/>
      <c r="S902" s="337"/>
      <c r="T902" s="14"/>
      <c r="W902" s="337"/>
      <c r="X902" s="513"/>
      <c r="AA902" s="337"/>
      <c r="AB902" s="17"/>
      <c r="AC902" s="180"/>
      <c r="AD902" s="180"/>
      <c r="AE902" s="514"/>
      <c r="AF902" s="17"/>
      <c r="AI902" s="337"/>
      <c r="AM902" s="337"/>
      <c r="AQ902" s="337"/>
    </row>
    <row r="903" spans="2:43">
      <c r="B903" s="541"/>
      <c r="D903" s="337"/>
      <c r="G903" s="337"/>
      <c r="K903" s="337"/>
      <c r="O903" s="337"/>
      <c r="S903" s="337"/>
      <c r="T903" s="14"/>
      <c r="W903" s="337"/>
      <c r="X903" s="513"/>
      <c r="AA903" s="337"/>
      <c r="AB903" s="17"/>
      <c r="AC903" s="180"/>
      <c r="AD903" s="180"/>
      <c r="AE903" s="514"/>
      <c r="AF903" s="17"/>
      <c r="AI903" s="337"/>
      <c r="AM903" s="337"/>
      <c r="AQ903" s="337"/>
    </row>
    <row r="904" spans="2:43">
      <c r="B904" s="541"/>
      <c r="D904" s="337"/>
      <c r="G904" s="337"/>
      <c r="K904" s="337"/>
      <c r="O904" s="337"/>
      <c r="S904" s="337"/>
      <c r="T904" s="14"/>
      <c r="W904" s="337"/>
      <c r="X904" s="513"/>
      <c r="AA904" s="337"/>
      <c r="AB904" s="17"/>
      <c r="AC904" s="180"/>
      <c r="AD904" s="180"/>
      <c r="AE904" s="514"/>
      <c r="AF904" s="17"/>
      <c r="AI904" s="337"/>
      <c r="AM904" s="337"/>
      <c r="AQ904" s="337"/>
    </row>
    <row r="905" spans="2:43">
      <c r="B905" s="541"/>
      <c r="D905" s="337"/>
      <c r="G905" s="337"/>
      <c r="K905" s="337"/>
      <c r="O905" s="337"/>
      <c r="S905" s="337"/>
      <c r="T905" s="14"/>
      <c r="W905" s="337"/>
      <c r="X905" s="513"/>
      <c r="AA905" s="337"/>
      <c r="AB905" s="17"/>
      <c r="AC905" s="180"/>
      <c r="AD905" s="180"/>
      <c r="AE905" s="514"/>
      <c r="AF905" s="17"/>
      <c r="AI905" s="337"/>
      <c r="AM905" s="337"/>
      <c r="AQ905" s="337"/>
    </row>
    <row r="906" spans="2:43">
      <c r="B906" s="541"/>
      <c r="D906" s="337"/>
      <c r="G906" s="337"/>
      <c r="K906" s="337"/>
      <c r="O906" s="337"/>
      <c r="S906" s="337"/>
      <c r="T906" s="14"/>
      <c r="W906" s="337"/>
      <c r="X906" s="513"/>
      <c r="AA906" s="337"/>
      <c r="AB906" s="17"/>
      <c r="AC906" s="180"/>
      <c r="AD906" s="180"/>
      <c r="AE906" s="514"/>
      <c r="AF906" s="17"/>
      <c r="AI906" s="337"/>
      <c r="AM906" s="337"/>
      <c r="AQ906" s="337"/>
    </row>
    <row r="907" spans="2:43">
      <c r="B907" s="541"/>
      <c r="D907" s="337"/>
      <c r="G907" s="337"/>
      <c r="K907" s="337"/>
      <c r="O907" s="337"/>
      <c r="S907" s="337"/>
      <c r="T907" s="14"/>
      <c r="W907" s="337"/>
      <c r="X907" s="513"/>
      <c r="AA907" s="337"/>
      <c r="AB907" s="17"/>
      <c r="AC907" s="180"/>
      <c r="AD907" s="180"/>
      <c r="AE907" s="514"/>
      <c r="AF907" s="17"/>
      <c r="AI907" s="337"/>
      <c r="AM907" s="337"/>
      <c r="AQ907" s="337"/>
    </row>
    <row r="908" spans="2:43">
      <c r="B908" s="541"/>
      <c r="D908" s="337"/>
      <c r="G908" s="337"/>
      <c r="K908" s="337"/>
      <c r="O908" s="337"/>
      <c r="S908" s="337"/>
      <c r="T908" s="14"/>
      <c r="W908" s="337"/>
      <c r="X908" s="513"/>
      <c r="AA908" s="337"/>
      <c r="AB908" s="17"/>
      <c r="AC908" s="180"/>
      <c r="AD908" s="180"/>
      <c r="AE908" s="514"/>
      <c r="AF908" s="17"/>
      <c r="AI908" s="337"/>
      <c r="AM908" s="337"/>
      <c r="AQ908" s="337"/>
    </row>
    <row r="909" spans="2:43">
      <c r="B909" s="541"/>
      <c r="D909" s="337"/>
      <c r="G909" s="337"/>
      <c r="K909" s="337"/>
      <c r="O909" s="337"/>
      <c r="S909" s="337"/>
      <c r="T909" s="14"/>
      <c r="W909" s="337"/>
      <c r="X909" s="513"/>
      <c r="AA909" s="337"/>
      <c r="AB909" s="17"/>
      <c r="AC909" s="180"/>
      <c r="AD909" s="180"/>
      <c r="AE909" s="514"/>
      <c r="AF909" s="17"/>
      <c r="AI909" s="337"/>
      <c r="AM909" s="337"/>
      <c r="AQ909" s="337"/>
    </row>
    <row r="910" spans="2:43">
      <c r="B910" s="541"/>
      <c r="D910" s="337"/>
      <c r="G910" s="337"/>
      <c r="K910" s="337"/>
      <c r="O910" s="337"/>
      <c r="S910" s="337"/>
      <c r="T910" s="14"/>
      <c r="W910" s="337"/>
      <c r="X910" s="513"/>
      <c r="AA910" s="337"/>
      <c r="AB910" s="17"/>
      <c r="AC910" s="180"/>
      <c r="AD910" s="180"/>
      <c r="AE910" s="514"/>
      <c r="AF910" s="17"/>
      <c r="AI910" s="337"/>
      <c r="AM910" s="337"/>
      <c r="AQ910" s="337"/>
    </row>
    <row r="911" spans="2:43">
      <c r="B911" s="541"/>
      <c r="D911" s="337"/>
      <c r="G911" s="337"/>
      <c r="K911" s="337"/>
      <c r="O911" s="337"/>
      <c r="S911" s="337"/>
      <c r="T911" s="14"/>
      <c r="W911" s="337"/>
      <c r="X911" s="513"/>
      <c r="AA911" s="337"/>
      <c r="AB911" s="17"/>
      <c r="AC911" s="180"/>
      <c r="AD911" s="180"/>
      <c r="AE911" s="514"/>
      <c r="AF911" s="17"/>
      <c r="AI911" s="337"/>
      <c r="AM911" s="337"/>
      <c r="AQ911" s="337"/>
    </row>
    <row r="912" spans="2:43">
      <c r="B912" s="541"/>
      <c r="D912" s="337"/>
      <c r="G912" s="337"/>
      <c r="K912" s="337"/>
      <c r="O912" s="337"/>
      <c r="S912" s="337"/>
      <c r="T912" s="14"/>
      <c r="W912" s="337"/>
      <c r="X912" s="513"/>
      <c r="AA912" s="337"/>
      <c r="AB912" s="17"/>
      <c r="AC912" s="180"/>
      <c r="AD912" s="180"/>
      <c r="AE912" s="514"/>
      <c r="AF912" s="17"/>
      <c r="AI912" s="337"/>
      <c r="AM912" s="337"/>
      <c r="AQ912" s="337"/>
    </row>
    <row r="913" spans="2:43">
      <c r="B913" s="541"/>
      <c r="D913" s="337"/>
      <c r="G913" s="337"/>
      <c r="K913" s="337"/>
      <c r="O913" s="337"/>
      <c r="S913" s="337"/>
      <c r="T913" s="14"/>
      <c r="W913" s="337"/>
      <c r="X913" s="513"/>
      <c r="AA913" s="337"/>
      <c r="AB913" s="17"/>
      <c r="AC913" s="180"/>
      <c r="AD913" s="180"/>
      <c r="AE913" s="514"/>
      <c r="AF913" s="17"/>
      <c r="AI913" s="337"/>
      <c r="AM913" s="337"/>
      <c r="AQ913" s="337"/>
    </row>
    <row r="914" spans="2:43">
      <c r="B914" s="541"/>
      <c r="D914" s="337"/>
      <c r="G914" s="337"/>
      <c r="K914" s="337"/>
      <c r="O914" s="337"/>
      <c r="S914" s="337"/>
      <c r="T914" s="14"/>
      <c r="W914" s="337"/>
      <c r="X914" s="513"/>
      <c r="AA914" s="337"/>
      <c r="AB914" s="17"/>
      <c r="AC914" s="180"/>
      <c r="AD914" s="180"/>
      <c r="AE914" s="514"/>
      <c r="AF914" s="17"/>
      <c r="AI914" s="337"/>
      <c r="AM914" s="337"/>
      <c r="AQ914" s="337"/>
    </row>
    <row r="915" spans="2:43">
      <c r="B915" s="541"/>
      <c r="D915" s="337"/>
      <c r="G915" s="337"/>
      <c r="K915" s="337"/>
      <c r="O915" s="337"/>
      <c r="S915" s="337"/>
      <c r="T915" s="14"/>
      <c r="W915" s="337"/>
      <c r="X915" s="513"/>
      <c r="AA915" s="337"/>
      <c r="AB915" s="17"/>
      <c r="AC915" s="180"/>
      <c r="AD915" s="180"/>
      <c r="AE915" s="514"/>
      <c r="AF915" s="17"/>
      <c r="AI915" s="337"/>
      <c r="AM915" s="337"/>
      <c r="AQ915" s="337"/>
    </row>
    <row r="916" spans="2:43">
      <c r="B916" s="541"/>
      <c r="D916" s="337"/>
      <c r="G916" s="337"/>
      <c r="K916" s="337"/>
      <c r="O916" s="337"/>
      <c r="S916" s="337"/>
      <c r="T916" s="14"/>
      <c r="W916" s="337"/>
      <c r="X916" s="513"/>
      <c r="AA916" s="337"/>
      <c r="AB916" s="17"/>
      <c r="AC916" s="180"/>
      <c r="AD916" s="180"/>
      <c r="AE916" s="514"/>
      <c r="AF916" s="17"/>
      <c r="AI916" s="337"/>
      <c r="AM916" s="337"/>
      <c r="AQ916" s="337"/>
    </row>
    <row r="917" spans="2:43">
      <c r="B917" s="541"/>
      <c r="D917" s="337"/>
      <c r="G917" s="337"/>
      <c r="K917" s="337"/>
      <c r="O917" s="337"/>
      <c r="S917" s="337"/>
      <c r="T917" s="14"/>
      <c r="W917" s="337"/>
      <c r="X917" s="513"/>
      <c r="AA917" s="337"/>
      <c r="AB917" s="17"/>
      <c r="AC917" s="180"/>
      <c r="AD917" s="180"/>
      <c r="AE917" s="514"/>
      <c r="AF917" s="17"/>
      <c r="AI917" s="337"/>
      <c r="AM917" s="337"/>
      <c r="AQ917" s="337"/>
    </row>
    <row r="918" spans="2:43">
      <c r="B918" s="541"/>
      <c r="D918" s="337"/>
      <c r="G918" s="337"/>
      <c r="K918" s="337"/>
      <c r="O918" s="337"/>
      <c r="S918" s="337"/>
      <c r="T918" s="14"/>
      <c r="W918" s="337"/>
      <c r="X918" s="513"/>
      <c r="AA918" s="337"/>
      <c r="AB918" s="17"/>
      <c r="AC918" s="180"/>
      <c r="AD918" s="180"/>
      <c r="AE918" s="514"/>
      <c r="AF918" s="17"/>
      <c r="AI918" s="337"/>
      <c r="AM918" s="337"/>
      <c r="AQ918" s="337"/>
    </row>
    <row r="919" spans="2:43">
      <c r="B919" s="541"/>
      <c r="D919" s="337"/>
      <c r="G919" s="337"/>
      <c r="K919" s="337"/>
      <c r="O919" s="337"/>
      <c r="S919" s="337"/>
      <c r="T919" s="14"/>
      <c r="W919" s="337"/>
      <c r="X919" s="513"/>
      <c r="AA919" s="337"/>
      <c r="AB919" s="17"/>
      <c r="AC919" s="180"/>
      <c r="AD919" s="180"/>
      <c r="AE919" s="514"/>
      <c r="AF919" s="17"/>
      <c r="AI919" s="337"/>
      <c r="AM919" s="337"/>
      <c r="AQ919" s="337"/>
    </row>
    <row r="920" spans="2:43">
      <c r="B920" s="541"/>
      <c r="D920" s="337"/>
      <c r="G920" s="337"/>
      <c r="K920" s="337"/>
      <c r="O920" s="337"/>
      <c r="S920" s="337"/>
      <c r="T920" s="14"/>
      <c r="W920" s="337"/>
      <c r="X920" s="513"/>
      <c r="AA920" s="337"/>
      <c r="AB920" s="17"/>
      <c r="AC920" s="180"/>
      <c r="AD920" s="180"/>
      <c r="AE920" s="514"/>
      <c r="AF920" s="17"/>
      <c r="AI920" s="337"/>
      <c r="AM920" s="337"/>
      <c r="AQ920" s="337"/>
    </row>
    <row r="921" spans="2:43">
      <c r="B921" s="541"/>
      <c r="D921" s="337"/>
      <c r="G921" s="337"/>
      <c r="K921" s="337"/>
      <c r="O921" s="337"/>
      <c r="S921" s="337"/>
      <c r="T921" s="14"/>
      <c r="W921" s="337"/>
      <c r="X921" s="513"/>
      <c r="AA921" s="337"/>
      <c r="AB921" s="17"/>
      <c r="AC921" s="180"/>
      <c r="AD921" s="180"/>
      <c r="AE921" s="514"/>
      <c r="AF921" s="17"/>
      <c r="AI921" s="337"/>
      <c r="AM921" s="337"/>
      <c r="AQ921" s="337"/>
    </row>
    <row r="922" spans="2:43">
      <c r="B922" s="541"/>
      <c r="D922" s="337"/>
      <c r="G922" s="337"/>
      <c r="K922" s="337"/>
      <c r="O922" s="337"/>
      <c r="S922" s="337"/>
      <c r="T922" s="14"/>
      <c r="W922" s="337"/>
      <c r="X922" s="513"/>
      <c r="AA922" s="337"/>
      <c r="AB922" s="17"/>
      <c r="AC922" s="180"/>
      <c r="AD922" s="180"/>
      <c r="AE922" s="514"/>
      <c r="AF922" s="17"/>
      <c r="AI922" s="337"/>
      <c r="AM922" s="337"/>
      <c r="AQ922" s="337"/>
    </row>
    <row r="923" spans="2:43">
      <c r="B923" s="541"/>
      <c r="D923" s="337"/>
      <c r="G923" s="337"/>
      <c r="K923" s="337"/>
      <c r="O923" s="337"/>
      <c r="S923" s="337"/>
      <c r="T923" s="14"/>
      <c r="W923" s="337"/>
      <c r="X923" s="513"/>
      <c r="AA923" s="337"/>
      <c r="AB923" s="17"/>
      <c r="AC923" s="180"/>
      <c r="AD923" s="180"/>
      <c r="AE923" s="514"/>
      <c r="AF923" s="17"/>
      <c r="AI923" s="337"/>
      <c r="AM923" s="337"/>
      <c r="AQ923" s="337"/>
    </row>
    <row r="924" spans="2:43">
      <c r="B924" s="541"/>
      <c r="D924" s="337"/>
      <c r="G924" s="337"/>
      <c r="K924" s="337"/>
      <c r="O924" s="337"/>
      <c r="S924" s="337"/>
      <c r="T924" s="14"/>
      <c r="W924" s="337"/>
      <c r="X924" s="513"/>
      <c r="AA924" s="337"/>
      <c r="AB924" s="17"/>
      <c r="AC924" s="180"/>
      <c r="AD924" s="180"/>
      <c r="AE924" s="514"/>
      <c r="AF924" s="17"/>
      <c r="AI924" s="337"/>
      <c r="AM924" s="337"/>
      <c r="AQ924" s="337"/>
    </row>
    <row r="925" spans="2:43">
      <c r="B925" s="541"/>
      <c r="D925" s="337"/>
      <c r="G925" s="337"/>
      <c r="K925" s="337"/>
      <c r="O925" s="337"/>
      <c r="S925" s="337"/>
      <c r="T925" s="14"/>
      <c r="W925" s="337"/>
      <c r="X925" s="513"/>
      <c r="AA925" s="337"/>
      <c r="AB925" s="17"/>
      <c r="AC925" s="180"/>
      <c r="AD925" s="180"/>
      <c r="AE925" s="514"/>
      <c r="AF925" s="17"/>
      <c r="AI925" s="337"/>
      <c r="AM925" s="337"/>
      <c r="AQ925" s="337"/>
    </row>
    <row r="926" spans="2:43">
      <c r="B926" s="541"/>
      <c r="D926" s="337"/>
      <c r="G926" s="337"/>
      <c r="K926" s="337"/>
      <c r="O926" s="337"/>
      <c r="S926" s="337"/>
      <c r="T926" s="14"/>
      <c r="W926" s="337"/>
      <c r="X926" s="513"/>
      <c r="AA926" s="337"/>
      <c r="AB926" s="17"/>
      <c r="AC926" s="180"/>
      <c r="AD926" s="180"/>
      <c r="AE926" s="514"/>
      <c r="AF926" s="17"/>
      <c r="AI926" s="337"/>
      <c r="AM926" s="337"/>
      <c r="AQ926" s="337"/>
    </row>
    <row r="927" spans="2:43">
      <c r="B927" s="541"/>
      <c r="D927" s="337"/>
      <c r="G927" s="337"/>
      <c r="K927" s="337"/>
      <c r="O927" s="337"/>
      <c r="S927" s="337"/>
      <c r="T927" s="14"/>
      <c r="W927" s="337"/>
      <c r="X927" s="513"/>
      <c r="AA927" s="337"/>
      <c r="AB927" s="17"/>
      <c r="AC927" s="180"/>
      <c r="AD927" s="180"/>
      <c r="AE927" s="514"/>
      <c r="AF927" s="17"/>
      <c r="AI927" s="337"/>
      <c r="AM927" s="337"/>
      <c r="AQ927" s="337"/>
    </row>
    <row r="928" spans="2:43">
      <c r="B928" s="541"/>
      <c r="D928" s="337"/>
      <c r="G928" s="337"/>
      <c r="K928" s="337"/>
      <c r="O928" s="337"/>
      <c r="S928" s="337"/>
      <c r="T928" s="14"/>
      <c r="W928" s="337"/>
      <c r="X928" s="513"/>
      <c r="AA928" s="337"/>
      <c r="AB928" s="17"/>
      <c r="AC928" s="180"/>
      <c r="AD928" s="180"/>
      <c r="AE928" s="514"/>
      <c r="AF928" s="17"/>
      <c r="AI928" s="337"/>
      <c r="AM928" s="337"/>
      <c r="AQ928" s="337"/>
    </row>
    <row r="929" spans="2:43">
      <c r="B929" s="541"/>
      <c r="D929" s="337"/>
      <c r="G929" s="337"/>
      <c r="K929" s="337"/>
      <c r="O929" s="337"/>
      <c r="S929" s="337"/>
      <c r="T929" s="14"/>
      <c r="W929" s="337"/>
      <c r="X929" s="513"/>
      <c r="AA929" s="337"/>
      <c r="AB929" s="17"/>
      <c r="AC929" s="180"/>
      <c r="AD929" s="180"/>
      <c r="AE929" s="514"/>
      <c r="AF929" s="17"/>
      <c r="AI929" s="337"/>
      <c r="AM929" s="337"/>
      <c r="AQ929" s="337"/>
    </row>
    <row r="930" spans="2:43">
      <c r="B930" s="541"/>
      <c r="D930" s="337"/>
      <c r="G930" s="337"/>
      <c r="K930" s="337"/>
      <c r="O930" s="337"/>
      <c r="S930" s="337"/>
      <c r="T930" s="14"/>
      <c r="W930" s="337"/>
      <c r="X930" s="513"/>
      <c r="AA930" s="337"/>
      <c r="AB930" s="17"/>
      <c r="AC930" s="180"/>
      <c r="AD930" s="180"/>
      <c r="AE930" s="514"/>
      <c r="AF930" s="17"/>
      <c r="AI930" s="337"/>
      <c r="AM930" s="337"/>
      <c r="AQ930" s="337"/>
    </row>
    <row r="931" spans="2:43">
      <c r="B931" s="541"/>
      <c r="D931" s="337"/>
      <c r="G931" s="337"/>
      <c r="K931" s="337"/>
      <c r="O931" s="337"/>
      <c r="S931" s="337"/>
      <c r="T931" s="14"/>
      <c r="W931" s="337"/>
      <c r="X931" s="513"/>
      <c r="AA931" s="337"/>
      <c r="AB931" s="17"/>
      <c r="AC931" s="180"/>
      <c r="AD931" s="180"/>
      <c r="AE931" s="514"/>
      <c r="AF931" s="17"/>
      <c r="AI931" s="337"/>
      <c r="AM931" s="337"/>
      <c r="AQ931" s="337"/>
    </row>
    <row r="932" spans="2:43">
      <c r="B932" s="541"/>
      <c r="D932" s="337"/>
      <c r="G932" s="337"/>
      <c r="K932" s="337"/>
      <c r="O932" s="337"/>
      <c r="S932" s="337"/>
      <c r="T932" s="14"/>
      <c r="W932" s="337"/>
      <c r="X932" s="513"/>
      <c r="AA932" s="337"/>
      <c r="AB932" s="17"/>
      <c r="AC932" s="180"/>
      <c r="AD932" s="180"/>
      <c r="AE932" s="514"/>
      <c r="AF932" s="17"/>
      <c r="AI932" s="337"/>
      <c r="AM932" s="337"/>
      <c r="AQ932" s="337"/>
    </row>
    <row r="933" spans="2:43">
      <c r="B933" s="541"/>
      <c r="D933" s="337"/>
      <c r="G933" s="337"/>
      <c r="K933" s="337"/>
      <c r="O933" s="337"/>
      <c r="S933" s="337"/>
      <c r="T933" s="14"/>
      <c r="W933" s="337"/>
      <c r="X933" s="513"/>
      <c r="AA933" s="337"/>
      <c r="AB933" s="17"/>
      <c r="AC933" s="180"/>
      <c r="AD933" s="180"/>
      <c r="AE933" s="514"/>
      <c r="AF933" s="17"/>
      <c r="AI933" s="337"/>
      <c r="AM933" s="337"/>
      <c r="AQ933" s="337"/>
    </row>
    <row r="934" spans="2:43">
      <c r="B934" s="541"/>
      <c r="D934" s="337"/>
      <c r="G934" s="337"/>
      <c r="K934" s="337"/>
      <c r="O934" s="337"/>
      <c r="S934" s="337"/>
      <c r="T934" s="14"/>
      <c r="W934" s="337"/>
      <c r="X934" s="513"/>
      <c r="AA934" s="337"/>
      <c r="AB934" s="17"/>
      <c r="AC934" s="180"/>
      <c r="AD934" s="180"/>
      <c r="AE934" s="514"/>
      <c r="AF934" s="17"/>
      <c r="AI934" s="337"/>
      <c r="AM934" s="337"/>
      <c r="AQ934" s="337"/>
    </row>
    <row r="935" spans="2:43">
      <c r="B935" s="541"/>
      <c r="D935" s="337"/>
      <c r="G935" s="337"/>
      <c r="K935" s="337"/>
      <c r="O935" s="337"/>
      <c r="S935" s="337"/>
      <c r="T935" s="14"/>
      <c r="W935" s="337"/>
      <c r="X935" s="513"/>
      <c r="AA935" s="337"/>
      <c r="AB935" s="17"/>
      <c r="AC935" s="180"/>
      <c r="AD935" s="180"/>
      <c r="AE935" s="514"/>
      <c r="AF935" s="17"/>
      <c r="AI935" s="337"/>
      <c r="AM935" s="337"/>
      <c r="AQ935" s="337"/>
    </row>
    <row r="936" spans="2:43">
      <c r="B936" s="541"/>
      <c r="D936" s="337"/>
      <c r="G936" s="337"/>
      <c r="K936" s="337"/>
      <c r="O936" s="337"/>
      <c r="S936" s="337"/>
      <c r="T936" s="14"/>
      <c r="W936" s="337"/>
      <c r="X936" s="513"/>
      <c r="AA936" s="337"/>
      <c r="AB936" s="17"/>
      <c r="AC936" s="180"/>
      <c r="AD936" s="180"/>
      <c r="AE936" s="514"/>
      <c r="AF936" s="17"/>
      <c r="AI936" s="337"/>
      <c r="AM936" s="337"/>
      <c r="AQ936" s="337"/>
    </row>
    <row r="937" spans="2:43">
      <c r="B937" s="541"/>
      <c r="D937" s="337"/>
      <c r="G937" s="337"/>
      <c r="K937" s="337"/>
      <c r="O937" s="337"/>
      <c r="S937" s="337"/>
      <c r="T937" s="14"/>
      <c r="W937" s="337"/>
      <c r="X937" s="513"/>
      <c r="AA937" s="337"/>
      <c r="AB937" s="17"/>
      <c r="AC937" s="180"/>
      <c r="AD937" s="180"/>
      <c r="AE937" s="514"/>
      <c r="AF937" s="17"/>
      <c r="AI937" s="337"/>
      <c r="AM937" s="337"/>
      <c r="AQ937" s="337"/>
    </row>
    <row r="938" spans="2:43">
      <c r="B938" s="541"/>
      <c r="D938" s="337"/>
      <c r="G938" s="337"/>
      <c r="K938" s="337"/>
      <c r="O938" s="337"/>
      <c r="S938" s="337"/>
      <c r="T938" s="14"/>
      <c r="W938" s="337"/>
      <c r="X938" s="513"/>
      <c r="AA938" s="337"/>
      <c r="AB938" s="17"/>
      <c r="AC938" s="180"/>
      <c r="AD938" s="180"/>
      <c r="AE938" s="514"/>
      <c r="AF938" s="17"/>
      <c r="AI938" s="337"/>
      <c r="AM938" s="337"/>
      <c r="AQ938" s="337"/>
    </row>
    <row r="939" spans="2:43">
      <c r="B939" s="541"/>
      <c r="D939" s="337"/>
      <c r="G939" s="337"/>
      <c r="K939" s="337"/>
      <c r="O939" s="337"/>
      <c r="S939" s="337"/>
      <c r="T939" s="14"/>
      <c r="W939" s="337"/>
      <c r="X939" s="513"/>
      <c r="AA939" s="337"/>
      <c r="AB939" s="17"/>
      <c r="AC939" s="180"/>
      <c r="AD939" s="180"/>
      <c r="AE939" s="514"/>
      <c r="AF939" s="17"/>
      <c r="AI939" s="337"/>
      <c r="AM939" s="337"/>
      <c r="AQ939" s="337"/>
    </row>
    <row r="940" spans="2:43">
      <c r="B940" s="541"/>
      <c r="D940" s="337"/>
      <c r="G940" s="337"/>
      <c r="K940" s="337"/>
      <c r="O940" s="337"/>
      <c r="S940" s="337"/>
      <c r="T940" s="14"/>
      <c r="W940" s="337"/>
      <c r="X940" s="513"/>
      <c r="AA940" s="337"/>
      <c r="AB940" s="17"/>
      <c r="AC940" s="180"/>
      <c r="AD940" s="180"/>
      <c r="AE940" s="514"/>
      <c r="AF940" s="17"/>
      <c r="AI940" s="337"/>
      <c r="AM940" s="337"/>
      <c r="AQ940" s="337"/>
    </row>
    <row r="941" spans="2:43">
      <c r="B941" s="541"/>
      <c r="D941" s="337"/>
      <c r="G941" s="337"/>
      <c r="K941" s="337"/>
      <c r="O941" s="337"/>
      <c r="S941" s="337"/>
      <c r="T941" s="14"/>
      <c r="W941" s="337"/>
      <c r="X941" s="513"/>
      <c r="AA941" s="337"/>
      <c r="AB941" s="17"/>
      <c r="AC941" s="180"/>
      <c r="AD941" s="180"/>
      <c r="AE941" s="514"/>
      <c r="AF941" s="17"/>
      <c r="AI941" s="337"/>
      <c r="AM941" s="337"/>
      <c r="AQ941" s="337"/>
    </row>
    <row r="942" spans="2:43">
      <c r="B942" s="541"/>
      <c r="D942" s="337"/>
      <c r="G942" s="337"/>
      <c r="K942" s="337"/>
      <c r="O942" s="337"/>
      <c r="S942" s="337"/>
      <c r="T942" s="14"/>
      <c r="W942" s="337"/>
      <c r="X942" s="513"/>
      <c r="AA942" s="337"/>
      <c r="AB942" s="17"/>
      <c r="AC942" s="180"/>
      <c r="AD942" s="180"/>
      <c r="AE942" s="514"/>
      <c r="AF942" s="17"/>
      <c r="AI942" s="337"/>
      <c r="AM942" s="337"/>
      <c r="AQ942" s="337"/>
    </row>
    <row r="943" spans="2:43">
      <c r="B943" s="541"/>
      <c r="D943" s="337"/>
      <c r="G943" s="337"/>
      <c r="K943" s="337"/>
      <c r="O943" s="337"/>
      <c r="S943" s="337"/>
      <c r="T943" s="14"/>
      <c r="W943" s="337"/>
      <c r="X943" s="513"/>
      <c r="AA943" s="337"/>
      <c r="AB943" s="17"/>
      <c r="AC943" s="180"/>
      <c r="AD943" s="180"/>
      <c r="AE943" s="514"/>
      <c r="AF943" s="17"/>
      <c r="AI943" s="337"/>
      <c r="AM943" s="337"/>
      <c r="AQ943" s="337"/>
    </row>
    <row r="944" spans="2:43">
      <c r="B944" s="541"/>
      <c r="D944" s="337"/>
      <c r="G944" s="337"/>
      <c r="K944" s="337"/>
      <c r="O944" s="337"/>
      <c r="S944" s="337"/>
      <c r="T944" s="14"/>
      <c r="W944" s="337"/>
      <c r="X944" s="513"/>
      <c r="AA944" s="337"/>
      <c r="AB944" s="17"/>
      <c r="AC944" s="180"/>
      <c r="AD944" s="180"/>
      <c r="AE944" s="514"/>
      <c r="AF944" s="17"/>
      <c r="AI944" s="337"/>
      <c r="AM944" s="337"/>
      <c r="AQ944" s="337"/>
    </row>
    <row r="945" spans="2:43">
      <c r="B945" s="541"/>
      <c r="D945" s="337"/>
      <c r="G945" s="337"/>
      <c r="K945" s="337"/>
      <c r="O945" s="337"/>
      <c r="S945" s="337"/>
      <c r="T945" s="14"/>
      <c r="W945" s="337"/>
      <c r="X945" s="513"/>
      <c r="AA945" s="337"/>
      <c r="AB945" s="17"/>
      <c r="AC945" s="180"/>
      <c r="AD945" s="180"/>
      <c r="AE945" s="514"/>
      <c r="AF945" s="17"/>
      <c r="AI945" s="337"/>
      <c r="AM945" s="337"/>
      <c r="AQ945" s="337"/>
    </row>
    <row r="946" spans="2:43">
      <c r="B946" s="541"/>
      <c r="D946" s="337"/>
      <c r="G946" s="337"/>
      <c r="K946" s="337"/>
      <c r="O946" s="337"/>
      <c r="S946" s="337"/>
      <c r="T946" s="14"/>
      <c r="W946" s="337"/>
      <c r="X946" s="513"/>
      <c r="AA946" s="337"/>
      <c r="AB946" s="17"/>
      <c r="AC946" s="180"/>
      <c r="AD946" s="180"/>
      <c r="AE946" s="514"/>
      <c r="AF946" s="17"/>
      <c r="AI946" s="337"/>
      <c r="AM946" s="337"/>
      <c r="AQ946" s="337"/>
    </row>
    <row r="947" spans="2:43">
      <c r="B947" s="541"/>
      <c r="D947" s="337"/>
      <c r="G947" s="337"/>
      <c r="K947" s="337"/>
      <c r="O947" s="337"/>
      <c r="S947" s="337"/>
      <c r="T947" s="14"/>
      <c r="W947" s="337"/>
      <c r="X947" s="513"/>
      <c r="AA947" s="337"/>
      <c r="AB947" s="17"/>
      <c r="AC947" s="180"/>
      <c r="AD947" s="180"/>
      <c r="AE947" s="514"/>
      <c r="AF947" s="17"/>
      <c r="AI947" s="337"/>
      <c r="AM947" s="337"/>
      <c r="AQ947" s="337"/>
    </row>
    <row r="948" spans="2:43">
      <c r="B948" s="541"/>
      <c r="D948" s="337"/>
      <c r="G948" s="337"/>
      <c r="K948" s="337"/>
      <c r="O948" s="337"/>
      <c r="S948" s="337"/>
      <c r="T948" s="14"/>
      <c r="W948" s="337"/>
      <c r="X948" s="513"/>
      <c r="AA948" s="337"/>
      <c r="AB948" s="17"/>
      <c r="AC948" s="180"/>
      <c r="AD948" s="180"/>
      <c r="AE948" s="514"/>
      <c r="AF948" s="17"/>
      <c r="AI948" s="337"/>
      <c r="AM948" s="337"/>
      <c r="AQ948" s="337"/>
    </row>
    <row r="949" spans="2:43">
      <c r="B949" s="541"/>
      <c r="D949" s="337"/>
      <c r="G949" s="337"/>
      <c r="K949" s="337"/>
      <c r="O949" s="337"/>
      <c r="S949" s="337"/>
      <c r="T949" s="14"/>
      <c r="W949" s="337"/>
      <c r="X949" s="513"/>
      <c r="AA949" s="337"/>
      <c r="AB949" s="17"/>
      <c r="AC949" s="180"/>
      <c r="AD949" s="180"/>
      <c r="AE949" s="514"/>
      <c r="AF949" s="17"/>
      <c r="AI949" s="337"/>
      <c r="AM949" s="337"/>
      <c r="AQ949" s="337"/>
    </row>
    <row r="950" spans="2:43">
      <c r="B950" s="541"/>
      <c r="D950" s="337"/>
      <c r="G950" s="337"/>
      <c r="K950" s="337"/>
      <c r="O950" s="337"/>
      <c r="S950" s="337"/>
      <c r="T950" s="14"/>
      <c r="W950" s="337"/>
      <c r="X950" s="513"/>
      <c r="AA950" s="337"/>
      <c r="AB950" s="17"/>
      <c r="AC950" s="180"/>
      <c r="AD950" s="180"/>
      <c r="AE950" s="514"/>
      <c r="AF950" s="17"/>
      <c r="AI950" s="337"/>
      <c r="AM950" s="337"/>
      <c r="AQ950" s="337"/>
    </row>
    <row r="951" spans="2:43">
      <c r="B951" s="541"/>
      <c r="D951" s="337"/>
      <c r="G951" s="337"/>
      <c r="K951" s="337"/>
      <c r="O951" s="337"/>
      <c r="S951" s="337"/>
      <c r="T951" s="14"/>
      <c r="W951" s="337"/>
      <c r="X951" s="513"/>
      <c r="AA951" s="337"/>
      <c r="AB951" s="17"/>
      <c r="AC951" s="180"/>
      <c r="AD951" s="180"/>
      <c r="AE951" s="514"/>
      <c r="AF951" s="17"/>
      <c r="AI951" s="337"/>
      <c r="AM951" s="337"/>
      <c r="AQ951" s="337"/>
    </row>
    <row r="952" spans="2:43">
      <c r="B952" s="541"/>
      <c r="D952" s="337"/>
      <c r="G952" s="337"/>
      <c r="K952" s="337"/>
      <c r="O952" s="337"/>
      <c r="S952" s="337"/>
      <c r="T952" s="14"/>
      <c r="W952" s="337"/>
      <c r="X952" s="513"/>
      <c r="AA952" s="337"/>
      <c r="AB952" s="17"/>
      <c r="AC952" s="180"/>
      <c r="AD952" s="180"/>
      <c r="AE952" s="514"/>
      <c r="AF952" s="17"/>
      <c r="AI952" s="337"/>
      <c r="AM952" s="337"/>
      <c r="AQ952" s="337"/>
    </row>
    <row r="953" spans="2:43">
      <c r="B953" s="541"/>
      <c r="D953" s="337"/>
      <c r="G953" s="337"/>
      <c r="K953" s="337"/>
      <c r="O953" s="337"/>
      <c r="S953" s="337"/>
      <c r="T953" s="14"/>
      <c r="W953" s="337"/>
      <c r="X953" s="513"/>
      <c r="AA953" s="337"/>
      <c r="AB953" s="17"/>
      <c r="AC953" s="180"/>
      <c r="AD953" s="180"/>
      <c r="AE953" s="514"/>
      <c r="AF953" s="17"/>
      <c r="AI953" s="337"/>
      <c r="AM953" s="337"/>
      <c r="AQ953" s="337"/>
    </row>
    <row r="954" spans="2:43">
      <c r="B954" s="541"/>
      <c r="D954" s="337"/>
      <c r="G954" s="337"/>
      <c r="K954" s="337"/>
      <c r="O954" s="337"/>
      <c r="S954" s="337"/>
      <c r="T954" s="14"/>
      <c r="W954" s="337"/>
      <c r="X954" s="513"/>
      <c r="AA954" s="337"/>
      <c r="AB954" s="17"/>
      <c r="AC954" s="180"/>
      <c r="AD954" s="180"/>
      <c r="AE954" s="514"/>
      <c r="AF954" s="17"/>
      <c r="AI954" s="337"/>
      <c r="AM954" s="337"/>
      <c r="AQ954" s="337"/>
    </row>
    <row r="955" spans="2:43">
      <c r="B955" s="541"/>
      <c r="D955" s="337"/>
      <c r="G955" s="337"/>
      <c r="K955" s="337"/>
      <c r="O955" s="337"/>
      <c r="S955" s="337"/>
      <c r="T955" s="14"/>
      <c r="W955" s="337"/>
      <c r="X955" s="513"/>
      <c r="AA955" s="337"/>
      <c r="AB955" s="17"/>
      <c r="AC955" s="180"/>
      <c r="AD955" s="180"/>
      <c r="AE955" s="514"/>
      <c r="AF955" s="17"/>
      <c r="AI955" s="337"/>
      <c r="AM955" s="337"/>
      <c r="AQ955" s="337"/>
    </row>
    <row r="956" spans="2:43">
      <c r="B956" s="541"/>
      <c r="D956" s="337"/>
      <c r="G956" s="337"/>
      <c r="K956" s="337"/>
      <c r="O956" s="337"/>
      <c r="S956" s="337"/>
      <c r="T956" s="14"/>
      <c r="W956" s="337"/>
      <c r="X956" s="513"/>
      <c r="AA956" s="337"/>
      <c r="AB956" s="17"/>
      <c r="AC956" s="180"/>
      <c r="AD956" s="180"/>
      <c r="AE956" s="514"/>
      <c r="AF956" s="17"/>
      <c r="AI956" s="337"/>
      <c r="AM956" s="337"/>
      <c r="AQ956" s="337"/>
    </row>
    <row r="957" spans="2:43">
      <c r="B957" s="541"/>
      <c r="D957" s="337"/>
      <c r="G957" s="337"/>
      <c r="K957" s="337"/>
      <c r="O957" s="337"/>
      <c r="S957" s="337"/>
      <c r="T957" s="14"/>
      <c r="W957" s="337"/>
      <c r="X957" s="513"/>
      <c r="AA957" s="337"/>
      <c r="AB957" s="17"/>
      <c r="AC957" s="180"/>
      <c r="AD957" s="180"/>
      <c r="AE957" s="514"/>
      <c r="AF957" s="17"/>
      <c r="AI957" s="337"/>
      <c r="AM957" s="337"/>
      <c r="AQ957" s="337"/>
    </row>
    <row r="958" spans="2:43">
      <c r="B958" s="541"/>
      <c r="D958" s="337"/>
      <c r="G958" s="337"/>
      <c r="K958" s="337"/>
      <c r="O958" s="337"/>
      <c r="S958" s="337"/>
      <c r="T958" s="14"/>
      <c r="W958" s="337"/>
      <c r="X958" s="513"/>
      <c r="AA958" s="337"/>
      <c r="AB958" s="17"/>
      <c r="AC958" s="180"/>
      <c r="AD958" s="180"/>
      <c r="AE958" s="514"/>
      <c r="AF958" s="17"/>
      <c r="AI958" s="337"/>
      <c r="AM958" s="337"/>
      <c r="AQ958" s="337"/>
    </row>
    <row r="959" spans="2:43">
      <c r="B959" s="541"/>
      <c r="D959" s="337"/>
      <c r="G959" s="337"/>
      <c r="K959" s="337"/>
      <c r="O959" s="337"/>
      <c r="S959" s="337"/>
      <c r="T959" s="14"/>
      <c r="W959" s="337"/>
      <c r="X959" s="513"/>
      <c r="AA959" s="337"/>
      <c r="AB959" s="17"/>
      <c r="AC959" s="180"/>
      <c r="AD959" s="180"/>
      <c r="AE959" s="514"/>
      <c r="AF959" s="17"/>
      <c r="AI959" s="337"/>
      <c r="AM959" s="337"/>
      <c r="AQ959" s="337"/>
    </row>
    <row r="960" spans="2:43">
      <c r="B960" s="541"/>
      <c r="D960" s="337"/>
      <c r="G960" s="337"/>
      <c r="K960" s="337"/>
      <c r="O960" s="337"/>
      <c r="S960" s="337"/>
      <c r="T960" s="14"/>
      <c r="W960" s="337"/>
      <c r="X960" s="513"/>
      <c r="AA960" s="337"/>
      <c r="AB960" s="17"/>
      <c r="AC960" s="180"/>
      <c r="AD960" s="180"/>
      <c r="AE960" s="514"/>
      <c r="AF960" s="17"/>
      <c r="AI960" s="337"/>
      <c r="AM960" s="337"/>
      <c r="AQ960" s="337"/>
    </row>
    <row r="961" spans="2:43">
      <c r="B961" s="541"/>
      <c r="D961" s="337"/>
      <c r="G961" s="337"/>
      <c r="K961" s="337"/>
      <c r="O961" s="337"/>
      <c r="S961" s="337"/>
      <c r="T961" s="14"/>
      <c r="W961" s="337"/>
      <c r="X961" s="513"/>
      <c r="AA961" s="337"/>
      <c r="AB961" s="17"/>
      <c r="AC961" s="180"/>
      <c r="AD961" s="180"/>
      <c r="AE961" s="514"/>
      <c r="AF961" s="17"/>
      <c r="AI961" s="337"/>
      <c r="AM961" s="337"/>
      <c r="AQ961" s="337"/>
    </row>
    <row r="962" spans="2:43">
      <c r="B962" s="541"/>
      <c r="D962" s="337"/>
      <c r="G962" s="337"/>
      <c r="K962" s="337"/>
      <c r="O962" s="337"/>
      <c r="S962" s="337"/>
      <c r="T962" s="14"/>
      <c r="W962" s="337"/>
      <c r="X962" s="513"/>
      <c r="AA962" s="337"/>
      <c r="AB962" s="17"/>
      <c r="AC962" s="180"/>
      <c r="AD962" s="180"/>
      <c r="AE962" s="514"/>
      <c r="AF962" s="17"/>
      <c r="AI962" s="337"/>
      <c r="AM962" s="337"/>
      <c r="AQ962" s="337"/>
    </row>
    <row r="963" spans="2:43">
      <c r="B963" s="541"/>
      <c r="D963" s="337"/>
      <c r="G963" s="337"/>
      <c r="K963" s="337"/>
      <c r="O963" s="337"/>
      <c r="S963" s="337"/>
      <c r="T963" s="14"/>
      <c r="W963" s="337"/>
      <c r="X963" s="513"/>
      <c r="AA963" s="337"/>
      <c r="AB963" s="17"/>
      <c r="AC963" s="180"/>
      <c r="AD963" s="180"/>
      <c r="AE963" s="514"/>
      <c r="AF963" s="17"/>
      <c r="AI963" s="337"/>
      <c r="AM963" s="337"/>
      <c r="AQ963" s="337"/>
    </row>
    <row r="964" spans="2:43">
      <c r="B964" s="541"/>
      <c r="D964" s="337"/>
      <c r="G964" s="337"/>
      <c r="K964" s="337"/>
      <c r="O964" s="337"/>
      <c r="S964" s="337"/>
      <c r="T964" s="14"/>
      <c r="W964" s="337"/>
      <c r="X964" s="513"/>
      <c r="AA964" s="337"/>
      <c r="AB964" s="17"/>
      <c r="AC964" s="180"/>
      <c r="AD964" s="180"/>
      <c r="AE964" s="514"/>
      <c r="AF964" s="17"/>
      <c r="AI964" s="337"/>
      <c r="AM964" s="337"/>
      <c r="AQ964" s="337"/>
    </row>
    <row r="965" spans="2:43">
      <c r="B965" s="541"/>
      <c r="D965" s="337"/>
      <c r="G965" s="337"/>
      <c r="K965" s="337"/>
      <c r="O965" s="337"/>
      <c r="S965" s="337"/>
      <c r="T965" s="14"/>
      <c r="W965" s="337"/>
      <c r="X965" s="513"/>
      <c r="AA965" s="337"/>
      <c r="AB965" s="17"/>
      <c r="AC965" s="180"/>
      <c r="AD965" s="180"/>
      <c r="AE965" s="514"/>
      <c r="AF965" s="17"/>
      <c r="AI965" s="337"/>
      <c r="AM965" s="337"/>
      <c r="AQ965" s="337"/>
    </row>
    <row r="966" spans="2:43">
      <c r="B966" s="541"/>
      <c r="D966" s="337"/>
      <c r="G966" s="337"/>
      <c r="K966" s="337"/>
      <c r="O966" s="337"/>
      <c r="S966" s="337"/>
      <c r="T966" s="14"/>
      <c r="W966" s="337"/>
      <c r="X966" s="513"/>
      <c r="AA966" s="337"/>
      <c r="AB966" s="17"/>
      <c r="AC966" s="180"/>
      <c r="AD966" s="180"/>
      <c r="AE966" s="514"/>
      <c r="AF966" s="17"/>
      <c r="AI966" s="337"/>
      <c r="AM966" s="337"/>
      <c r="AQ966" s="337"/>
    </row>
    <row r="967" spans="2:43">
      <c r="B967" s="541"/>
      <c r="D967" s="337"/>
      <c r="G967" s="337"/>
      <c r="K967" s="337"/>
      <c r="O967" s="337"/>
      <c r="S967" s="337"/>
      <c r="T967" s="14"/>
      <c r="W967" s="337"/>
      <c r="X967" s="513"/>
      <c r="AA967" s="337"/>
      <c r="AB967" s="17"/>
      <c r="AC967" s="180"/>
      <c r="AD967" s="180"/>
      <c r="AE967" s="514"/>
      <c r="AF967" s="17"/>
      <c r="AI967" s="337"/>
      <c r="AM967" s="337"/>
      <c r="AQ967" s="337"/>
    </row>
    <row r="968" spans="2:43">
      <c r="B968" s="541"/>
      <c r="D968" s="337"/>
      <c r="G968" s="337"/>
      <c r="K968" s="337"/>
      <c r="O968" s="337"/>
      <c r="S968" s="337"/>
      <c r="T968" s="14"/>
      <c r="W968" s="337"/>
      <c r="X968" s="513"/>
      <c r="AA968" s="337"/>
      <c r="AB968" s="17"/>
      <c r="AC968" s="180"/>
      <c r="AD968" s="180"/>
      <c r="AE968" s="514"/>
      <c r="AF968" s="17"/>
      <c r="AI968" s="337"/>
      <c r="AM968" s="337"/>
      <c r="AQ968" s="337"/>
    </row>
    <row r="969" spans="2:43">
      <c r="B969" s="541"/>
      <c r="D969" s="337"/>
      <c r="G969" s="337"/>
      <c r="K969" s="337"/>
      <c r="O969" s="337"/>
      <c r="S969" s="337"/>
      <c r="T969" s="14"/>
      <c r="W969" s="337"/>
      <c r="X969" s="513"/>
      <c r="AA969" s="337"/>
      <c r="AB969" s="17"/>
      <c r="AC969" s="180"/>
      <c r="AD969" s="180"/>
      <c r="AE969" s="514"/>
      <c r="AF969" s="17"/>
      <c r="AI969" s="337"/>
      <c r="AM969" s="337"/>
      <c r="AQ969" s="337"/>
    </row>
    <row r="970" spans="2:43">
      <c r="B970" s="541"/>
      <c r="D970" s="337"/>
      <c r="G970" s="337"/>
      <c r="K970" s="337"/>
      <c r="O970" s="337"/>
      <c r="S970" s="337"/>
      <c r="T970" s="14"/>
      <c r="W970" s="337"/>
      <c r="X970" s="513"/>
      <c r="AA970" s="337"/>
      <c r="AB970" s="17"/>
      <c r="AC970" s="180"/>
      <c r="AD970" s="180"/>
      <c r="AE970" s="514"/>
      <c r="AF970" s="17"/>
      <c r="AI970" s="337"/>
      <c r="AM970" s="337"/>
      <c r="AQ970" s="337"/>
    </row>
    <row r="971" spans="2:43">
      <c r="B971" s="541"/>
      <c r="D971" s="337"/>
      <c r="G971" s="337"/>
      <c r="K971" s="337"/>
      <c r="O971" s="337"/>
      <c r="S971" s="337"/>
      <c r="T971" s="14"/>
      <c r="W971" s="337"/>
      <c r="X971" s="513"/>
      <c r="AA971" s="337"/>
      <c r="AB971" s="17"/>
      <c r="AC971" s="180"/>
      <c r="AD971" s="180"/>
      <c r="AE971" s="514"/>
      <c r="AF971" s="17"/>
      <c r="AI971" s="337"/>
      <c r="AM971" s="337"/>
      <c r="AQ971" s="337"/>
    </row>
    <row r="972" spans="2:43">
      <c r="B972" s="541"/>
      <c r="D972" s="337"/>
      <c r="G972" s="337"/>
      <c r="K972" s="337"/>
      <c r="O972" s="337"/>
      <c r="S972" s="337"/>
      <c r="T972" s="14"/>
      <c r="W972" s="337"/>
      <c r="X972" s="513"/>
      <c r="AA972" s="337"/>
      <c r="AB972" s="17"/>
      <c r="AC972" s="180"/>
      <c r="AD972" s="180"/>
      <c r="AE972" s="514"/>
      <c r="AF972" s="17"/>
      <c r="AI972" s="337"/>
      <c r="AM972" s="337"/>
      <c r="AQ972" s="337"/>
    </row>
    <row r="973" spans="2:43">
      <c r="B973" s="541"/>
      <c r="D973" s="337"/>
      <c r="G973" s="337"/>
      <c r="K973" s="337"/>
      <c r="O973" s="337"/>
      <c r="S973" s="337"/>
      <c r="T973" s="14"/>
      <c r="W973" s="337"/>
      <c r="X973" s="513"/>
      <c r="AA973" s="337"/>
      <c r="AB973" s="17"/>
      <c r="AC973" s="180"/>
      <c r="AD973" s="180"/>
      <c r="AE973" s="514"/>
      <c r="AF973" s="17"/>
      <c r="AI973" s="337"/>
      <c r="AM973" s="337"/>
      <c r="AQ973" s="337"/>
    </row>
    <row r="974" spans="2:43">
      <c r="B974" s="541"/>
      <c r="D974" s="337"/>
      <c r="G974" s="337"/>
      <c r="K974" s="337"/>
      <c r="O974" s="337"/>
      <c r="S974" s="337"/>
      <c r="T974" s="14"/>
      <c r="W974" s="337"/>
      <c r="X974" s="513"/>
      <c r="AA974" s="337"/>
      <c r="AB974" s="17"/>
      <c r="AC974" s="180"/>
      <c r="AD974" s="180"/>
      <c r="AE974" s="514"/>
      <c r="AF974" s="17"/>
      <c r="AI974" s="337"/>
      <c r="AM974" s="337"/>
      <c r="AQ974" s="337"/>
    </row>
    <row r="975" spans="2:43">
      <c r="B975" s="541"/>
      <c r="D975" s="337"/>
      <c r="G975" s="337"/>
      <c r="K975" s="337"/>
      <c r="O975" s="337"/>
      <c r="S975" s="337"/>
      <c r="T975" s="14"/>
      <c r="W975" s="337"/>
      <c r="X975" s="513"/>
      <c r="AA975" s="337"/>
      <c r="AB975" s="17"/>
      <c r="AC975" s="180"/>
      <c r="AD975" s="180"/>
      <c r="AE975" s="514"/>
      <c r="AF975" s="17"/>
      <c r="AI975" s="337"/>
      <c r="AM975" s="337"/>
      <c r="AQ975" s="337"/>
    </row>
    <row r="976" spans="2:43">
      <c r="B976" s="541"/>
      <c r="D976" s="337"/>
      <c r="G976" s="337"/>
      <c r="K976" s="337"/>
      <c r="O976" s="337"/>
      <c r="S976" s="337"/>
      <c r="T976" s="14"/>
      <c r="W976" s="337"/>
      <c r="X976" s="513"/>
      <c r="AA976" s="337"/>
      <c r="AB976" s="17"/>
      <c r="AC976" s="180"/>
      <c r="AD976" s="180"/>
      <c r="AE976" s="514"/>
      <c r="AF976" s="17"/>
      <c r="AI976" s="337"/>
      <c r="AM976" s="337"/>
      <c r="AQ976" s="337"/>
    </row>
    <row r="977" spans="2:43">
      <c r="B977" s="541"/>
      <c r="D977" s="337"/>
      <c r="G977" s="337"/>
      <c r="K977" s="337"/>
      <c r="O977" s="337"/>
      <c r="S977" s="337"/>
      <c r="T977" s="14"/>
      <c r="W977" s="337"/>
      <c r="X977" s="513"/>
      <c r="AA977" s="337"/>
      <c r="AB977" s="17"/>
      <c r="AC977" s="180"/>
      <c r="AD977" s="180"/>
      <c r="AE977" s="514"/>
      <c r="AF977" s="17"/>
      <c r="AI977" s="337"/>
      <c r="AM977" s="337"/>
      <c r="AQ977" s="337"/>
    </row>
    <row r="978" spans="2:43">
      <c r="B978" s="541"/>
      <c r="D978" s="337"/>
      <c r="G978" s="337"/>
      <c r="K978" s="337"/>
      <c r="O978" s="337"/>
      <c r="S978" s="337"/>
      <c r="T978" s="14"/>
      <c r="W978" s="337"/>
      <c r="X978" s="513"/>
      <c r="AA978" s="337"/>
      <c r="AB978" s="17"/>
      <c r="AC978" s="180"/>
      <c r="AD978" s="180"/>
      <c r="AE978" s="514"/>
      <c r="AF978" s="17"/>
      <c r="AI978" s="337"/>
      <c r="AM978" s="337"/>
      <c r="AQ978" s="337"/>
    </row>
    <row r="979" spans="2:43">
      <c r="B979" s="541"/>
      <c r="D979" s="337"/>
      <c r="G979" s="337"/>
      <c r="K979" s="337"/>
      <c r="O979" s="337"/>
      <c r="S979" s="337"/>
      <c r="T979" s="14"/>
      <c r="W979" s="337"/>
      <c r="X979" s="513"/>
      <c r="AA979" s="337"/>
      <c r="AB979" s="17"/>
      <c r="AC979" s="180"/>
      <c r="AD979" s="180"/>
      <c r="AE979" s="514"/>
      <c r="AF979" s="17"/>
      <c r="AI979" s="337"/>
      <c r="AM979" s="337"/>
      <c r="AQ979" s="337"/>
    </row>
    <row r="980" spans="2:43">
      <c r="B980" s="541"/>
      <c r="D980" s="337"/>
      <c r="G980" s="337"/>
      <c r="K980" s="337"/>
      <c r="O980" s="337"/>
      <c r="S980" s="337"/>
      <c r="T980" s="14"/>
      <c r="W980" s="337"/>
      <c r="X980" s="513"/>
      <c r="AA980" s="337"/>
      <c r="AB980" s="17"/>
      <c r="AC980" s="180"/>
      <c r="AD980" s="180"/>
      <c r="AE980" s="514"/>
      <c r="AF980" s="17"/>
      <c r="AI980" s="337"/>
      <c r="AM980" s="337"/>
      <c r="AQ980" s="337"/>
    </row>
    <row r="981" spans="2:43">
      <c r="B981" s="541"/>
      <c r="D981" s="337"/>
      <c r="G981" s="337"/>
      <c r="K981" s="337"/>
      <c r="O981" s="337"/>
      <c r="S981" s="337"/>
      <c r="T981" s="14"/>
      <c r="W981" s="337"/>
      <c r="X981" s="513"/>
      <c r="AA981" s="337"/>
      <c r="AB981" s="17"/>
      <c r="AC981" s="180"/>
      <c r="AD981" s="180"/>
      <c r="AE981" s="514"/>
      <c r="AF981" s="17"/>
      <c r="AI981" s="337"/>
      <c r="AM981" s="337"/>
      <c r="AQ981" s="337"/>
    </row>
    <row r="982" spans="2:43">
      <c r="B982" s="541"/>
      <c r="D982" s="337"/>
      <c r="G982" s="337"/>
      <c r="K982" s="337"/>
      <c r="O982" s="337"/>
      <c r="S982" s="337"/>
      <c r="T982" s="14"/>
      <c r="W982" s="337"/>
      <c r="X982" s="513"/>
      <c r="AA982" s="337"/>
      <c r="AB982" s="17"/>
      <c r="AC982" s="180"/>
      <c r="AD982" s="180"/>
      <c r="AE982" s="514"/>
      <c r="AF982" s="17"/>
      <c r="AI982" s="337"/>
      <c r="AM982" s="337"/>
      <c r="AQ982" s="337"/>
    </row>
    <row r="983" spans="2:43">
      <c r="B983" s="541"/>
      <c r="D983" s="337"/>
      <c r="G983" s="337"/>
      <c r="K983" s="337"/>
      <c r="O983" s="337"/>
      <c r="S983" s="337"/>
      <c r="T983" s="14"/>
      <c r="W983" s="337"/>
      <c r="X983" s="513"/>
      <c r="AA983" s="337"/>
      <c r="AB983" s="17"/>
      <c r="AC983" s="180"/>
      <c r="AD983" s="180"/>
      <c r="AE983" s="514"/>
      <c r="AF983" s="17"/>
      <c r="AI983" s="337"/>
      <c r="AM983" s="337"/>
      <c r="AQ983" s="337"/>
    </row>
    <row r="984" spans="2:43">
      <c r="B984" s="541"/>
      <c r="D984" s="337"/>
      <c r="G984" s="337"/>
      <c r="K984" s="337"/>
      <c r="O984" s="337"/>
      <c r="S984" s="337"/>
      <c r="T984" s="14"/>
      <c r="W984" s="337"/>
      <c r="X984" s="513"/>
      <c r="AA984" s="337"/>
      <c r="AB984" s="17"/>
      <c r="AC984" s="180"/>
      <c r="AD984" s="180"/>
      <c r="AE984" s="514"/>
      <c r="AF984" s="17"/>
      <c r="AI984" s="337"/>
      <c r="AM984" s="337"/>
      <c r="AQ984" s="337"/>
    </row>
    <row r="985" spans="2:43">
      <c r="B985" s="541"/>
      <c r="D985" s="337"/>
      <c r="G985" s="337"/>
      <c r="K985" s="337"/>
      <c r="O985" s="337"/>
      <c r="S985" s="337"/>
      <c r="T985" s="14"/>
      <c r="W985" s="337"/>
      <c r="X985" s="513"/>
      <c r="AA985" s="337"/>
      <c r="AB985" s="17"/>
      <c r="AC985" s="180"/>
      <c r="AD985" s="180"/>
      <c r="AE985" s="514"/>
      <c r="AF985" s="17"/>
      <c r="AI985" s="337"/>
      <c r="AM985" s="337"/>
      <c r="AQ985" s="337"/>
    </row>
    <row r="986" spans="2:43">
      <c r="B986" s="541"/>
      <c r="D986" s="337"/>
      <c r="G986" s="337"/>
      <c r="K986" s="337"/>
      <c r="O986" s="337"/>
      <c r="S986" s="337"/>
      <c r="T986" s="14"/>
      <c r="W986" s="337"/>
      <c r="X986" s="513"/>
      <c r="AA986" s="337"/>
      <c r="AB986" s="17"/>
      <c r="AC986" s="180"/>
      <c r="AD986" s="180"/>
      <c r="AE986" s="514"/>
      <c r="AF986" s="17"/>
      <c r="AI986" s="337"/>
      <c r="AM986" s="337"/>
      <c r="AQ986" s="337"/>
    </row>
    <row r="987" spans="2:43">
      <c r="B987" s="541"/>
      <c r="D987" s="337"/>
      <c r="G987" s="337"/>
      <c r="K987" s="337"/>
      <c r="O987" s="337"/>
      <c r="S987" s="337"/>
      <c r="T987" s="14"/>
      <c r="W987" s="337"/>
      <c r="X987" s="513"/>
      <c r="AA987" s="337"/>
      <c r="AB987" s="17"/>
      <c r="AC987" s="180"/>
      <c r="AD987" s="180"/>
      <c r="AE987" s="514"/>
      <c r="AF987" s="17"/>
      <c r="AI987" s="337"/>
      <c r="AM987" s="337"/>
      <c r="AQ987" s="337"/>
    </row>
    <row r="988" spans="2:43">
      <c r="B988" s="541"/>
      <c r="D988" s="337"/>
      <c r="G988" s="337"/>
      <c r="K988" s="337"/>
      <c r="O988" s="337"/>
      <c r="S988" s="337"/>
      <c r="T988" s="14"/>
      <c r="W988" s="337"/>
      <c r="X988" s="513"/>
      <c r="AA988" s="337"/>
      <c r="AB988" s="17"/>
      <c r="AC988" s="180"/>
      <c r="AD988" s="180"/>
      <c r="AE988" s="514"/>
      <c r="AF988" s="17"/>
      <c r="AI988" s="337"/>
      <c r="AM988" s="337"/>
      <c r="AQ988" s="337"/>
    </row>
    <row r="989" spans="2:43">
      <c r="B989" s="541"/>
      <c r="D989" s="337"/>
      <c r="G989" s="337"/>
      <c r="K989" s="337"/>
      <c r="O989" s="337"/>
      <c r="S989" s="337"/>
      <c r="T989" s="14"/>
      <c r="W989" s="337"/>
      <c r="X989" s="513"/>
      <c r="AA989" s="337"/>
      <c r="AB989" s="17"/>
      <c r="AC989" s="180"/>
      <c r="AD989" s="180"/>
      <c r="AE989" s="514"/>
      <c r="AF989" s="17"/>
      <c r="AI989" s="337"/>
      <c r="AM989" s="337"/>
      <c r="AQ989" s="337"/>
    </row>
    <row r="990" spans="2:43">
      <c r="B990" s="541"/>
      <c r="D990" s="337"/>
      <c r="G990" s="337"/>
      <c r="K990" s="337"/>
      <c r="O990" s="337"/>
      <c r="S990" s="337"/>
      <c r="T990" s="14"/>
      <c r="W990" s="337"/>
      <c r="X990" s="513"/>
      <c r="AA990" s="337"/>
      <c r="AB990" s="17"/>
      <c r="AC990" s="180"/>
      <c r="AD990" s="180"/>
      <c r="AE990" s="514"/>
      <c r="AF990" s="17"/>
      <c r="AI990" s="337"/>
      <c r="AM990" s="337"/>
      <c r="AQ990" s="337"/>
    </row>
    <row r="991" spans="2:43">
      <c r="B991" s="541"/>
      <c r="D991" s="337"/>
      <c r="G991" s="337"/>
      <c r="K991" s="337"/>
      <c r="O991" s="337"/>
      <c r="S991" s="337"/>
      <c r="T991" s="14"/>
      <c r="W991" s="337"/>
      <c r="X991" s="513"/>
      <c r="AA991" s="337"/>
      <c r="AB991" s="17"/>
      <c r="AC991" s="180"/>
      <c r="AD991" s="180"/>
      <c r="AE991" s="514"/>
      <c r="AF991" s="17"/>
      <c r="AI991" s="337"/>
      <c r="AM991" s="337"/>
      <c r="AQ991" s="337"/>
    </row>
    <row r="992" spans="2:43">
      <c r="B992" s="541"/>
      <c r="D992" s="337"/>
      <c r="G992" s="337"/>
      <c r="K992" s="337"/>
      <c r="O992" s="337"/>
      <c r="S992" s="337"/>
      <c r="T992" s="14"/>
      <c r="W992" s="337"/>
      <c r="X992" s="513"/>
      <c r="AA992" s="337"/>
      <c r="AB992" s="17"/>
      <c r="AC992" s="180"/>
      <c r="AD992" s="180"/>
      <c r="AE992" s="514"/>
      <c r="AF992" s="17"/>
      <c r="AI992" s="337"/>
      <c r="AM992" s="337"/>
      <c r="AQ992" s="337"/>
    </row>
    <row r="993" spans="2:43">
      <c r="B993" s="541"/>
      <c r="D993" s="337"/>
      <c r="G993" s="337"/>
      <c r="K993" s="337"/>
      <c r="O993" s="337"/>
      <c r="S993" s="337"/>
      <c r="T993" s="14"/>
      <c r="W993" s="337"/>
      <c r="X993" s="513"/>
      <c r="AA993" s="337"/>
      <c r="AB993" s="17"/>
      <c r="AC993" s="180"/>
      <c r="AD993" s="180"/>
      <c r="AE993" s="514"/>
      <c r="AF993" s="17"/>
      <c r="AI993" s="337"/>
      <c r="AM993" s="337"/>
      <c r="AQ993" s="337"/>
    </row>
    <row r="994" spans="2:43">
      <c r="B994" s="541"/>
      <c r="D994" s="337"/>
      <c r="G994" s="337"/>
      <c r="K994" s="337"/>
      <c r="O994" s="337"/>
      <c r="S994" s="337"/>
      <c r="T994" s="14"/>
      <c r="W994" s="337"/>
      <c r="X994" s="513"/>
      <c r="AA994" s="337"/>
      <c r="AB994" s="17"/>
      <c r="AC994" s="180"/>
      <c r="AD994" s="180"/>
      <c r="AE994" s="514"/>
      <c r="AF994" s="17"/>
      <c r="AI994" s="337"/>
      <c r="AM994" s="337"/>
      <c r="AQ994" s="337"/>
    </row>
    <row r="995" spans="2:43">
      <c r="B995" s="541"/>
      <c r="D995" s="337"/>
      <c r="G995" s="337"/>
      <c r="K995" s="337"/>
      <c r="O995" s="337"/>
      <c r="S995" s="337"/>
      <c r="T995" s="14"/>
      <c r="W995" s="337"/>
      <c r="X995" s="513"/>
      <c r="AA995" s="337"/>
      <c r="AB995" s="17"/>
      <c r="AC995" s="180"/>
      <c r="AD995" s="180"/>
      <c r="AE995" s="514"/>
      <c r="AF995" s="17"/>
      <c r="AI995" s="337"/>
      <c r="AM995" s="337"/>
      <c r="AQ995" s="337"/>
    </row>
    <row r="996" spans="2:43">
      <c r="B996" s="541"/>
      <c r="D996" s="337"/>
      <c r="G996" s="337"/>
      <c r="K996" s="337"/>
      <c r="O996" s="337"/>
      <c r="S996" s="337"/>
      <c r="T996" s="14"/>
      <c r="W996" s="337"/>
      <c r="X996" s="513"/>
      <c r="AA996" s="337"/>
      <c r="AB996" s="17"/>
      <c r="AC996" s="180"/>
      <c r="AD996" s="180"/>
      <c r="AE996" s="514"/>
      <c r="AF996" s="17"/>
      <c r="AI996" s="337"/>
      <c r="AM996" s="337"/>
      <c r="AQ996" s="337"/>
    </row>
    <row r="997" spans="2:43">
      <c r="B997" s="541"/>
      <c r="D997" s="337"/>
      <c r="G997" s="337"/>
      <c r="K997" s="337"/>
      <c r="O997" s="337"/>
      <c r="S997" s="337"/>
      <c r="T997" s="14"/>
      <c r="W997" s="337"/>
      <c r="X997" s="513"/>
      <c r="AA997" s="337"/>
      <c r="AB997" s="17"/>
      <c r="AC997" s="180"/>
      <c r="AD997" s="180"/>
      <c r="AE997" s="514"/>
      <c r="AF997" s="17"/>
      <c r="AI997" s="337"/>
      <c r="AM997" s="337"/>
      <c r="AQ997" s="337"/>
    </row>
    <row r="998" spans="2:43">
      <c r="B998" s="541"/>
      <c r="D998" s="337"/>
      <c r="G998" s="337"/>
      <c r="K998" s="337"/>
      <c r="O998" s="337"/>
      <c r="S998" s="337"/>
      <c r="T998" s="14"/>
      <c r="W998" s="337"/>
      <c r="X998" s="513"/>
      <c r="AA998" s="337"/>
      <c r="AB998" s="17"/>
      <c r="AC998" s="180"/>
      <c r="AD998" s="180"/>
      <c r="AE998" s="514"/>
      <c r="AF998" s="17"/>
      <c r="AI998" s="337"/>
      <c r="AM998" s="337"/>
      <c r="AQ998" s="337"/>
    </row>
    <row r="999" spans="2:43">
      <c r="B999" s="541"/>
      <c r="D999" s="337"/>
      <c r="G999" s="337"/>
      <c r="K999" s="337"/>
      <c r="O999" s="337"/>
      <c r="S999" s="337"/>
      <c r="T999" s="14"/>
      <c r="W999" s="337"/>
      <c r="X999" s="513"/>
      <c r="AA999" s="337"/>
      <c r="AB999" s="17"/>
      <c r="AC999" s="180"/>
      <c r="AD999" s="180"/>
      <c r="AE999" s="514"/>
      <c r="AF999" s="17"/>
      <c r="AI999" s="337"/>
      <c r="AM999" s="337"/>
      <c r="AQ999" s="337"/>
    </row>
    <row r="1000" spans="2:43">
      <c r="B1000" s="541"/>
      <c r="D1000" s="337"/>
      <c r="G1000" s="337"/>
      <c r="K1000" s="337"/>
      <c r="O1000" s="337"/>
      <c r="S1000" s="337"/>
      <c r="T1000" s="14"/>
      <c r="W1000" s="337"/>
      <c r="X1000" s="513"/>
      <c r="AA1000" s="337"/>
      <c r="AB1000" s="17"/>
      <c r="AC1000" s="180"/>
      <c r="AD1000" s="180"/>
      <c r="AE1000" s="514"/>
      <c r="AF1000" s="17"/>
      <c r="AI1000" s="337"/>
      <c r="AM1000" s="337"/>
      <c r="AQ1000" s="337"/>
    </row>
    <row r="1001" spans="2:43">
      <c r="B1001" s="541"/>
      <c r="D1001" s="337"/>
      <c r="G1001" s="337"/>
      <c r="K1001" s="337"/>
      <c r="O1001" s="337"/>
      <c r="S1001" s="337"/>
      <c r="T1001" s="14"/>
      <c r="W1001" s="337"/>
      <c r="X1001" s="513"/>
      <c r="AA1001" s="337"/>
      <c r="AB1001" s="17"/>
      <c r="AC1001" s="180"/>
      <c r="AD1001" s="180"/>
      <c r="AE1001" s="514"/>
      <c r="AF1001" s="17"/>
      <c r="AI1001" s="337"/>
      <c r="AM1001" s="337"/>
      <c r="AQ1001" s="337"/>
    </row>
    <row r="1002" spans="2:43">
      <c r="B1002" s="541"/>
      <c r="D1002" s="337"/>
      <c r="G1002" s="337"/>
      <c r="K1002" s="337"/>
      <c r="O1002" s="337"/>
      <c r="S1002" s="337"/>
      <c r="T1002" s="14"/>
      <c r="W1002" s="337"/>
      <c r="X1002" s="513"/>
      <c r="AA1002" s="337"/>
      <c r="AB1002" s="17"/>
      <c r="AC1002" s="180"/>
      <c r="AD1002" s="180"/>
      <c r="AE1002" s="514"/>
      <c r="AF1002" s="17"/>
      <c r="AI1002" s="337"/>
      <c r="AM1002" s="337"/>
      <c r="AQ1002" s="337"/>
    </row>
    <row r="1003" spans="2:43">
      <c r="B1003" s="541"/>
      <c r="D1003" s="337"/>
      <c r="G1003" s="337"/>
      <c r="K1003" s="337"/>
      <c r="O1003" s="337"/>
      <c r="S1003" s="337"/>
      <c r="T1003" s="14"/>
      <c r="W1003" s="337"/>
      <c r="X1003" s="513"/>
      <c r="AA1003" s="337"/>
      <c r="AB1003" s="17"/>
      <c r="AC1003" s="180"/>
      <c r="AD1003" s="180"/>
      <c r="AE1003" s="514"/>
      <c r="AF1003" s="17"/>
      <c r="AI1003" s="337"/>
      <c r="AM1003" s="337"/>
      <c r="AQ1003" s="337"/>
    </row>
    <row r="1004" spans="2:43">
      <c r="B1004" s="541"/>
      <c r="D1004" s="337"/>
      <c r="G1004" s="337"/>
      <c r="K1004" s="337"/>
      <c r="O1004" s="337"/>
      <c r="S1004" s="337"/>
      <c r="T1004" s="14"/>
      <c r="W1004" s="337"/>
      <c r="X1004" s="513"/>
      <c r="AA1004" s="337"/>
      <c r="AB1004" s="17"/>
      <c r="AC1004" s="180"/>
      <c r="AD1004" s="180"/>
      <c r="AE1004" s="514"/>
      <c r="AF1004" s="17"/>
      <c r="AI1004" s="337"/>
      <c r="AM1004" s="337"/>
      <c r="AQ1004" s="337"/>
    </row>
    <row r="1005" spans="2:43">
      <c r="B1005" s="541"/>
      <c r="D1005" s="337"/>
      <c r="G1005" s="337"/>
      <c r="K1005" s="337"/>
      <c r="O1005" s="337"/>
      <c r="S1005" s="337"/>
      <c r="T1005" s="14"/>
      <c r="W1005" s="337"/>
      <c r="X1005" s="513"/>
      <c r="AA1005" s="337"/>
      <c r="AB1005" s="17"/>
      <c r="AC1005" s="180"/>
      <c r="AD1005" s="180"/>
      <c r="AE1005" s="514"/>
      <c r="AF1005" s="17"/>
      <c r="AI1005" s="337"/>
      <c r="AM1005" s="337"/>
      <c r="AQ1005" s="337"/>
    </row>
    <row r="1006" spans="2:43">
      <c r="B1006" s="541"/>
      <c r="D1006" s="337"/>
      <c r="G1006" s="337"/>
      <c r="K1006" s="337"/>
      <c r="O1006" s="337"/>
      <c r="S1006" s="337"/>
      <c r="T1006" s="14"/>
      <c r="W1006" s="337"/>
      <c r="X1006" s="513"/>
      <c r="AA1006" s="337"/>
      <c r="AB1006" s="17"/>
      <c r="AC1006" s="180"/>
      <c r="AD1006" s="180"/>
      <c r="AE1006" s="514"/>
      <c r="AF1006" s="17"/>
      <c r="AI1006" s="337"/>
      <c r="AM1006" s="337"/>
      <c r="AQ1006" s="337"/>
    </row>
    <row r="1007" spans="2:43">
      <c r="B1007" s="541"/>
      <c r="D1007" s="337"/>
      <c r="G1007" s="337"/>
      <c r="K1007" s="337"/>
      <c r="O1007" s="337"/>
      <c r="S1007" s="337"/>
      <c r="T1007" s="14"/>
      <c r="W1007" s="337"/>
      <c r="X1007" s="513"/>
      <c r="AA1007" s="337"/>
      <c r="AB1007" s="17"/>
      <c r="AC1007" s="180"/>
      <c r="AD1007" s="180"/>
      <c r="AE1007" s="514"/>
      <c r="AF1007" s="17"/>
      <c r="AI1007" s="337"/>
      <c r="AM1007" s="337"/>
      <c r="AQ1007" s="337"/>
    </row>
    <row r="1008" spans="2:43">
      <c r="B1008" s="541"/>
      <c r="D1008" s="337"/>
      <c r="G1008" s="337"/>
      <c r="K1008" s="337"/>
      <c r="O1008" s="337"/>
      <c r="S1008" s="337"/>
      <c r="T1008" s="14"/>
      <c r="W1008" s="337"/>
      <c r="X1008" s="513"/>
      <c r="AA1008" s="337"/>
      <c r="AB1008" s="17"/>
      <c r="AC1008" s="180"/>
      <c r="AD1008" s="180"/>
      <c r="AE1008" s="514"/>
      <c r="AF1008" s="17"/>
      <c r="AI1008" s="337"/>
      <c r="AM1008" s="337"/>
      <c r="AQ1008" s="337"/>
    </row>
    <row r="1009" spans="2:43">
      <c r="B1009" s="541"/>
      <c r="D1009" s="337"/>
      <c r="G1009" s="337"/>
      <c r="K1009" s="337"/>
      <c r="O1009" s="337"/>
      <c r="S1009" s="337"/>
      <c r="T1009" s="14"/>
      <c r="W1009" s="337"/>
      <c r="X1009" s="513"/>
      <c r="AA1009" s="337"/>
      <c r="AB1009" s="17"/>
      <c r="AC1009" s="180"/>
      <c r="AD1009" s="180"/>
      <c r="AE1009" s="514"/>
      <c r="AF1009" s="17"/>
      <c r="AI1009" s="337"/>
      <c r="AM1009" s="337"/>
      <c r="AQ1009" s="337"/>
    </row>
    <row r="1010" spans="2:43">
      <c r="B1010" s="541"/>
      <c r="D1010" s="337"/>
      <c r="G1010" s="337"/>
      <c r="K1010" s="337"/>
      <c r="O1010" s="337"/>
      <c r="S1010" s="337"/>
      <c r="T1010" s="14"/>
      <c r="W1010" s="337"/>
      <c r="X1010" s="513"/>
      <c r="AA1010" s="337"/>
      <c r="AB1010" s="17"/>
      <c r="AC1010" s="180"/>
      <c r="AD1010" s="180"/>
      <c r="AE1010" s="514"/>
      <c r="AF1010" s="17"/>
      <c r="AI1010" s="337"/>
      <c r="AM1010" s="337"/>
      <c r="AQ1010" s="337"/>
    </row>
    <row r="1011" spans="2:43">
      <c r="B1011" s="541"/>
      <c r="D1011" s="337"/>
      <c r="G1011" s="337"/>
      <c r="K1011" s="337"/>
      <c r="O1011" s="337"/>
      <c r="S1011" s="337"/>
      <c r="T1011" s="14"/>
      <c r="W1011" s="337"/>
      <c r="X1011" s="513"/>
      <c r="AA1011" s="337"/>
      <c r="AB1011" s="17"/>
      <c r="AC1011" s="180"/>
      <c r="AD1011" s="180"/>
      <c r="AE1011" s="514"/>
      <c r="AF1011" s="17"/>
      <c r="AI1011" s="337"/>
      <c r="AM1011" s="337"/>
      <c r="AQ1011" s="337"/>
    </row>
    <row r="1012" spans="2:43">
      <c r="B1012" s="541"/>
      <c r="D1012" s="337"/>
      <c r="G1012" s="337"/>
      <c r="K1012" s="337"/>
      <c r="O1012" s="337"/>
      <c r="S1012" s="337"/>
      <c r="T1012" s="14"/>
      <c r="W1012" s="337"/>
      <c r="X1012" s="513"/>
      <c r="AA1012" s="337"/>
      <c r="AB1012" s="17"/>
      <c r="AC1012" s="180"/>
      <c r="AD1012" s="180"/>
      <c r="AE1012" s="514"/>
      <c r="AF1012" s="17"/>
      <c r="AI1012" s="337"/>
      <c r="AM1012" s="337"/>
      <c r="AQ1012" s="337"/>
    </row>
    <row r="1013" spans="2:43">
      <c r="B1013" s="541"/>
      <c r="D1013" s="337"/>
      <c r="G1013" s="337"/>
      <c r="K1013" s="337"/>
      <c r="O1013" s="337"/>
      <c r="S1013" s="337"/>
      <c r="T1013" s="14"/>
      <c r="W1013" s="337"/>
      <c r="X1013" s="513"/>
      <c r="AA1013" s="337"/>
      <c r="AB1013" s="17"/>
      <c r="AC1013" s="180"/>
      <c r="AD1013" s="180"/>
      <c r="AE1013" s="514"/>
      <c r="AF1013" s="17"/>
      <c r="AI1013" s="337"/>
      <c r="AM1013" s="337"/>
      <c r="AQ1013" s="337"/>
    </row>
    <row r="1014" spans="2:43">
      <c r="B1014" s="541"/>
      <c r="D1014" s="337"/>
      <c r="G1014" s="337"/>
      <c r="K1014" s="337"/>
      <c r="O1014" s="337"/>
      <c r="S1014" s="337"/>
      <c r="T1014" s="14"/>
      <c r="W1014" s="337"/>
      <c r="X1014" s="513"/>
      <c r="AA1014" s="337"/>
      <c r="AB1014" s="17"/>
      <c r="AC1014" s="180"/>
      <c r="AD1014" s="180"/>
      <c r="AE1014" s="514"/>
      <c r="AF1014" s="17"/>
      <c r="AI1014" s="337"/>
      <c r="AM1014" s="337"/>
      <c r="AQ1014" s="337"/>
    </row>
    <row r="1015" spans="2:43">
      <c r="B1015" s="541"/>
      <c r="D1015" s="337"/>
      <c r="G1015" s="337"/>
      <c r="K1015" s="337"/>
      <c r="O1015" s="337"/>
      <c r="S1015" s="337"/>
      <c r="T1015" s="14"/>
      <c r="W1015" s="337"/>
      <c r="X1015" s="513"/>
      <c r="AA1015" s="337"/>
      <c r="AB1015" s="17"/>
      <c r="AC1015" s="180"/>
      <c r="AD1015" s="180"/>
      <c r="AE1015" s="514"/>
      <c r="AF1015" s="17"/>
      <c r="AI1015" s="337"/>
      <c r="AM1015" s="337"/>
      <c r="AQ1015" s="337"/>
    </row>
    <row r="1016" spans="2:43">
      <c r="B1016" s="541"/>
      <c r="D1016" s="337"/>
      <c r="G1016" s="337"/>
      <c r="K1016" s="337"/>
      <c r="O1016" s="337"/>
      <c r="S1016" s="337"/>
      <c r="T1016" s="14"/>
      <c r="W1016" s="337"/>
      <c r="X1016" s="513"/>
      <c r="AA1016" s="337"/>
      <c r="AB1016" s="17"/>
      <c r="AC1016" s="180"/>
      <c r="AD1016" s="180"/>
      <c r="AE1016" s="514"/>
      <c r="AF1016" s="17"/>
      <c r="AI1016" s="337"/>
      <c r="AM1016" s="337"/>
      <c r="AQ1016" s="337"/>
    </row>
    <row r="1017" spans="2:43">
      <c r="B1017" s="541"/>
      <c r="D1017" s="337"/>
      <c r="G1017" s="337"/>
      <c r="K1017" s="337"/>
      <c r="O1017" s="337"/>
      <c r="S1017" s="337"/>
      <c r="T1017" s="14"/>
      <c r="W1017" s="337"/>
      <c r="X1017" s="513"/>
      <c r="AA1017" s="337"/>
      <c r="AB1017" s="17"/>
      <c r="AC1017" s="180"/>
      <c r="AD1017" s="180"/>
      <c r="AE1017" s="514"/>
      <c r="AF1017" s="17"/>
      <c r="AI1017" s="337"/>
      <c r="AM1017" s="337"/>
      <c r="AQ1017" s="337"/>
    </row>
    <row r="1018" spans="2:43">
      <c r="B1018" s="541"/>
      <c r="D1018" s="337"/>
      <c r="G1018" s="337"/>
      <c r="K1018" s="337"/>
      <c r="O1018" s="337"/>
      <c r="S1018" s="337"/>
      <c r="T1018" s="14"/>
      <c r="W1018" s="337"/>
      <c r="X1018" s="513"/>
      <c r="AA1018" s="337"/>
      <c r="AB1018" s="17"/>
      <c r="AC1018" s="180"/>
      <c r="AD1018" s="180"/>
      <c r="AE1018" s="514"/>
      <c r="AF1018" s="17"/>
      <c r="AI1018" s="337"/>
      <c r="AM1018" s="337"/>
      <c r="AQ1018" s="337"/>
    </row>
    <row r="1019" spans="2:43">
      <c r="B1019" s="541"/>
      <c r="D1019" s="337"/>
      <c r="G1019" s="337"/>
      <c r="K1019" s="337"/>
      <c r="O1019" s="337"/>
      <c r="S1019" s="337"/>
      <c r="T1019" s="14"/>
      <c r="W1019" s="337"/>
      <c r="X1019" s="513"/>
      <c r="AA1019" s="337"/>
      <c r="AB1019" s="17"/>
      <c r="AC1019" s="180"/>
      <c r="AD1019" s="180"/>
      <c r="AE1019" s="514"/>
      <c r="AF1019" s="17"/>
      <c r="AI1019" s="337"/>
      <c r="AM1019" s="337"/>
      <c r="AQ1019" s="337"/>
    </row>
    <row r="1020" spans="2:43">
      <c r="B1020" s="541"/>
      <c r="D1020" s="337"/>
      <c r="G1020" s="337"/>
      <c r="K1020" s="337"/>
      <c r="O1020" s="337"/>
      <c r="S1020" s="337"/>
      <c r="T1020" s="14"/>
      <c r="W1020" s="337"/>
      <c r="X1020" s="513"/>
      <c r="AA1020" s="337"/>
      <c r="AB1020" s="17"/>
      <c r="AC1020" s="180"/>
      <c r="AD1020" s="180"/>
      <c r="AE1020" s="514"/>
      <c r="AF1020" s="17"/>
      <c r="AI1020" s="337"/>
      <c r="AM1020" s="337"/>
      <c r="AQ1020" s="337"/>
    </row>
    <row r="1021" spans="2:43">
      <c r="B1021" s="541"/>
      <c r="D1021" s="337"/>
      <c r="G1021" s="337"/>
      <c r="K1021" s="337"/>
      <c r="O1021" s="337"/>
      <c r="S1021" s="337"/>
      <c r="T1021" s="14"/>
      <c r="W1021" s="337"/>
      <c r="X1021" s="513"/>
      <c r="AA1021" s="337"/>
      <c r="AB1021" s="17"/>
      <c r="AC1021" s="180"/>
      <c r="AD1021" s="180"/>
      <c r="AE1021" s="514"/>
      <c r="AF1021" s="17"/>
      <c r="AI1021" s="337"/>
      <c r="AM1021" s="337"/>
      <c r="AQ1021" s="337"/>
    </row>
    <row r="1022" spans="2:43">
      <c r="B1022" s="541"/>
      <c r="D1022" s="337"/>
      <c r="G1022" s="337"/>
      <c r="K1022" s="337"/>
      <c r="O1022" s="337"/>
      <c r="S1022" s="337"/>
      <c r="T1022" s="14"/>
      <c r="W1022" s="337"/>
      <c r="X1022" s="513"/>
      <c r="AA1022" s="337"/>
      <c r="AB1022" s="17"/>
      <c r="AC1022" s="180"/>
      <c r="AD1022" s="180"/>
      <c r="AE1022" s="514"/>
      <c r="AF1022" s="17"/>
      <c r="AI1022" s="337"/>
      <c r="AM1022" s="337"/>
      <c r="AQ1022" s="337"/>
    </row>
    <row r="1023" spans="2:43">
      <c r="B1023" s="541"/>
      <c r="D1023" s="337"/>
      <c r="G1023" s="337"/>
      <c r="K1023" s="337"/>
      <c r="O1023" s="337"/>
      <c r="S1023" s="337"/>
      <c r="T1023" s="14"/>
      <c r="W1023" s="337"/>
      <c r="X1023" s="513"/>
      <c r="AA1023" s="337"/>
      <c r="AB1023" s="17"/>
      <c r="AC1023" s="180"/>
      <c r="AD1023" s="180"/>
      <c r="AE1023" s="514"/>
      <c r="AF1023" s="17"/>
      <c r="AI1023" s="337"/>
      <c r="AM1023" s="337"/>
      <c r="AQ1023" s="337"/>
    </row>
    <row r="1024" spans="2:43">
      <c r="B1024" s="541"/>
      <c r="D1024" s="337"/>
      <c r="G1024" s="337"/>
      <c r="K1024" s="337"/>
      <c r="O1024" s="337"/>
      <c r="S1024" s="337"/>
      <c r="T1024" s="14"/>
      <c r="W1024" s="337"/>
      <c r="X1024" s="513"/>
      <c r="AA1024" s="337"/>
      <c r="AB1024" s="17"/>
      <c r="AC1024" s="180"/>
      <c r="AD1024" s="180"/>
      <c r="AE1024" s="514"/>
      <c r="AF1024" s="17"/>
      <c r="AI1024" s="337"/>
      <c r="AM1024" s="337"/>
      <c r="AQ1024" s="337"/>
    </row>
    <row r="1025" spans="2:43">
      <c r="B1025" s="541"/>
      <c r="D1025" s="337"/>
      <c r="G1025" s="337"/>
      <c r="K1025" s="337"/>
      <c r="O1025" s="337"/>
      <c r="S1025" s="337"/>
      <c r="T1025" s="14"/>
      <c r="W1025" s="337"/>
      <c r="X1025" s="513"/>
      <c r="AA1025" s="337"/>
      <c r="AB1025" s="17"/>
      <c r="AC1025" s="180"/>
      <c r="AD1025" s="180"/>
      <c r="AE1025" s="514"/>
      <c r="AF1025" s="17"/>
      <c r="AI1025" s="337"/>
      <c r="AM1025" s="337"/>
      <c r="AQ1025" s="337"/>
    </row>
    <row r="1026" spans="2:43">
      <c r="B1026" s="541"/>
      <c r="D1026" s="337"/>
      <c r="G1026" s="337"/>
      <c r="K1026" s="337"/>
      <c r="O1026" s="337"/>
      <c r="S1026" s="337"/>
      <c r="T1026" s="14"/>
      <c r="W1026" s="337"/>
      <c r="X1026" s="513"/>
      <c r="AA1026" s="337"/>
      <c r="AB1026" s="17"/>
      <c r="AC1026" s="180"/>
      <c r="AD1026" s="180"/>
      <c r="AE1026" s="514"/>
      <c r="AF1026" s="17"/>
      <c r="AI1026" s="337"/>
      <c r="AM1026" s="337"/>
      <c r="AQ1026" s="337"/>
    </row>
    <row r="1027" spans="2:43">
      <c r="B1027" s="541"/>
      <c r="D1027" s="337"/>
      <c r="G1027" s="337"/>
      <c r="K1027" s="337"/>
      <c r="O1027" s="337"/>
      <c r="S1027" s="337"/>
      <c r="T1027" s="14"/>
      <c r="W1027" s="337"/>
      <c r="X1027" s="513"/>
      <c r="AA1027" s="337"/>
      <c r="AB1027" s="17"/>
      <c r="AC1027" s="180"/>
      <c r="AD1027" s="180"/>
      <c r="AE1027" s="514"/>
      <c r="AF1027" s="17"/>
      <c r="AI1027" s="337"/>
      <c r="AM1027" s="337"/>
      <c r="AQ1027" s="337"/>
    </row>
    <row r="1028" spans="2:43">
      <c r="B1028" s="541"/>
      <c r="D1028" s="337"/>
      <c r="G1028" s="337"/>
      <c r="K1028" s="337"/>
      <c r="O1028" s="337"/>
      <c r="S1028" s="337"/>
      <c r="T1028" s="14"/>
      <c r="W1028" s="337"/>
      <c r="X1028" s="513"/>
      <c r="AA1028" s="337"/>
      <c r="AB1028" s="17"/>
      <c r="AC1028" s="180"/>
      <c r="AD1028" s="180"/>
      <c r="AE1028" s="514"/>
      <c r="AF1028" s="17"/>
      <c r="AI1028" s="337"/>
      <c r="AM1028" s="337"/>
      <c r="AQ1028" s="337"/>
    </row>
    <row r="1029" spans="2:43">
      <c r="B1029" s="541"/>
      <c r="D1029" s="337"/>
      <c r="G1029" s="337"/>
      <c r="K1029" s="337"/>
      <c r="O1029" s="337"/>
      <c r="S1029" s="337"/>
      <c r="T1029" s="14"/>
      <c r="W1029" s="337"/>
      <c r="X1029" s="513"/>
      <c r="AA1029" s="337"/>
      <c r="AB1029" s="17"/>
      <c r="AC1029" s="180"/>
      <c r="AD1029" s="180"/>
      <c r="AE1029" s="514"/>
      <c r="AF1029" s="17"/>
      <c r="AI1029" s="337"/>
      <c r="AM1029" s="337"/>
      <c r="AQ1029" s="337"/>
    </row>
    <row r="1030" spans="2:43">
      <c r="B1030" s="541"/>
      <c r="D1030" s="337"/>
      <c r="G1030" s="337"/>
      <c r="K1030" s="337"/>
      <c r="O1030" s="337"/>
      <c r="S1030" s="337"/>
      <c r="T1030" s="14"/>
      <c r="W1030" s="337"/>
      <c r="X1030" s="513"/>
      <c r="AA1030" s="337"/>
      <c r="AB1030" s="17"/>
      <c r="AC1030" s="180"/>
      <c r="AD1030" s="180"/>
      <c r="AE1030" s="514"/>
      <c r="AF1030" s="17"/>
      <c r="AI1030" s="337"/>
      <c r="AM1030" s="337"/>
      <c r="AQ1030" s="337"/>
    </row>
    <row r="1031" spans="2:43">
      <c r="B1031" s="541"/>
      <c r="D1031" s="337"/>
      <c r="G1031" s="337"/>
      <c r="K1031" s="337"/>
      <c r="O1031" s="337"/>
      <c r="S1031" s="337"/>
      <c r="T1031" s="14"/>
      <c r="W1031" s="337"/>
      <c r="X1031" s="513"/>
      <c r="AA1031" s="337"/>
      <c r="AB1031" s="17"/>
      <c r="AC1031" s="180"/>
      <c r="AD1031" s="180"/>
      <c r="AE1031" s="514"/>
      <c r="AF1031" s="17"/>
      <c r="AI1031" s="337"/>
      <c r="AM1031" s="337"/>
      <c r="AQ1031" s="337"/>
    </row>
    <row r="1032" spans="2:43">
      <c r="B1032" s="541"/>
      <c r="D1032" s="337"/>
      <c r="G1032" s="337"/>
      <c r="K1032" s="337"/>
      <c r="O1032" s="337"/>
      <c r="S1032" s="337"/>
      <c r="T1032" s="14"/>
      <c r="W1032" s="337"/>
      <c r="X1032" s="513"/>
      <c r="AA1032" s="337"/>
      <c r="AB1032" s="17"/>
      <c r="AC1032" s="180"/>
      <c r="AD1032" s="180"/>
      <c r="AE1032" s="514"/>
      <c r="AF1032" s="17"/>
      <c r="AI1032" s="337"/>
      <c r="AM1032" s="337"/>
      <c r="AQ1032" s="337"/>
    </row>
    <row r="1033" spans="2:43">
      <c r="B1033" s="541"/>
      <c r="D1033" s="337"/>
      <c r="G1033" s="337"/>
      <c r="K1033" s="337"/>
      <c r="O1033" s="337"/>
      <c r="S1033" s="337"/>
      <c r="T1033" s="14"/>
      <c r="W1033" s="337"/>
      <c r="X1033" s="513"/>
      <c r="AA1033" s="337"/>
      <c r="AB1033" s="17"/>
      <c r="AC1033" s="180"/>
      <c r="AD1033" s="180"/>
      <c r="AE1033" s="514"/>
      <c r="AF1033" s="17"/>
      <c r="AI1033" s="337"/>
      <c r="AM1033" s="337"/>
      <c r="AQ1033" s="337"/>
    </row>
    <row r="1034" spans="2:43">
      <c r="B1034" s="541"/>
      <c r="D1034" s="337"/>
      <c r="G1034" s="337"/>
      <c r="K1034" s="337"/>
      <c r="O1034" s="337"/>
      <c r="S1034" s="337"/>
      <c r="T1034" s="14"/>
      <c r="W1034" s="337"/>
      <c r="X1034" s="513"/>
      <c r="AA1034" s="337"/>
      <c r="AB1034" s="17"/>
      <c r="AC1034" s="180"/>
      <c r="AD1034" s="180"/>
      <c r="AE1034" s="514"/>
      <c r="AF1034" s="17"/>
      <c r="AI1034" s="337"/>
      <c r="AM1034" s="337"/>
      <c r="AQ1034" s="337"/>
    </row>
    <row r="1035" spans="2:43">
      <c r="B1035" s="541"/>
      <c r="D1035" s="337"/>
      <c r="G1035" s="337"/>
      <c r="K1035" s="337"/>
      <c r="O1035" s="337"/>
      <c r="S1035" s="337"/>
      <c r="T1035" s="14"/>
      <c r="W1035" s="337"/>
      <c r="X1035" s="513"/>
      <c r="AA1035" s="337"/>
      <c r="AB1035" s="17"/>
      <c r="AC1035" s="180"/>
      <c r="AD1035" s="180"/>
      <c r="AE1035" s="514"/>
      <c r="AF1035" s="17"/>
      <c r="AI1035" s="337"/>
      <c r="AM1035" s="337"/>
      <c r="AQ1035" s="337"/>
    </row>
    <row r="1036" spans="2:43">
      <c r="B1036" s="541"/>
      <c r="D1036" s="337"/>
      <c r="G1036" s="337"/>
      <c r="K1036" s="337"/>
      <c r="O1036" s="337"/>
      <c r="S1036" s="337"/>
      <c r="T1036" s="14"/>
      <c r="W1036" s="337"/>
      <c r="X1036" s="513"/>
      <c r="AA1036" s="337"/>
      <c r="AB1036" s="17"/>
      <c r="AC1036" s="180"/>
      <c r="AD1036" s="180"/>
      <c r="AE1036" s="514"/>
      <c r="AF1036" s="17"/>
      <c r="AI1036" s="337"/>
      <c r="AM1036" s="337"/>
      <c r="AQ1036" s="337"/>
    </row>
    <row r="1037" spans="2:43">
      <c r="B1037" s="541"/>
      <c r="D1037" s="337"/>
      <c r="G1037" s="337"/>
      <c r="K1037" s="337"/>
      <c r="O1037" s="337"/>
      <c r="S1037" s="337"/>
      <c r="T1037" s="14"/>
      <c r="W1037" s="337"/>
      <c r="X1037" s="513"/>
      <c r="AA1037" s="337"/>
      <c r="AB1037" s="17"/>
      <c r="AC1037" s="180"/>
      <c r="AD1037" s="180"/>
      <c r="AE1037" s="514"/>
      <c r="AF1037" s="17"/>
      <c r="AI1037" s="337"/>
      <c r="AM1037" s="337"/>
      <c r="AQ1037" s="337"/>
    </row>
    <row r="1038" spans="2:43">
      <c r="B1038" s="541"/>
      <c r="D1038" s="337"/>
      <c r="G1038" s="337"/>
      <c r="K1038" s="337"/>
      <c r="O1038" s="337"/>
      <c r="S1038" s="337"/>
      <c r="T1038" s="14"/>
      <c r="W1038" s="337"/>
      <c r="X1038" s="513"/>
      <c r="AA1038" s="337"/>
      <c r="AB1038" s="17"/>
      <c r="AC1038" s="180"/>
      <c r="AD1038" s="180"/>
      <c r="AE1038" s="514"/>
      <c r="AF1038" s="17"/>
      <c r="AI1038" s="337"/>
      <c r="AM1038" s="337"/>
      <c r="AQ1038" s="337"/>
    </row>
    <row r="1039" spans="2:43">
      <c r="B1039" s="541"/>
      <c r="D1039" s="337"/>
      <c r="G1039" s="337"/>
      <c r="K1039" s="337"/>
      <c r="O1039" s="337"/>
      <c r="S1039" s="337"/>
      <c r="T1039" s="14"/>
      <c r="W1039" s="337"/>
      <c r="X1039" s="513"/>
      <c r="AA1039" s="337"/>
      <c r="AB1039" s="17"/>
      <c r="AC1039" s="180"/>
      <c r="AD1039" s="180"/>
      <c r="AE1039" s="514"/>
      <c r="AF1039" s="17"/>
      <c r="AI1039" s="337"/>
      <c r="AM1039" s="337"/>
      <c r="AQ1039" s="337"/>
    </row>
    <row r="1040" spans="2:43">
      <c r="B1040" s="541"/>
      <c r="D1040" s="337"/>
      <c r="G1040" s="337"/>
      <c r="K1040" s="337"/>
      <c r="O1040" s="337"/>
      <c r="S1040" s="337"/>
      <c r="T1040" s="14"/>
      <c r="W1040" s="337"/>
      <c r="X1040" s="513"/>
      <c r="AA1040" s="337"/>
      <c r="AB1040" s="17"/>
      <c r="AC1040" s="180"/>
      <c r="AD1040" s="180"/>
      <c r="AE1040" s="514"/>
      <c r="AF1040" s="17"/>
      <c r="AI1040" s="337"/>
      <c r="AM1040" s="337"/>
      <c r="AQ1040" s="337"/>
    </row>
    <row r="1041" spans="2:43">
      <c r="B1041" s="541"/>
      <c r="D1041" s="337"/>
      <c r="G1041" s="337"/>
      <c r="K1041" s="337"/>
      <c r="O1041" s="337"/>
      <c r="S1041" s="337"/>
      <c r="T1041" s="14"/>
      <c r="W1041" s="337"/>
      <c r="X1041" s="513"/>
      <c r="AA1041" s="337"/>
      <c r="AB1041" s="17"/>
      <c r="AC1041" s="180"/>
      <c r="AD1041" s="180"/>
      <c r="AE1041" s="514"/>
      <c r="AF1041" s="17"/>
      <c r="AI1041" s="337"/>
      <c r="AM1041" s="337"/>
      <c r="AQ1041" s="337"/>
    </row>
    <row r="1042" spans="2:43">
      <c r="B1042" s="541"/>
      <c r="D1042" s="337"/>
      <c r="G1042" s="337"/>
      <c r="K1042" s="337"/>
      <c r="O1042" s="337"/>
      <c r="S1042" s="337"/>
      <c r="T1042" s="14"/>
      <c r="W1042" s="337"/>
      <c r="X1042" s="513"/>
      <c r="AA1042" s="337"/>
      <c r="AB1042" s="17"/>
      <c r="AC1042" s="180"/>
      <c r="AD1042" s="180"/>
      <c r="AE1042" s="514"/>
      <c r="AF1042" s="17"/>
      <c r="AI1042" s="337"/>
      <c r="AM1042" s="337"/>
      <c r="AQ1042" s="337"/>
    </row>
    <row r="1043" spans="2:43">
      <c r="B1043" s="541"/>
      <c r="D1043" s="337"/>
      <c r="G1043" s="337"/>
      <c r="K1043" s="337"/>
      <c r="O1043" s="337"/>
      <c r="S1043" s="337"/>
      <c r="T1043" s="14"/>
      <c r="W1043" s="337"/>
      <c r="X1043" s="513"/>
      <c r="AA1043" s="337"/>
      <c r="AB1043" s="17"/>
      <c r="AC1043" s="180"/>
      <c r="AD1043" s="180"/>
      <c r="AE1043" s="514"/>
      <c r="AF1043" s="17"/>
      <c r="AI1043" s="337"/>
      <c r="AM1043" s="337"/>
      <c r="AQ1043" s="337"/>
    </row>
    <row r="1044" spans="2:43">
      <c r="B1044" s="541"/>
      <c r="D1044" s="337"/>
      <c r="G1044" s="337"/>
      <c r="K1044" s="337"/>
      <c r="O1044" s="337"/>
      <c r="S1044" s="337"/>
      <c r="T1044" s="14"/>
      <c r="W1044" s="337"/>
      <c r="X1044" s="513"/>
      <c r="AA1044" s="337"/>
      <c r="AB1044" s="17"/>
      <c r="AC1044" s="180"/>
      <c r="AD1044" s="180"/>
      <c r="AE1044" s="514"/>
      <c r="AF1044" s="17"/>
      <c r="AI1044" s="337"/>
      <c r="AM1044" s="337"/>
      <c r="AQ1044" s="337"/>
    </row>
    <row r="1045" spans="2:43">
      <c r="B1045" s="541"/>
      <c r="D1045" s="337"/>
      <c r="G1045" s="337"/>
      <c r="K1045" s="337"/>
      <c r="O1045" s="337"/>
      <c r="S1045" s="337"/>
      <c r="T1045" s="14"/>
      <c r="W1045" s="337"/>
      <c r="X1045" s="513"/>
      <c r="AA1045" s="337"/>
      <c r="AB1045" s="17"/>
      <c r="AC1045" s="180"/>
      <c r="AD1045" s="180"/>
      <c r="AE1045" s="514"/>
      <c r="AF1045" s="17"/>
      <c r="AI1045" s="337"/>
      <c r="AM1045" s="337"/>
      <c r="AQ1045" s="337"/>
    </row>
    <row r="1046" spans="2:43">
      <c r="B1046" s="541"/>
      <c r="D1046" s="337"/>
      <c r="G1046" s="337"/>
      <c r="K1046" s="337"/>
      <c r="O1046" s="337"/>
      <c r="S1046" s="337"/>
      <c r="T1046" s="14"/>
      <c r="W1046" s="337"/>
      <c r="X1046" s="513"/>
      <c r="AA1046" s="337"/>
      <c r="AB1046" s="17"/>
      <c r="AC1046" s="180"/>
      <c r="AD1046" s="180"/>
      <c r="AE1046" s="514"/>
      <c r="AF1046" s="17"/>
      <c r="AI1046" s="337"/>
      <c r="AM1046" s="337"/>
      <c r="AQ1046" s="337"/>
    </row>
    <row r="1047" spans="2:43">
      <c r="B1047" s="541"/>
      <c r="D1047" s="337"/>
      <c r="G1047" s="337"/>
      <c r="K1047" s="337"/>
      <c r="O1047" s="337"/>
      <c r="S1047" s="337"/>
      <c r="T1047" s="14"/>
      <c r="W1047" s="337"/>
      <c r="X1047" s="513"/>
      <c r="AA1047" s="337"/>
      <c r="AB1047" s="17"/>
      <c r="AC1047" s="180"/>
      <c r="AD1047" s="180"/>
      <c r="AE1047" s="514"/>
      <c r="AF1047" s="17"/>
      <c r="AI1047" s="337"/>
      <c r="AM1047" s="337"/>
      <c r="AQ1047" s="337"/>
    </row>
    <row r="1048" spans="2:43">
      <c r="B1048" s="541"/>
      <c r="D1048" s="337"/>
      <c r="G1048" s="337"/>
      <c r="K1048" s="337"/>
      <c r="O1048" s="337"/>
      <c r="S1048" s="337"/>
      <c r="T1048" s="14"/>
      <c r="W1048" s="337"/>
      <c r="X1048" s="513"/>
      <c r="AA1048" s="337"/>
      <c r="AB1048" s="17"/>
      <c r="AC1048" s="180"/>
      <c r="AD1048" s="180"/>
      <c r="AE1048" s="514"/>
      <c r="AF1048" s="17"/>
      <c r="AI1048" s="337"/>
      <c r="AM1048" s="337"/>
      <c r="AQ1048" s="337"/>
    </row>
    <row r="1049" spans="2:43">
      <c r="B1049" s="541"/>
      <c r="D1049" s="337"/>
      <c r="G1049" s="337"/>
      <c r="K1049" s="337"/>
      <c r="O1049" s="337"/>
      <c r="S1049" s="337"/>
      <c r="T1049" s="14"/>
      <c r="W1049" s="337"/>
      <c r="X1049" s="513"/>
      <c r="AA1049" s="337"/>
      <c r="AB1049" s="17"/>
      <c r="AC1049" s="180"/>
      <c r="AD1049" s="180"/>
      <c r="AE1049" s="514"/>
      <c r="AF1049" s="17"/>
      <c r="AI1049" s="337"/>
      <c r="AM1049" s="337"/>
      <c r="AQ1049" s="337"/>
    </row>
    <row r="1050" spans="2:43">
      <c r="B1050" s="541"/>
      <c r="D1050" s="337"/>
      <c r="G1050" s="337"/>
      <c r="K1050" s="337"/>
      <c r="O1050" s="337"/>
      <c r="S1050" s="337"/>
      <c r="T1050" s="14"/>
      <c r="W1050" s="337"/>
      <c r="X1050" s="513"/>
      <c r="AA1050" s="337"/>
      <c r="AB1050" s="17"/>
      <c r="AC1050" s="180"/>
      <c r="AD1050" s="180"/>
      <c r="AE1050" s="514"/>
      <c r="AF1050" s="17"/>
      <c r="AI1050" s="337"/>
      <c r="AM1050" s="337"/>
      <c r="AQ1050" s="337"/>
    </row>
    <row r="1051" spans="2:43">
      <c r="B1051" s="541"/>
      <c r="D1051" s="337"/>
      <c r="G1051" s="337"/>
      <c r="K1051" s="337"/>
      <c r="O1051" s="337"/>
      <c r="S1051" s="337"/>
      <c r="T1051" s="14"/>
      <c r="W1051" s="337"/>
      <c r="X1051" s="513"/>
      <c r="AA1051" s="337"/>
      <c r="AB1051" s="17"/>
      <c r="AC1051" s="180"/>
      <c r="AD1051" s="180"/>
      <c r="AE1051" s="514"/>
      <c r="AF1051" s="17"/>
      <c r="AI1051" s="337"/>
      <c r="AM1051" s="337"/>
      <c r="AQ1051" s="337"/>
    </row>
    <row r="1052" spans="2:43">
      <c r="B1052" s="541"/>
      <c r="D1052" s="337"/>
      <c r="G1052" s="337"/>
      <c r="K1052" s="337"/>
      <c r="O1052" s="337"/>
      <c r="S1052" s="337"/>
      <c r="T1052" s="14"/>
      <c r="W1052" s="337"/>
      <c r="X1052" s="513"/>
      <c r="AA1052" s="337"/>
      <c r="AB1052" s="17"/>
      <c r="AC1052" s="180"/>
      <c r="AD1052" s="180"/>
      <c r="AE1052" s="514"/>
      <c r="AF1052" s="17"/>
      <c r="AI1052" s="337"/>
      <c r="AM1052" s="337"/>
      <c r="AQ1052" s="337"/>
    </row>
    <row r="1053" spans="2:43">
      <c r="B1053" s="541"/>
      <c r="D1053" s="337"/>
      <c r="G1053" s="337"/>
      <c r="K1053" s="337"/>
      <c r="O1053" s="337"/>
      <c r="S1053" s="337"/>
      <c r="T1053" s="14"/>
      <c r="W1053" s="337"/>
      <c r="X1053" s="513"/>
      <c r="AA1053" s="337"/>
      <c r="AB1053" s="17"/>
      <c r="AC1053" s="180"/>
      <c r="AD1053" s="180"/>
      <c r="AE1053" s="514"/>
      <c r="AF1053" s="17"/>
      <c r="AI1053" s="337"/>
      <c r="AM1053" s="337"/>
      <c r="AQ1053" s="337"/>
    </row>
    <row r="1054" spans="2:43">
      <c r="B1054" s="541"/>
      <c r="D1054" s="337"/>
      <c r="G1054" s="337"/>
      <c r="K1054" s="337"/>
      <c r="O1054" s="337"/>
      <c r="S1054" s="337"/>
      <c r="T1054" s="14"/>
      <c r="W1054" s="337"/>
      <c r="X1054" s="513"/>
      <c r="AA1054" s="337"/>
      <c r="AB1054" s="17"/>
      <c r="AC1054" s="180"/>
      <c r="AD1054" s="180"/>
      <c r="AE1054" s="514"/>
      <c r="AF1054" s="17"/>
      <c r="AI1054" s="337"/>
      <c r="AM1054" s="337"/>
      <c r="AQ1054" s="337"/>
    </row>
  </sheetData>
  <hyperlinks>
    <hyperlink ref="B3" r:id="rId1" location="dairy-production-consumption"/>
    <hyperlink ref="E3" r:id="rId2" location="dairy-production-consumption"/>
    <hyperlink ref="H3" r:id="rId3"/>
    <hyperlink ref="T3" r:id="rId4" location="gid=504955516"/>
    <hyperlink ref="X3" r:id="rId5" location="gid=305498588"/>
    <hyperlink ref="AB3" r:id="rId6" location="gid=254233001"/>
    <hyperlink ref="AF3" r:id="rId7" location="gid=1698485335"/>
    <hyperlink ref="AJ3" r:id="rId8"/>
  </hyperlinks>
  <pageMargins left="0.7" right="0.7" top="0.75" bottom="0.75" header="0.3" footer="0.3"/>
  <drawing r:id="rId9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C1" s="185"/>
    </row>
    <row r="2" spans="1:5">
      <c r="A2" s="486" t="s">
        <v>279</v>
      </c>
      <c r="B2" s="492" t="s">
        <v>737</v>
      </c>
      <c r="C2" s="487" t="s">
        <v>738</v>
      </c>
      <c r="D2" s="493" t="s">
        <v>2820</v>
      </c>
      <c r="E2" s="493">
        <f>60%</f>
        <v>0.6</v>
      </c>
    </row>
    <row r="3" spans="1:5">
      <c r="A3" s="488" t="s">
        <v>468</v>
      </c>
      <c r="B3" s="494" t="s">
        <v>739</v>
      </c>
      <c r="C3" s="489" t="s">
        <v>740</v>
      </c>
      <c r="D3" s="495" t="s">
        <v>2820</v>
      </c>
      <c r="E3" s="495">
        <f>121%</f>
        <v>1.21</v>
      </c>
    </row>
    <row r="4" spans="1:5">
      <c r="A4" s="486" t="s">
        <v>240</v>
      </c>
      <c r="B4" s="492" t="s">
        <v>738</v>
      </c>
      <c r="C4" s="487" t="s">
        <v>741</v>
      </c>
      <c r="D4" s="493" t="s">
        <v>2820</v>
      </c>
      <c r="E4" s="493">
        <f>877%</f>
        <v>8.77</v>
      </c>
    </row>
    <row r="5" spans="1:5">
      <c r="A5" s="488" t="s">
        <v>219</v>
      </c>
      <c r="B5" s="494" t="s">
        <v>742</v>
      </c>
      <c r="C5" s="489" t="s">
        <v>743</v>
      </c>
      <c r="D5" s="495" t="s">
        <v>2820</v>
      </c>
      <c r="E5" s="495">
        <f>614%</f>
        <v>6.14</v>
      </c>
    </row>
    <row r="6" spans="1:5">
      <c r="A6" s="486" t="s">
        <v>472</v>
      </c>
      <c r="B6" s="492" t="s">
        <v>744</v>
      </c>
      <c r="C6" s="487" t="s">
        <v>745</v>
      </c>
      <c r="D6" s="493" t="s">
        <v>2820</v>
      </c>
      <c r="E6" s="493">
        <f>19%</f>
        <v>0.19</v>
      </c>
    </row>
    <row r="7" spans="1:5">
      <c r="A7" s="488" t="s">
        <v>173</v>
      </c>
      <c r="B7" s="494" t="s">
        <v>746</v>
      </c>
      <c r="C7" s="489" t="s">
        <v>747</v>
      </c>
      <c r="D7" s="495" t="s">
        <v>2820</v>
      </c>
      <c r="E7" s="495">
        <f>91%</f>
        <v>0.91</v>
      </c>
    </row>
    <row r="8" spans="1:5">
      <c r="A8" s="486" t="s">
        <v>405</v>
      </c>
      <c r="B8" s="492" t="s">
        <v>748</v>
      </c>
      <c r="C8" s="487" t="s">
        <v>749</v>
      </c>
      <c r="D8" s="493" t="s">
        <v>2820</v>
      </c>
      <c r="E8" s="493">
        <f>70%</f>
        <v>0.7</v>
      </c>
    </row>
    <row r="9" spans="1:5">
      <c r="A9" s="488" t="s">
        <v>307</v>
      </c>
      <c r="B9" s="494" t="s">
        <v>750</v>
      </c>
      <c r="C9" s="489" t="s">
        <v>751</v>
      </c>
      <c r="D9" s="495" t="s">
        <v>2820</v>
      </c>
      <c r="E9" s="495">
        <f>77%</f>
        <v>0.77</v>
      </c>
    </row>
    <row r="10" spans="1:5">
      <c r="A10" s="486" t="s">
        <v>280</v>
      </c>
      <c r="B10" s="492" t="s">
        <v>752</v>
      </c>
      <c r="C10" s="487" t="s">
        <v>753</v>
      </c>
      <c r="D10" s="493" t="s">
        <v>2820</v>
      </c>
      <c r="E10" s="493">
        <f>220%</f>
        <v>2.2000000000000002</v>
      </c>
    </row>
    <row r="11" spans="1:5">
      <c r="A11" s="488" t="s">
        <v>478</v>
      </c>
      <c r="B11" s="494" t="s">
        <v>754</v>
      </c>
      <c r="C11" s="489" t="s">
        <v>755</v>
      </c>
      <c r="D11" s="495" t="s">
        <v>2820</v>
      </c>
      <c r="E11" s="495">
        <f>405%</f>
        <v>4.05</v>
      </c>
    </row>
    <row r="12" spans="1:5">
      <c r="A12" s="486" t="s">
        <v>480</v>
      </c>
      <c r="B12" s="492" t="s">
        <v>756</v>
      </c>
      <c r="C12" s="487" t="s">
        <v>757</v>
      </c>
      <c r="D12" s="492" t="s">
        <v>758</v>
      </c>
      <c r="E12" s="496">
        <v>-7.0000000000000007E-2</v>
      </c>
    </row>
    <row r="13" spans="1:5">
      <c r="A13" s="488" t="s">
        <v>292</v>
      </c>
      <c r="B13" s="494" t="s">
        <v>759</v>
      </c>
      <c r="C13" s="489" t="s">
        <v>760</v>
      </c>
      <c r="D13" s="494" t="s">
        <v>761</v>
      </c>
      <c r="E13" s="497">
        <v>-0.31</v>
      </c>
    </row>
    <row r="14" spans="1:5">
      <c r="A14" s="486" t="s">
        <v>483</v>
      </c>
      <c r="B14" s="492" t="s">
        <v>762</v>
      </c>
      <c r="C14" s="487" t="s">
        <v>763</v>
      </c>
      <c r="D14" s="492" t="s">
        <v>764</v>
      </c>
      <c r="E14" s="496">
        <v>-0.32</v>
      </c>
    </row>
    <row r="15" spans="1:5">
      <c r="A15" s="488" t="s">
        <v>241</v>
      </c>
      <c r="B15" s="494" t="s">
        <v>765</v>
      </c>
      <c r="C15" s="489" t="s">
        <v>766</v>
      </c>
      <c r="D15" s="495" t="s">
        <v>2820</v>
      </c>
      <c r="E15" s="495">
        <f>13%</f>
        <v>0.13</v>
      </c>
    </row>
    <row r="16" spans="1:5">
      <c r="A16" s="486" t="s">
        <v>406</v>
      </c>
      <c r="B16" s="492" t="s">
        <v>767</v>
      </c>
      <c r="C16" s="487" t="s">
        <v>768</v>
      </c>
      <c r="D16" s="493" t="s">
        <v>2820</v>
      </c>
      <c r="E16" s="493">
        <f>52%</f>
        <v>0.52</v>
      </c>
    </row>
    <row r="17" spans="1:5">
      <c r="A17" s="488" t="s">
        <v>407</v>
      </c>
      <c r="B17" s="494" t="s">
        <v>769</v>
      </c>
      <c r="C17" s="489" t="s">
        <v>770</v>
      </c>
      <c r="D17" s="495" t="s">
        <v>2820</v>
      </c>
      <c r="E17" s="495">
        <f>248%</f>
        <v>2.48</v>
      </c>
    </row>
    <row r="18" spans="1:5">
      <c r="A18" s="486" t="s">
        <v>236</v>
      </c>
      <c r="B18" s="492" t="s">
        <v>771</v>
      </c>
      <c r="C18" s="487" t="s">
        <v>772</v>
      </c>
      <c r="D18" s="493" t="s">
        <v>2820</v>
      </c>
      <c r="E18" s="493">
        <f>791%</f>
        <v>7.91</v>
      </c>
    </row>
    <row r="19" spans="1:5">
      <c r="A19" s="488" t="s">
        <v>408</v>
      </c>
      <c r="B19" s="494" t="s">
        <v>773</v>
      </c>
      <c r="C19" s="489" t="s">
        <v>774</v>
      </c>
      <c r="D19" s="495" t="s">
        <v>2820</v>
      </c>
      <c r="E19" s="495">
        <f>393%</f>
        <v>3.93</v>
      </c>
    </row>
    <row r="20" spans="1:5">
      <c r="A20" s="486" t="s">
        <v>242</v>
      </c>
      <c r="B20" s="492" t="s">
        <v>775</v>
      </c>
      <c r="C20" s="487" t="s">
        <v>776</v>
      </c>
      <c r="D20" s="492" t="s">
        <v>777</v>
      </c>
      <c r="E20" s="496">
        <v>-0.15</v>
      </c>
    </row>
    <row r="21" spans="1:5">
      <c r="A21" s="488" t="s">
        <v>243</v>
      </c>
      <c r="B21" s="494" t="s">
        <v>778</v>
      </c>
      <c r="C21" s="489" t="s">
        <v>779</v>
      </c>
      <c r="D21" s="495" t="s">
        <v>2820</v>
      </c>
      <c r="E21" s="495">
        <f>20%</f>
        <v>0.2</v>
      </c>
    </row>
    <row r="22" spans="1:5">
      <c r="A22" s="486" t="s">
        <v>492</v>
      </c>
      <c r="B22" s="492" t="s">
        <v>780</v>
      </c>
      <c r="C22" s="487" t="s">
        <v>781</v>
      </c>
      <c r="D22" s="492" t="s">
        <v>782</v>
      </c>
      <c r="E22" s="496">
        <v>-0.04</v>
      </c>
    </row>
    <row r="23" spans="1:5">
      <c r="A23" s="488" t="s">
        <v>308</v>
      </c>
      <c r="B23" s="494" t="s">
        <v>783</v>
      </c>
      <c r="C23" s="489" t="s">
        <v>784</v>
      </c>
      <c r="D23" s="495" t="s">
        <v>2820</v>
      </c>
      <c r="E23" s="495">
        <f>104%</f>
        <v>1.04</v>
      </c>
    </row>
    <row r="24" spans="1:5">
      <c r="A24" s="486" t="s">
        <v>174</v>
      </c>
      <c r="B24" s="492" t="s">
        <v>785</v>
      </c>
      <c r="C24" s="487" t="s">
        <v>786</v>
      </c>
      <c r="D24" s="492" t="s">
        <v>787</v>
      </c>
      <c r="E24" s="496">
        <v>-7.0000000000000007E-2</v>
      </c>
    </row>
    <row r="25" spans="1:5">
      <c r="A25" s="488" t="s">
        <v>496</v>
      </c>
      <c r="B25" s="494" t="s">
        <v>788</v>
      </c>
      <c r="C25" s="489" t="s">
        <v>789</v>
      </c>
      <c r="D25" s="495" t="s">
        <v>2820</v>
      </c>
      <c r="E25" s="495">
        <f>37%</f>
        <v>0.37</v>
      </c>
    </row>
    <row r="26" spans="1:5">
      <c r="A26" s="486" t="s">
        <v>498</v>
      </c>
      <c r="B26" s="492" t="s">
        <v>790</v>
      </c>
      <c r="C26" s="487" t="s">
        <v>791</v>
      </c>
      <c r="D26" s="493" t="s">
        <v>2820</v>
      </c>
      <c r="E26" s="493">
        <f>231%</f>
        <v>2.31</v>
      </c>
    </row>
    <row r="27" spans="1:5">
      <c r="A27" s="488" t="s">
        <v>244</v>
      </c>
      <c r="B27" s="494" t="s">
        <v>792</v>
      </c>
      <c r="C27" s="489" t="s">
        <v>793</v>
      </c>
      <c r="D27" s="495" t="s">
        <v>2820</v>
      </c>
      <c r="E27" s="495">
        <f>31%</f>
        <v>0.31</v>
      </c>
    </row>
    <row r="28" spans="1:5">
      <c r="A28" s="486" t="s">
        <v>175</v>
      </c>
      <c r="B28" s="492" t="s">
        <v>794</v>
      </c>
      <c r="C28" s="487" t="s">
        <v>738</v>
      </c>
      <c r="D28" s="493" t="s">
        <v>2820</v>
      </c>
      <c r="E28" s="493">
        <f>417%</f>
        <v>4.17</v>
      </c>
    </row>
    <row r="29" spans="1:5">
      <c r="A29" s="488" t="s">
        <v>310</v>
      </c>
      <c r="B29" s="494" t="s">
        <v>795</v>
      </c>
      <c r="C29" s="489" t="s">
        <v>796</v>
      </c>
      <c r="D29" s="495" t="s">
        <v>2820</v>
      </c>
      <c r="E29" s="495">
        <f>185%</f>
        <v>1.85</v>
      </c>
    </row>
    <row r="30" spans="1:5">
      <c r="A30" s="486" t="s">
        <v>293</v>
      </c>
      <c r="B30" s="492" t="s">
        <v>797</v>
      </c>
      <c r="C30" s="487" t="s">
        <v>798</v>
      </c>
      <c r="D30" s="493" t="s">
        <v>2820</v>
      </c>
      <c r="E30" s="493">
        <f>270%</f>
        <v>2.7</v>
      </c>
    </row>
    <row r="31" spans="1:5">
      <c r="A31" s="488" t="s">
        <v>245</v>
      </c>
      <c r="B31" s="494" t="s">
        <v>799</v>
      </c>
      <c r="C31" s="489" t="s">
        <v>800</v>
      </c>
      <c r="D31" s="495" t="s">
        <v>2820</v>
      </c>
      <c r="E31" s="495">
        <f>57%</f>
        <v>0.56999999999999995</v>
      </c>
    </row>
    <row r="32" spans="1:5">
      <c r="A32" s="486" t="s">
        <v>176</v>
      </c>
      <c r="B32" s="492" t="s">
        <v>801</v>
      </c>
      <c r="C32" s="487" t="s">
        <v>802</v>
      </c>
      <c r="D32" s="493" t="s">
        <v>2820</v>
      </c>
      <c r="E32" s="493">
        <f>390%</f>
        <v>3.9</v>
      </c>
    </row>
    <row r="33" spans="1:5">
      <c r="A33" s="488" t="s">
        <v>294</v>
      </c>
      <c r="B33" s="494" t="s">
        <v>803</v>
      </c>
      <c r="C33" s="489" t="s">
        <v>804</v>
      </c>
      <c r="D33" s="495" t="s">
        <v>2820</v>
      </c>
      <c r="E33" s="495">
        <f>100%</f>
        <v>1</v>
      </c>
    </row>
    <row r="34" spans="1:5">
      <c r="A34" s="486" t="s">
        <v>178</v>
      </c>
      <c r="B34" s="492" t="s">
        <v>805</v>
      </c>
      <c r="C34" s="487" t="s">
        <v>746</v>
      </c>
      <c r="D34" s="492" t="s">
        <v>806</v>
      </c>
      <c r="E34" s="493">
        <f>3%</f>
        <v>0.03</v>
      </c>
    </row>
    <row r="35" spans="1:5">
      <c r="A35" s="488" t="s">
        <v>290</v>
      </c>
      <c r="B35" s="494" t="s">
        <v>807</v>
      </c>
      <c r="C35" s="489" t="s">
        <v>808</v>
      </c>
      <c r="D35" s="494" t="s">
        <v>809</v>
      </c>
      <c r="E35" s="497">
        <v>-7.0000000000000007E-2</v>
      </c>
    </row>
    <row r="36" spans="1:5">
      <c r="A36" s="486" t="s">
        <v>179</v>
      </c>
      <c r="B36" s="492" t="s">
        <v>810</v>
      </c>
      <c r="C36" s="487" t="s">
        <v>811</v>
      </c>
      <c r="D36" s="493" t="s">
        <v>2820</v>
      </c>
      <c r="E36" s="493" t="s">
        <v>2820</v>
      </c>
    </row>
    <row r="37" spans="1:5">
      <c r="A37" s="488" t="s">
        <v>510</v>
      </c>
      <c r="B37" s="494" t="s">
        <v>812</v>
      </c>
      <c r="C37" s="489" t="s">
        <v>813</v>
      </c>
      <c r="D37" s="495" t="s">
        <v>2820</v>
      </c>
      <c r="E37" s="495">
        <f>140%</f>
        <v>1.4</v>
      </c>
    </row>
    <row r="38" spans="1:5">
      <c r="A38" s="486" t="s">
        <v>180</v>
      </c>
      <c r="B38" s="492" t="s">
        <v>746</v>
      </c>
      <c r="C38" s="487" t="s">
        <v>801</v>
      </c>
      <c r="D38" s="493" t="s">
        <v>2820</v>
      </c>
      <c r="E38" s="493">
        <f>40%</f>
        <v>0.4</v>
      </c>
    </row>
    <row r="39" spans="1:5">
      <c r="A39" s="488" t="s">
        <v>513</v>
      </c>
      <c r="B39" s="494" t="s">
        <v>814</v>
      </c>
      <c r="C39" s="489" t="s">
        <v>815</v>
      </c>
      <c r="D39" s="495" t="s">
        <v>2820</v>
      </c>
      <c r="E39" s="495">
        <f>353%</f>
        <v>3.53</v>
      </c>
    </row>
    <row r="40" spans="1:5">
      <c r="A40" s="486" t="s">
        <v>181</v>
      </c>
      <c r="B40" s="492" t="s">
        <v>816</v>
      </c>
      <c r="C40" s="487" t="s">
        <v>805</v>
      </c>
      <c r="D40" s="492" t="s">
        <v>817</v>
      </c>
      <c r="E40" s="496">
        <v>-0.42</v>
      </c>
    </row>
    <row r="41" spans="1:5">
      <c r="A41" s="488" t="s">
        <v>311</v>
      </c>
      <c r="B41" s="494" t="s">
        <v>818</v>
      </c>
      <c r="C41" s="489" t="s">
        <v>819</v>
      </c>
      <c r="D41" s="495" t="s">
        <v>2820</v>
      </c>
      <c r="E41" s="495">
        <f>204%</f>
        <v>2.04</v>
      </c>
    </row>
    <row r="42" spans="1:5">
      <c r="A42" s="486" t="s">
        <v>295</v>
      </c>
      <c r="B42" s="492" t="s">
        <v>820</v>
      </c>
      <c r="C42" s="487" t="s">
        <v>821</v>
      </c>
      <c r="D42" s="493" t="s">
        <v>2820</v>
      </c>
      <c r="E42" s="493" t="s">
        <v>2820</v>
      </c>
    </row>
    <row r="43" spans="1:5">
      <c r="A43" s="488" t="s">
        <v>312</v>
      </c>
      <c r="B43" s="494" t="s">
        <v>822</v>
      </c>
      <c r="C43" s="489" t="s">
        <v>762</v>
      </c>
      <c r="D43" s="495" t="s">
        <v>2820</v>
      </c>
      <c r="E43" s="495">
        <f>431%</f>
        <v>4.3099999999999996</v>
      </c>
    </row>
    <row r="44" spans="1:5">
      <c r="A44" s="486" t="s">
        <v>415</v>
      </c>
      <c r="B44" s="492" t="s">
        <v>823</v>
      </c>
      <c r="C44" s="487" t="s">
        <v>824</v>
      </c>
      <c r="D44" s="493" t="s">
        <v>2820</v>
      </c>
      <c r="E44" s="493">
        <f>70%</f>
        <v>0.7</v>
      </c>
    </row>
    <row r="45" spans="1:5">
      <c r="A45" s="488" t="s">
        <v>313</v>
      </c>
      <c r="B45" s="494" t="s">
        <v>825</v>
      </c>
      <c r="C45" s="489" t="s">
        <v>826</v>
      </c>
      <c r="D45" s="495" t="s">
        <v>2820</v>
      </c>
      <c r="E45" s="495">
        <f>100%</f>
        <v>1</v>
      </c>
    </row>
    <row r="46" spans="1:5">
      <c r="A46" s="486" t="s">
        <v>521</v>
      </c>
      <c r="B46" s="492" t="s">
        <v>823</v>
      </c>
      <c r="C46" s="487" t="s">
        <v>827</v>
      </c>
      <c r="D46" s="493" t="s">
        <v>2820</v>
      </c>
      <c r="E46" s="493">
        <f>521%</f>
        <v>5.21</v>
      </c>
    </row>
    <row r="47" spans="1:5">
      <c r="A47" s="488" t="s">
        <v>246</v>
      </c>
      <c r="B47" s="494" t="s">
        <v>828</v>
      </c>
      <c r="C47" s="489" t="s">
        <v>829</v>
      </c>
      <c r="D47" s="494" t="s">
        <v>830</v>
      </c>
      <c r="E47" s="497">
        <v>-0.19</v>
      </c>
    </row>
    <row r="48" spans="1:5">
      <c r="A48" s="486" t="s">
        <v>416</v>
      </c>
      <c r="B48" s="492" t="s">
        <v>831</v>
      </c>
      <c r="C48" s="487" t="s">
        <v>832</v>
      </c>
      <c r="D48" s="493" t="s">
        <v>2820</v>
      </c>
      <c r="E48" s="493">
        <f>174%</f>
        <v>1.74</v>
      </c>
    </row>
    <row r="49" spans="1:5">
      <c r="A49" s="488" t="s">
        <v>417</v>
      </c>
      <c r="B49" s="494" t="s">
        <v>833</v>
      </c>
      <c r="C49" s="489" t="s">
        <v>834</v>
      </c>
      <c r="D49" s="495" t="s">
        <v>2820</v>
      </c>
      <c r="E49" s="495">
        <f>52%</f>
        <v>0.52</v>
      </c>
    </row>
    <row r="50" spans="1:5">
      <c r="A50" s="486" t="s">
        <v>247</v>
      </c>
      <c r="B50" s="492" t="s">
        <v>835</v>
      </c>
      <c r="C50" s="487" t="s">
        <v>836</v>
      </c>
      <c r="D50" s="492" t="s">
        <v>837</v>
      </c>
      <c r="E50" s="496">
        <v>-0.32</v>
      </c>
    </row>
    <row r="51" spans="1:5">
      <c r="A51" s="488" t="s">
        <v>527</v>
      </c>
      <c r="B51" s="494" t="s">
        <v>838</v>
      </c>
      <c r="C51" s="489" t="s">
        <v>839</v>
      </c>
      <c r="D51" s="495" t="s">
        <v>2820</v>
      </c>
      <c r="E51" s="495">
        <f>66%</f>
        <v>0.66</v>
      </c>
    </row>
    <row r="52" spans="1:5">
      <c r="A52" s="486" t="s">
        <v>248</v>
      </c>
      <c r="B52" s="492" t="s">
        <v>840</v>
      </c>
      <c r="C52" s="487" t="s">
        <v>841</v>
      </c>
      <c r="D52" s="493" t="s">
        <v>2820</v>
      </c>
      <c r="E52" s="493">
        <f>51%</f>
        <v>0.51</v>
      </c>
    </row>
    <row r="53" spans="1:5">
      <c r="A53" s="488" t="s">
        <v>184</v>
      </c>
      <c r="B53" s="494" t="s">
        <v>842</v>
      </c>
      <c r="C53" s="489" t="s">
        <v>785</v>
      </c>
      <c r="D53" s="495" t="s">
        <v>2820</v>
      </c>
      <c r="E53" s="495"/>
    </row>
    <row r="54" spans="1:5">
      <c r="A54" s="486" t="s">
        <v>419</v>
      </c>
      <c r="B54" s="492" t="s">
        <v>843</v>
      </c>
      <c r="C54" s="487" t="s">
        <v>844</v>
      </c>
      <c r="D54" s="493" t="s">
        <v>2820</v>
      </c>
      <c r="E54" s="493">
        <f>95%</f>
        <v>0.95</v>
      </c>
    </row>
    <row r="55" spans="1:5">
      <c r="A55" s="488" t="s">
        <v>420</v>
      </c>
      <c r="B55" s="494" t="s">
        <v>845</v>
      </c>
      <c r="C55" s="489" t="s">
        <v>846</v>
      </c>
      <c r="D55" s="495" t="s">
        <v>2820</v>
      </c>
      <c r="E55" s="495">
        <f>232%</f>
        <v>2.3199999999999998</v>
      </c>
    </row>
    <row r="56" spans="1:5">
      <c r="A56" s="486" t="s">
        <v>533</v>
      </c>
      <c r="B56" s="492" t="s">
        <v>847</v>
      </c>
      <c r="C56" s="487" t="s">
        <v>848</v>
      </c>
      <c r="D56" s="492" t="s">
        <v>849</v>
      </c>
      <c r="E56" s="496">
        <v>-0.11</v>
      </c>
    </row>
    <row r="57" spans="1:5">
      <c r="A57" s="488" t="s">
        <v>535</v>
      </c>
      <c r="B57" s="494" t="s">
        <v>850</v>
      </c>
      <c r="C57" s="489" t="s">
        <v>851</v>
      </c>
      <c r="D57" s="495" t="s">
        <v>2820</v>
      </c>
      <c r="E57" s="495">
        <f>537%</f>
        <v>5.37</v>
      </c>
    </row>
    <row r="58" spans="1:5">
      <c r="A58" s="486" t="s">
        <v>537</v>
      </c>
      <c r="B58" s="492" t="s">
        <v>852</v>
      </c>
      <c r="C58" s="487" t="s">
        <v>853</v>
      </c>
      <c r="D58" s="493" t="s">
        <v>2820</v>
      </c>
      <c r="E58" s="493">
        <f>97%</f>
        <v>0.97</v>
      </c>
    </row>
    <row r="59" spans="1:5">
      <c r="A59" s="488" t="s">
        <v>314</v>
      </c>
      <c r="B59" s="494" t="s">
        <v>854</v>
      </c>
      <c r="C59" s="489" t="s">
        <v>855</v>
      </c>
      <c r="D59" s="495" t="s">
        <v>2820</v>
      </c>
      <c r="E59" s="495">
        <f>386%</f>
        <v>3.86</v>
      </c>
    </row>
    <row r="60" spans="1:5">
      <c r="A60" s="486" t="s">
        <v>224</v>
      </c>
      <c r="B60" s="492" t="s">
        <v>856</v>
      </c>
      <c r="C60" s="487" t="s">
        <v>818</v>
      </c>
      <c r="D60" s="493" t="s">
        <v>2820</v>
      </c>
      <c r="E60" s="493">
        <f>248%</f>
        <v>2.48</v>
      </c>
    </row>
    <row r="61" spans="1:5">
      <c r="A61" s="488" t="s">
        <v>315</v>
      </c>
      <c r="B61" s="494" t="s">
        <v>857</v>
      </c>
      <c r="C61" s="489" t="s">
        <v>858</v>
      </c>
      <c r="D61" s="495" t="s">
        <v>2820</v>
      </c>
      <c r="E61" s="495">
        <f>91%</f>
        <v>0.91</v>
      </c>
    </row>
    <row r="62" spans="1:5">
      <c r="A62" s="486" t="s">
        <v>249</v>
      </c>
      <c r="B62" s="492" t="s">
        <v>859</v>
      </c>
      <c r="C62" s="487" t="s">
        <v>860</v>
      </c>
      <c r="D62" s="492" t="s">
        <v>861</v>
      </c>
      <c r="E62" s="496">
        <v>-0.18</v>
      </c>
    </row>
    <row r="63" spans="1:5">
      <c r="A63" s="488" t="s">
        <v>421</v>
      </c>
      <c r="B63" s="494" t="s">
        <v>862</v>
      </c>
      <c r="C63" s="489" t="s">
        <v>863</v>
      </c>
      <c r="D63" s="495" t="s">
        <v>2820</v>
      </c>
      <c r="E63" s="495">
        <f>257%</f>
        <v>2.57</v>
      </c>
    </row>
    <row r="64" spans="1:5">
      <c r="A64" s="486" t="s">
        <v>187</v>
      </c>
      <c r="B64" s="492" t="s">
        <v>864</v>
      </c>
      <c r="C64" s="487" t="s">
        <v>865</v>
      </c>
      <c r="D64" s="492" t="s">
        <v>866</v>
      </c>
      <c r="E64" s="496">
        <v>-0.04</v>
      </c>
    </row>
    <row r="65" spans="1:5">
      <c r="A65" s="488" t="s">
        <v>545</v>
      </c>
      <c r="B65" s="494" t="s">
        <v>867</v>
      </c>
      <c r="C65" s="489" t="s">
        <v>868</v>
      </c>
      <c r="D65" s="494" t="s">
        <v>869</v>
      </c>
      <c r="E65" s="497">
        <v>-0.4</v>
      </c>
    </row>
    <row r="66" spans="1:5">
      <c r="A66" s="486" t="s">
        <v>103</v>
      </c>
      <c r="B66" s="492" t="s">
        <v>870</v>
      </c>
      <c r="C66" s="487" t="s">
        <v>871</v>
      </c>
      <c r="D66" s="493" t="s">
        <v>2820</v>
      </c>
      <c r="E66" s="493">
        <f>44%</f>
        <v>0.44</v>
      </c>
    </row>
    <row r="67" spans="1:5">
      <c r="A67" s="488" t="s">
        <v>548</v>
      </c>
      <c r="B67" s="494" t="s">
        <v>872</v>
      </c>
      <c r="C67" s="489" t="s">
        <v>873</v>
      </c>
      <c r="D67" s="495" t="s">
        <v>2820</v>
      </c>
      <c r="E67" s="495">
        <f>5%</f>
        <v>0.05</v>
      </c>
    </row>
    <row r="68" spans="1:5">
      <c r="A68" s="486" t="s">
        <v>550</v>
      </c>
      <c r="B68" s="492" t="s">
        <v>874</v>
      </c>
      <c r="C68" s="487" t="s">
        <v>875</v>
      </c>
      <c r="D68" s="493" t="s">
        <v>2820</v>
      </c>
      <c r="E68" s="493">
        <f>14%</f>
        <v>0.14000000000000001</v>
      </c>
    </row>
    <row r="69" spans="1:5">
      <c r="A69" s="488" t="s">
        <v>422</v>
      </c>
      <c r="B69" s="494" t="s">
        <v>876</v>
      </c>
      <c r="C69" s="489" t="s">
        <v>877</v>
      </c>
      <c r="D69" s="495" t="s">
        <v>2820</v>
      </c>
      <c r="E69" s="495">
        <f>140%</f>
        <v>1.4</v>
      </c>
    </row>
    <row r="70" spans="1:5">
      <c r="A70" s="486" t="s">
        <v>250</v>
      </c>
      <c r="B70" s="492" t="s">
        <v>878</v>
      </c>
      <c r="C70" s="487" t="s">
        <v>750</v>
      </c>
      <c r="D70" s="493" t="s">
        <v>2820</v>
      </c>
      <c r="E70" s="493">
        <f>19%</f>
        <v>0.19</v>
      </c>
    </row>
    <row r="71" spans="1:5">
      <c r="A71" s="488" t="s">
        <v>251</v>
      </c>
      <c r="B71" s="494" t="s">
        <v>874</v>
      </c>
      <c r="C71" s="489" t="s">
        <v>879</v>
      </c>
      <c r="D71" s="495" t="s">
        <v>2820</v>
      </c>
      <c r="E71" s="495">
        <f>9%</f>
        <v>0.09</v>
      </c>
    </row>
    <row r="72" spans="1:5">
      <c r="A72" s="486" t="s">
        <v>423</v>
      </c>
      <c r="B72" s="492" t="s">
        <v>880</v>
      </c>
      <c r="C72" s="487" t="s">
        <v>881</v>
      </c>
      <c r="D72" s="493" t="s">
        <v>2820</v>
      </c>
      <c r="E72" s="493">
        <f>343%</f>
        <v>3.43</v>
      </c>
    </row>
    <row r="73" spans="1:5">
      <c r="A73" s="488" t="s">
        <v>188</v>
      </c>
      <c r="B73" s="494" t="s">
        <v>882</v>
      </c>
      <c r="C73" s="489" t="s">
        <v>883</v>
      </c>
      <c r="D73" s="495" t="s">
        <v>2820</v>
      </c>
      <c r="E73" s="495">
        <f>269%</f>
        <v>2.69</v>
      </c>
    </row>
    <row r="74" spans="1:5">
      <c r="A74" s="486" t="s">
        <v>424</v>
      </c>
      <c r="B74" s="492" t="s">
        <v>884</v>
      </c>
      <c r="C74" s="487" t="s">
        <v>885</v>
      </c>
      <c r="D74" s="493" t="s">
        <v>2820</v>
      </c>
      <c r="E74" s="493">
        <f>244%</f>
        <v>2.44</v>
      </c>
    </row>
    <row r="75" spans="1:5">
      <c r="A75" s="488" t="s">
        <v>282</v>
      </c>
      <c r="B75" s="494" t="s">
        <v>886</v>
      </c>
      <c r="C75" s="489" t="s">
        <v>887</v>
      </c>
      <c r="D75" s="495" t="s">
        <v>2820</v>
      </c>
      <c r="E75" s="495">
        <f>96%</f>
        <v>0.96</v>
      </c>
    </row>
    <row r="76" spans="1:5">
      <c r="A76" s="486" t="s">
        <v>252</v>
      </c>
      <c r="B76" s="492" t="s">
        <v>888</v>
      </c>
      <c r="C76" s="487" t="s">
        <v>889</v>
      </c>
      <c r="D76" s="492" t="s">
        <v>890</v>
      </c>
      <c r="E76" s="496">
        <v>-0.11</v>
      </c>
    </row>
    <row r="77" spans="1:5">
      <c r="A77" s="488" t="s">
        <v>190</v>
      </c>
      <c r="B77" s="494" t="s">
        <v>862</v>
      </c>
      <c r="C77" s="489" t="s">
        <v>739</v>
      </c>
      <c r="D77" s="495" t="s">
        <v>2820</v>
      </c>
      <c r="E77" s="495">
        <f>155%</f>
        <v>1.55</v>
      </c>
    </row>
    <row r="78" spans="1:5">
      <c r="A78" s="486" t="s">
        <v>253</v>
      </c>
      <c r="B78" s="492" t="s">
        <v>891</v>
      </c>
      <c r="C78" s="487" t="s">
        <v>892</v>
      </c>
      <c r="D78" s="493" t="s">
        <v>2820</v>
      </c>
      <c r="E78" s="493">
        <f>51%</f>
        <v>0.51</v>
      </c>
    </row>
    <row r="79" spans="1:5">
      <c r="A79" s="488" t="s">
        <v>425</v>
      </c>
      <c r="B79" s="494" t="s">
        <v>893</v>
      </c>
      <c r="C79" s="489" t="s">
        <v>894</v>
      </c>
      <c r="D79" s="495" t="s">
        <v>2820</v>
      </c>
      <c r="E79" s="495">
        <f>61%</f>
        <v>0.61</v>
      </c>
    </row>
    <row r="80" spans="1:5">
      <c r="A80" s="486" t="s">
        <v>316</v>
      </c>
      <c r="B80" s="492" t="s">
        <v>895</v>
      </c>
      <c r="C80" s="487" t="s">
        <v>896</v>
      </c>
      <c r="D80" s="493" t="s">
        <v>2820</v>
      </c>
      <c r="E80" s="493">
        <f>128%</f>
        <v>1.28</v>
      </c>
    </row>
    <row r="81" spans="1:5">
      <c r="A81" s="488" t="s">
        <v>191</v>
      </c>
      <c r="B81" s="494" t="s">
        <v>897</v>
      </c>
      <c r="C81" s="489" t="s">
        <v>754</v>
      </c>
      <c r="D81" s="495" t="s">
        <v>2820</v>
      </c>
      <c r="E81" s="495">
        <f>151%</f>
        <v>1.51</v>
      </c>
    </row>
    <row r="82" spans="1:5">
      <c r="A82" s="486" t="s">
        <v>192</v>
      </c>
      <c r="B82" s="492" t="s">
        <v>898</v>
      </c>
      <c r="C82" s="487" t="s">
        <v>899</v>
      </c>
      <c r="D82" s="493" t="s">
        <v>2820</v>
      </c>
      <c r="E82" s="493">
        <f>350%</f>
        <v>3.5</v>
      </c>
    </row>
    <row r="83" spans="1:5">
      <c r="A83" s="488" t="s">
        <v>317</v>
      </c>
      <c r="B83" s="494" t="s">
        <v>900</v>
      </c>
      <c r="C83" s="489" t="s">
        <v>754</v>
      </c>
      <c r="D83" s="494" t="s">
        <v>901</v>
      </c>
      <c r="E83" s="497">
        <v>-0.3</v>
      </c>
    </row>
    <row r="84" spans="1:5">
      <c r="A84" s="486" t="s">
        <v>426</v>
      </c>
      <c r="B84" s="492" t="s">
        <v>746</v>
      </c>
      <c r="C84" s="487" t="s">
        <v>862</v>
      </c>
      <c r="D84" s="493" t="s">
        <v>2820</v>
      </c>
      <c r="E84" s="493">
        <f>34%</f>
        <v>0.34</v>
      </c>
    </row>
    <row r="85" spans="1:5">
      <c r="A85" s="488" t="s">
        <v>318</v>
      </c>
      <c r="B85" s="494" t="s">
        <v>902</v>
      </c>
      <c r="C85" s="489" t="s">
        <v>903</v>
      </c>
      <c r="D85" s="495" t="s">
        <v>2820</v>
      </c>
      <c r="E85" s="495">
        <f>4%</f>
        <v>0.04</v>
      </c>
    </row>
    <row r="86" spans="1:5">
      <c r="A86" s="486" t="s">
        <v>569</v>
      </c>
      <c r="B86" s="492" t="s">
        <v>904</v>
      </c>
      <c r="C86" s="487" t="s">
        <v>905</v>
      </c>
      <c r="D86" s="493" t="s">
        <v>2820</v>
      </c>
      <c r="E86" s="493">
        <f>151%</f>
        <v>1.51</v>
      </c>
    </row>
    <row r="87" spans="1:5">
      <c r="A87" s="488" t="s">
        <v>254</v>
      </c>
      <c r="B87" s="494" t="s">
        <v>906</v>
      </c>
      <c r="C87" s="489" t="s">
        <v>907</v>
      </c>
      <c r="D87" s="495" t="s">
        <v>2820</v>
      </c>
      <c r="E87" s="495">
        <f>47%</f>
        <v>0.47</v>
      </c>
    </row>
    <row r="88" spans="1:5">
      <c r="A88" s="486" t="s">
        <v>255</v>
      </c>
      <c r="B88" s="492" t="s">
        <v>797</v>
      </c>
      <c r="C88" s="487" t="s">
        <v>585</v>
      </c>
      <c r="D88" s="493" t="s">
        <v>2820</v>
      </c>
      <c r="E88" s="493">
        <f>150%</f>
        <v>1.5</v>
      </c>
    </row>
    <row r="89" spans="1:5">
      <c r="A89" s="488" t="s">
        <v>237</v>
      </c>
      <c r="B89" s="494" t="s">
        <v>908</v>
      </c>
      <c r="C89" s="489" t="s">
        <v>909</v>
      </c>
      <c r="D89" s="495" t="s">
        <v>2820</v>
      </c>
      <c r="E89" s="495">
        <f>948%</f>
        <v>9.48</v>
      </c>
    </row>
    <row r="90" spans="1:5">
      <c r="A90" s="486" t="s">
        <v>296</v>
      </c>
      <c r="B90" s="492" t="s">
        <v>910</v>
      </c>
      <c r="C90" s="487" t="s">
        <v>911</v>
      </c>
      <c r="D90" s="493" t="s">
        <v>2820</v>
      </c>
      <c r="E90" s="493" t="s">
        <v>2820</v>
      </c>
    </row>
    <row r="91" spans="1:5">
      <c r="A91" s="488" t="s">
        <v>225</v>
      </c>
      <c r="B91" s="494" t="s">
        <v>912</v>
      </c>
      <c r="C91" s="489" t="s">
        <v>791</v>
      </c>
      <c r="D91" s="495" t="s">
        <v>2820</v>
      </c>
      <c r="E91" s="495">
        <f>210%</f>
        <v>2.1</v>
      </c>
    </row>
    <row r="92" spans="1:5">
      <c r="A92" s="486" t="s">
        <v>226</v>
      </c>
      <c r="B92" s="492" t="s">
        <v>913</v>
      </c>
      <c r="C92" s="487" t="s">
        <v>914</v>
      </c>
      <c r="D92" s="493" t="s">
        <v>2820</v>
      </c>
      <c r="E92" s="493">
        <f>655%</f>
        <v>6.55</v>
      </c>
    </row>
    <row r="93" spans="1:5">
      <c r="A93" s="488" t="s">
        <v>256</v>
      </c>
      <c r="B93" s="494" t="s">
        <v>915</v>
      </c>
      <c r="C93" s="489" t="s">
        <v>916</v>
      </c>
      <c r="D93" s="494" t="s">
        <v>917</v>
      </c>
      <c r="E93" s="497">
        <v>-0.34</v>
      </c>
    </row>
    <row r="94" spans="1:5">
      <c r="A94" s="486" t="s">
        <v>227</v>
      </c>
      <c r="B94" s="492" t="s">
        <v>918</v>
      </c>
      <c r="C94" s="487" t="s">
        <v>919</v>
      </c>
      <c r="D94" s="492" t="s">
        <v>920</v>
      </c>
      <c r="E94" s="496">
        <v>-0.42</v>
      </c>
    </row>
    <row r="95" spans="1:5">
      <c r="A95" s="488" t="s">
        <v>257</v>
      </c>
      <c r="B95" s="494" t="s">
        <v>921</v>
      </c>
      <c r="C95" s="489" t="s">
        <v>922</v>
      </c>
      <c r="D95" s="495" t="s">
        <v>2820</v>
      </c>
      <c r="E95" s="495">
        <f>30%</f>
        <v>0.3</v>
      </c>
    </row>
    <row r="96" spans="1:5">
      <c r="A96" s="486" t="s">
        <v>428</v>
      </c>
      <c r="B96" s="492" t="s">
        <v>923</v>
      </c>
      <c r="C96" s="487" t="s">
        <v>867</v>
      </c>
      <c r="D96" s="492" t="s">
        <v>924</v>
      </c>
      <c r="E96" s="496">
        <v>-0.1</v>
      </c>
    </row>
    <row r="97" spans="1:5">
      <c r="A97" s="488" t="s">
        <v>297</v>
      </c>
      <c r="B97" s="494" t="s">
        <v>925</v>
      </c>
      <c r="C97" s="489" t="s">
        <v>926</v>
      </c>
      <c r="D97" s="495" t="s">
        <v>2820</v>
      </c>
      <c r="E97" s="495">
        <f>115%</f>
        <v>1.1499999999999999</v>
      </c>
    </row>
    <row r="98" spans="1:5">
      <c r="A98" s="486" t="s">
        <v>228</v>
      </c>
      <c r="B98" s="492" t="s">
        <v>927</v>
      </c>
      <c r="C98" s="487" t="s">
        <v>928</v>
      </c>
      <c r="D98" s="493" t="s">
        <v>2820</v>
      </c>
      <c r="E98" s="493">
        <f>54%</f>
        <v>0.54</v>
      </c>
    </row>
    <row r="99" spans="1:5">
      <c r="A99" s="488" t="s">
        <v>283</v>
      </c>
      <c r="B99" s="494" t="s">
        <v>929</v>
      </c>
      <c r="C99" s="489" t="s">
        <v>800</v>
      </c>
      <c r="D99" s="494" t="s">
        <v>930</v>
      </c>
      <c r="E99" s="497">
        <v>-0.14000000000000001</v>
      </c>
    </row>
    <row r="100" spans="1:5">
      <c r="A100" s="486" t="s">
        <v>193</v>
      </c>
      <c r="B100" s="492" t="s">
        <v>931</v>
      </c>
      <c r="C100" s="487" t="s">
        <v>932</v>
      </c>
      <c r="D100" s="493" t="s">
        <v>2820</v>
      </c>
      <c r="E100" s="493">
        <f>56%</f>
        <v>0.56000000000000005</v>
      </c>
    </row>
    <row r="101" spans="1:5">
      <c r="A101" s="488" t="s">
        <v>429</v>
      </c>
      <c r="B101" s="494" t="s">
        <v>933</v>
      </c>
      <c r="C101" s="489" t="s">
        <v>934</v>
      </c>
      <c r="D101" s="495" t="s">
        <v>2820</v>
      </c>
      <c r="E101" s="495">
        <f>20%</f>
        <v>0.2</v>
      </c>
    </row>
    <row r="102" spans="1:5">
      <c r="A102" s="486" t="s">
        <v>229</v>
      </c>
      <c r="B102" s="492" t="s">
        <v>935</v>
      </c>
      <c r="C102" s="487" t="s">
        <v>936</v>
      </c>
      <c r="D102" s="493" t="s">
        <v>2820</v>
      </c>
      <c r="E102" s="493" t="s">
        <v>2820</v>
      </c>
    </row>
    <row r="103" spans="1:5">
      <c r="A103" s="488" t="s">
        <v>430</v>
      </c>
      <c r="B103" s="494" t="s">
        <v>937</v>
      </c>
      <c r="C103" s="489" t="s">
        <v>938</v>
      </c>
      <c r="D103" s="494" t="s">
        <v>939</v>
      </c>
      <c r="E103" s="497">
        <v>-0.4</v>
      </c>
    </row>
    <row r="104" spans="1:5">
      <c r="A104" s="486" t="s">
        <v>588</v>
      </c>
      <c r="B104" s="492" t="s">
        <v>940</v>
      </c>
      <c r="C104" s="487" t="s">
        <v>941</v>
      </c>
      <c r="D104" s="493" t="s">
        <v>2820</v>
      </c>
      <c r="E104" s="493">
        <f>169%</f>
        <v>1.69</v>
      </c>
    </row>
    <row r="105" spans="1:5">
      <c r="A105" s="488" t="s">
        <v>590</v>
      </c>
      <c r="B105" s="494" t="s">
        <v>805</v>
      </c>
      <c r="C105" s="489" t="s">
        <v>942</v>
      </c>
      <c r="D105" s="495" t="s">
        <v>2820</v>
      </c>
      <c r="E105" s="495">
        <f>456%</f>
        <v>4.5599999999999996</v>
      </c>
    </row>
    <row r="106" spans="1:5">
      <c r="A106" s="486" t="s">
        <v>258</v>
      </c>
      <c r="B106" s="492" t="s">
        <v>943</v>
      </c>
      <c r="C106" s="487" t="s">
        <v>944</v>
      </c>
      <c r="D106" s="493" t="s">
        <v>2820</v>
      </c>
      <c r="E106" s="493">
        <f>6%</f>
        <v>0.06</v>
      </c>
    </row>
    <row r="107" spans="1:5">
      <c r="A107" s="488" t="s">
        <v>593</v>
      </c>
      <c r="B107" s="494" t="s">
        <v>945</v>
      </c>
      <c r="C107" s="489" t="s">
        <v>946</v>
      </c>
      <c r="D107" s="495" t="s">
        <v>2820</v>
      </c>
      <c r="E107" s="495">
        <f>125%</f>
        <v>1.25</v>
      </c>
    </row>
    <row r="108" spans="1:5">
      <c r="A108" s="486" t="s">
        <v>230</v>
      </c>
      <c r="B108" s="492" t="s">
        <v>947</v>
      </c>
      <c r="C108" s="487" t="s">
        <v>927</v>
      </c>
      <c r="D108" s="492" t="s">
        <v>948</v>
      </c>
      <c r="E108" s="496">
        <v>-0.22</v>
      </c>
    </row>
    <row r="109" spans="1:5">
      <c r="A109" s="488" t="s">
        <v>194</v>
      </c>
      <c r="B109" s="494" t="s">
        <v>949</v>
      </c>
      <c r="C109" s="489" t="s">
        <v>950</v>
      </c>
      <c r="D109" s="494" t="s">
        <v>787</v>
      </c>
      <c r="E109" s="497">
        <v>-0.08</v>
      </c>
    </row>
    <row r="110" spans="1:5">
      <c r="A110" s="486" t="s">
        <v>195</v>
      </c>
      <c r="B110" s="492" t="s">
        <v>951</v>
      </c>
      <c r="C110" s="487" t="s">
        <v>952</v>
      </c>
      <c r="D110" s="492" t="s">
        <v>953</v>
      </c>
      <c r="E110" s="496">
        <v>-0.3</v>
      </c>
    </row>
    <row r="111" spans="1:5">
      <c r="A111" s="488" t="s">
        <v>259</v>
      </c>
      <c r="B111" s="494" t="s">
        <v>954</v>
      </c>
      <c r="C111" s="489" t="s">
        <v>955</v>
      </c>
      <c r="D111" s="495" t="s">
        <v>2820</v>
      </c>
      <c r="E111" s="495">
        <f>24%</f>
        <v>0.24</v>
      </c>
    </row>
    <row r="112" spans="1:5">
      <c r="A112" s="486" t="s">
        <v>599</v>
      </c>
      <c r="B112" s="492" t="s">
        <v>956</v>
      </c>
      <c r="C112" s="487" t="s">
        <v>957</v>
      </c>
      <c r="D112" s="493" t="s">
        <v>2820</v>
      </c>
      <c r="E112" s="493">
        <f>328%</f>
        <v>3.28</v>
      </c>
    </row>
    <row r="113" spans="1:5">
      <c r="A113" s="488" t="s">
        <v>260</v>
      </c>
      <c r="B113" s="494" t="s">
        <v>958</v>
      </c>
      <c r="C113" s="489" t="s">
        <v>959</v>
      </c>
      <c r="D113" s="495" t="s">
        <v>2820</v>
      </c>
      <c r="E113" s="495">
        <f>53%</f>
        <v>0.53</v>
      </c>
    </row>
    <row r="114" spans="1:5">
      <c r="A114" s="486" t="s">
        <v>602</v>
      </c>
      <c r="B114" s="492" t="s">
        <v>960</v>
      </c>
      <c r="C114" s="487" t="s">
        <v>961</v>
      </c>
      <c r="D114" s="493" t="s">
        <v>2820</v>
      </c>
      <c r="E114" s="493">
        <f>349%</f>
        <v>3.49</v>
      </c>
    </row>
    <row r="115" spans="1:5">
      <c r="A115" s="488" t="s">
        <v>196</v>
      </c>
      <c r="B115" s="494" t="s">
        <v>962</v>
      </c>
      <c r="C115" s="489" t="s">
        <v>963</v>
      </c>
      <c r="D115" s="494" t="s">
        <v>964</v>
      </c>
      <c r="E115" s="497">
        <v>-0.57999999999999996</v>
      </c>
    </row>
    <row r="116" spans="1:5">
      <c r="A116" s="486" t="s">
        <v>197</v>
      </c>
      <c r="B116" s="492" t="s">
        <v>965</v>
      </c>
      <c r="C116" s="487" t="s">
        <v>966</v>
      </c>
      <c r="D116" s="493" t="s">
        <v>2820</v>
      </c>
      <c r="E116" s="493">
        <f>45%</f>
        <v>0.45</v>
      </c>
    </row>
    <row r="117" spans="1:5">
      <c r="A117" s="488" t="s">
        <v>298</v>
      </c>
      <c r="B117" s="494" t="s">
        <v>967</v>
      </c>
      <c r="C117" s="489" t="s">
        <v>968</v>
      </c>
      <c r="D117" s="495" t="s">
        <v>2820</v>
      </c>
      <c r="E117" s="495">
        <f>732%</f>
        <v>7.32</v>
      </c>
    </row>
    <row r="118" spans="1:5">
      <c r="A118" s="486" t="s">
        <v>432</v>
      </c>
      <c r="B118" s="492" t="s">
        <v>842</v>
      </c>
      <c r="C118" s="487" t="s">
        <v>969</v>
      </c>
      <c r="D118" s="493" t="s">
        <v>2820</v>
      </c>
      <c r="E118" s="493"/>
    </row>
    <row r="119" spans="1:5">
      <c r="A119" s="488" t="s">
        <v>198</v>
      </c>
      <c r="B119" s="494" t="s">
        <v>963</v>
      </c>
      <c r="C119" s="489" t="s">
        <v>970</v>
      </c>
      <c r="D119" s="495" t="s">
        <v>2820</v>
      </c>
      <c r="E119" s="495">
        <f>9%</f>
        <v>0.09</v>
      </c>
    </row>
    <row r="120" spans="1:5">
      <c r="A120" s="486" t="s">
        <v>261</v>
      </c>
      <c r="B120" s="492" t="s">
        <v>971</v>
      </c>
      <c r="C120" s="487" t="s">
        <v>972</v>
      </c>
      <c r="D120" s="493" t="s">
        <v>2820</v>
      </c>
      <c r="E120" s="493">
        <f>48%</f>
        <v>0.48</v>
      </c>
    </row>
    <row r="121" spans="1:5">
      <c r="A121" s="488" t="s">
        <v>199</v>
      </c>
      <c r="B121" s="494" t="s">
        <v>973</v>
      </c>
      <c r="C121" s="489" t="s">
        <v>974</v>
      </c>
      <c r="D121" s="495" t="s">
        <v>2820</v>
      </c>
      <c r="E121" s="495">
        <f>67%</f>
        <v>0.67</v>
      </c>
    </row>
    <row r="122" spans="1:5">
      <c r="A122" s="486" t="s">
        <v>200</v>
      </c>
      <c r="B122" s="492" t="s">
        <v>975</v>
      </c>
      <c r="C122" s="487" t="s">
        <v>976</v>
      </c>
      <c r="D122" s="493" t="s">
        <v>2820</v>
      </c>
      <c r="E122" s="493">
        <f>316%</f>
        <v>3.16</v>
      </c>
    </row>
    <row r="123" spans="1:5">
      <c r="A123" s="488" t="s">
        <v>612</v>
      </c>
      <c r="B123" s="494" t="s">
        <v>942</v>
      </c>
      <c r="C123" s="489" t="s">
        <v>977</v>
      </c>
      <c r="D123" s="495" t="s">
        <v>2820</v>
      </c>
      <c r="E123" s="495">
        <f>158%</f>
        <v>1.58</v>
      </c>
    </row>
    <row r="124" spans="1:5">
      <c r="A124" s="486" t="s">
        <v>319</v>
      </c>
      <c r="B124" s="492" t="s">
        <v>597</v>
      </c>
      <c r="C124" s="487" t="s">
        <v>978</v>
      </c>
      <c r="D124" s="493" t="s">
        <v>2820</v>
      </c>
      <c r="E124" s="493">
        <f>535%</f>
        <v>5.35</v>
      </c>
    </row>
    <row r="125" spans="1:5">
      <c r="A125" s="488" t="s">
        <v>615</v>
      </c>
      <c r="B125" s="494" t="s">
        <v>933</v>
      </c>
      <c r="C125" s="489" t="s">
        <v>979</v>
      </c>
      <c r="D125" s="495" t="s">
        <v>2820</v>
      </c>
      <c r="E125" s="495">
        <f>63%</f>
        <v>0.63</v>
      </c>
    </row>
    <row r="126" spans="1:5">
      <c r="A126" s="486" t="s">
        <v>616</v>
      </c>
      <c r="B126" s="492" t="s">
        <v>980</v>
      </c>
      <c r="C126" s="487" t="s">
        <v>981</v>
      </c>
      <c r="D126" s="493" t="s">
        <v>2820</v>
      </c>
      <c r="E126" s="493">
        <f>64%</f>
        <v>0.64</v>
      </c>
    </row>
    <row r="127" spans="1:5">
      <c r="A127" s="488" t="s">
        <v>618</v>
      </c>
      <c r="B127" s="494" t="s">
        <v>982</v>
      </c>
      <c r="C127" s="489" t="s">
        <v>983</v>
      </c>
      <c r="D127" s="495" t="s">
        <v>2820</v>
      </c>
      <c r="E127" s="495">
        <f>36%</f>
        <v>0.36</v>
      </c>
    </row>
    <row r="128" spans="1:5">
      <c r="A128" s="486" t="s">
        <v>285</v>
      </c>
      <c r="B128" s="492" t="s">
        <v>984</v>
      </c>
      <c r="C128" s="487" t="s">
        <v>985</v>
      </c>
      <c r="D128" s="493" t="s">
        <v>2820</v>
      </c>
      <c r="E128" s="493" t="s">
        <v>2820</v>
      </c>
    </row>
    <row r="129" spans="1:5">
      <c r="A129" s="488" t="s">
        <v>262</v>
      </c>
      <c r="B129" s="494" t="s">
        <v>986</v>
      </c>
      <c r="C129" s="489" t="s">
        <v>987</v>
      </c>
      <c r="D129" s="495" t="s">
        <v>2820</v>
      </c>
      <c r="E129" s="495">
        <f>177%</f>
        <v>1.77</v>
      </c>
    </row>
    <row r="130" spans="1:5">
      <c r="A130" s="486" t="s">
        <v>220</v>
      </c>
      <c r="B130" s="492" t="s">
        <v>988</v>
      </c>
      <c r="C130" s="487" t="s">
        <v>989</v>
      </c>
      <c r="D130" s="493" t="s">
        <v>2820</v>
      </c>
      <c r="E130" s="493">
        <f>184%</f>
        <v>1.84</v>
      </c>
    </row>
    <row r="131" spans="1:5">
      <c r="A131" s="488" t="s">
        <v>201</v>
      </c>
      <c r="B131" s="494" t="s">
        <v>990</v>
      </c>
      <c r="C131" s="489" t="s">
        <v>991</v>
      </c>
      <c r="D131" s="495" t="s">
        <v>2820</v>
      </c>
      <c r="E131" s="495" t="s">
        <v>2820</v>
      </c>
    </row>
    <row r="132" spans="1:5">
      <c r="A132" s="486" t="s">
        <v>299</v>
      </c>
      <c r="B132" s="492" t="s">
        <v>992</v>
      </c>
      <c r="C132" s="487" t="s">
        <v>993</v>
      </c>
      <c r="D132" s="493" t="s">
        <v>2820</v>
      </c>
      <c r="E132" s="493">
        <f>831%</f>
        <v>8.31</v>
      </c>
    </row>
    <row r="133" spans="1:5">
      <c r="A133" s="488" t="s">
        <v>202</v>
      </c>
      <c r="B133" s="494" t="s">
        <v>810</v>
      </c>
      <c r="C133" s="489" t="s">
        <v>994</v>
      </c>
      <c r="D133" s="495" t="s">
        <v>2820</v>
      </c>
      <c r="E133" s="495" t="s">
        <v>2820</v>
      </c>
    </row>
    <row r="134" spans="1:5">
      <c r="A134" s="486" t="s">
        <v>238</v>
      </c>
      <c r="B134" s="492" t="s">
        <v>995</v>
      </c>
      <c r="C134" s="487" t="s">
        <v>867</v>
      </c>
      <c r="D134" s="493" t="s">
        <v>2820</v>
      </c>
      <c r="E134" s="493">
        <f>141%</f>
        <v>1.41</v>
      </c>
    </row>
    <row r="135" spans="1:5">
      <c r="A135" s="488" t="s">
        <v>627</v>
      </c>
      <c r="B135" s="494" t="s">
        <v>856</v>
      </c>
      <c r="C135" s="489" t="s">
        <v>996</v>
      </c>
      <c r="D135" s="495" t="s">
        <v>2820</v>
      </c>
      <c r="E135" s="495">
        <f>174%</f>
        <v>1.74</v>
      </c>
    </row>
    <row r="136" spans="1:5">
      <c r="A136" s="486" t="s">
        <v>263</v>
      </c>
      <c r="B136" s="492" t="s">
        <v>997</v>
      </c>
      <c r="C136" s="487" t="s">
        <v>998</v>
      </c>
      <c r="D136" s="493" t="s">
        <v>2820</v>
      </c>
      <c r="E136" s="493">
        <f>11%</f>
        <v>0.11</v>
      </c>
    </row>
    <row r="137" spans="1:5">
      <c r="A137" s="488" t="s">
        <v>630</v>
      </c>
      <c r="B137" s="494" t="s">
        <v>999</v>
      </c>
      <c r="C137" s="489" t="s">
        <v>1000</v>
      </c>
      <c r="D137" s="495" t="s">
        <v>2820</v>
      </c>
      <c r="E137" s="495">
        <f>14%</f>
        <v>0.14000000000000001</v>
      </c>
    </row>
    <row r="138" spans="1:5">
      <c r="A138" s="486" t="s">
        <v>433</v>
      </c>
      <c r="B138" s="492" t="s">
        <v>1001</v>
      </c>
      <c r="C138" s="487" t="s">
        <v>1002</v>
      </c>
      <c r="D138" s="493" t="s">
        <v>2820</v>
      </c>
      <c r="E138" s="493">
        <f>119%</f>
        <v>1.19</v>
      </c>
    </row>
    <row r="139" spans="1:5">
      <c r="A139" s="488" t="s">
        <v>300</v>
      </c>
      <c r="B139" s="494" t="s">
        <v>1003</v>
      </c>
      <c r="C139" s="489" t="s">
        <v>1004</v>
      </c>
      <c r="D139" s="494" t="s">
        <v>1005</v>
      </c>
      <c r="E139" s="497">
        <v>-0.4</v>
      </c>
    </row>
    <row r="140" spans="1:5">
      <c r="A140" s="486" t="s">
        <v>320</v>
      </c>
      <c r="B140" s="492" t="s">
        <v>1006</v>
      </c>
      <c r="C140" s="487" t="s">
        <v>1007</v>
      </c>
      <c r="D140" s="493" t="s">
        <v>2820</v>
      </c>
      <c r="E140" s="493">
        <f>24%</f>
        <v>0.24</v>
      </c>
    </row>
    <row r="141" spans="1:5">
      <c r="A141" s="488" t="s">
        <v>203</v>
      </c>
      <c r="B141" s="494" t="s">
        <v>1008</v>
      </c>
      <c r="C141" s="489" t="s">
        <v>1009</v>
      </c>
      <c r="D141" s="494" t="s">
        <v>1010</v>
      </c>
      <c r="E141" s="497">
        <v>-0.61</v>
      </c>
    </row>
    <row r="142" spans="1:5">
      <c r="A142" s="486" t="s">
        <v>204</v>
      </c>
      <c r="B142" s="492" t="s">
        <v>738</v>
      </c>
      <c r="C142" s="487" t="s">
        <v>1011</v>
      </c>
      <c r="D142" s="493" t="s">
        <v>2820</v>
      </c>
      <c r="E142" s="493">
        <f>66%</f>
        <v>0.66</v>
      </c>
    </row>
    <row r="143" spans="1:5">
      <c r="A143" s="488" t="s">
        <v>301</v>
      </c>
      <c r="B143" s="494" t="s">
        <v>1012</v>
      </c>
      <c r="C143" s="489" t="s">
        <v>1013</v>
      </c>
      <c r="D143" s="495" t="s">
        <v>2820</v>
      </c>
      <c r="E143" s="495">
        <f>59%</f>
        <v>0.59</v>
      </c>
    </row>
    <row r="144" spans="1:5">
      <c r="A144" s="486" t="s">
        <v>264</v>
      </c>
      <c r="B144" s="492" t="s">
        <v>1014</v>
      </c>
      <c r="C144" s="487" t="s">
        <v>1015</v>
      </c>
      <c r="D144" s="492" t="s">
        <v>1016</v>
      </c>
      <c r="E144" s="496">
        <v>-0.49</v>
      </c>
    </row>
    <row r="145" spans="1:5">
      <c r="A145" s="488" t="s">
        <v>639</v>
      </c>
      <c r="B145" s="494" t="s">
        <v>1017</v>
      </c>
      <c r="C145" s="489" t="s">
        <v>1018</v>
      </c>
      <c r="D145" s="495" t="s">
        <v>2820</v>
      </c>
      <c r="E145" s="495">
        <f>310%</f>
        <v>3.1</v>
      </c>
    </row>
    <row r="146" spans="1:5">
      <c r="A146" s="486" t="s">
        <v>641</v>
      </c>
      <c r="B146" s="492" t="s">
        <v>1019</v>
      </c>
      <c r="C146" s="487" t="s">
        <v>1020</v>
      </c>
      <c r="D146" s="492" t="s">
        <v>1021</v>
      </c>
      <c r="E146" s="496">
        <v>-0.17</v>
      </c>
    </row>
    <row r="147" spans="1:5">
      <c r="A147" s="488" t="s">
        <v>643</v>
      </c>
      <c r="B147" s="494" t="s">
        <v>1022</v>
      </c>
      <c r="C147" s="489" t="s">
        <v>1023</v>
      </c>
      <c r="D147" s="494" t="s">
        <v>1024</v>
      </c>
      <c r="E147" s="497">
        <v>-0.14000000000000001</v>
      </c>
    </row>
    <row r="148" spans="1:5">
      <c r="A148" s="486" t="s">
        <v>265</v>
      </c>
      <c r="B148" s="492" t="s">
        <v>1025</v>
      </c>
      <c r="C148" s="487" t="s">
        <v>1026</v>
      </c>
      <c r="D148" s="493" t="s">
        <v>2820</v>
      </c>
      <c r="E148" s="493">
        <f>36%</f>
        <v>0.36</v>
      </c>
    </row>
    <row r="149" spans="1:5">
      <c r="A149" s="488" t="s">
        <v>646</v>
      </c>
      <c r="B149" s="494" t="s">
        <v>1027</v>
      </c>
      <c r="C149" s="489" t="s">
        <v>1028</v>
      </c>
      <c r="D149" s="494" t="s">
        <v>1029</v>
      </c>
      <c r="E149" s="497">
        <v>-0.3</v>
      </c>
    </row>
    <row r="150" spans="1:5">
      <c r="A150" s="486" t="s">
        <v>231</v>
      </c>
      <c r="B150" s="492" t="s">
        <v>1030</v>
      </c>
      <c r="C150" s="487" t="s">
        <v>1031</v>
      </c>
      <c r="D150" s="493" t="s">
        <v>2820</v>
      </c>
      <c r="E150" s="493">
        <f>26%</f>
        <v>0.26</v>
      </c>
    </row>
    <row r="151" spans="1:5">
      <c r="A151" s="488" t="s">
        <v>239</v>
      </c>
      <c r="B151" s="494" t="s">
        <v>1032</v>
      </c>
      <c r="C151" s="489" t="s">
        <v>1033</v>
      </c>
      <c r="D151" s="495" t="s">
        <v>2820</v>
      </c>
      <c r="E151" s="495" t="s">
        <v>2820</v>
      </c>
    </row>
    <row r="152" spans="1:5">
      <c r="A152" s="486" t="s">
        <v>321</v>
      </c>
      <c r="B152" s="492" t="s">
        <v>1034</v>
      </c>
      <c r="C152" s="487" t="s">
        <v>1035</v>
      </c>
      <c r="D152" s="493" t="s">
        <v>2820</v>
      </c>
      <c r="E152" s="493">
        <f>38%</f>
        <v>0.38</v>
      </c>
    </row>
    <row r="153" spans="1:5">
      <c r="A153" s="488" t="s">
        <v>322</v>
      </c>
      <c r="B153" s="494" t="s">
        <v>1036</v>
      </c>
      <c r="C153" s="489" t="s">
        <v>1037</v>
      </c>
      <c r="D153" s="495" t="s">
        <v>2820</v>
      </c>
      <c r="E153" s="495">
        <f>148%</f>
        <v>1.48</v>
      </c>
    </row>
    <row r="154" spans="1:5">
      <c r="A154" s="486" t="s">
        <v>323</v>
      </c>
      <c r="B154" s="492" t="s">
        <v>1038</v>
      </c>
      <c r="C154" s="487" t="s">
        <v>1039</v>
      </c>
      <c r="D154" s="493" t="s">
        <v>2820</v>
      </c>
      <c r="E154" s="493">
        <f>493%</f>
        <v>4.93</v>
      </c>
    </row>
    <row r="155" spans="1:5">
      <c r="A155" s="488" t="s">
        <v>434</v>
      </c>
      <c r="B155" s="494" t="s">
        <v>1040</v>
      </c>
      <c r="C155" s="489" t="s">
        <v>960</v>
      </c>
      <c r="D155" s="495" t="s">
        <v>2820</v>
      </c>
      <c r="E155" s="495">
        <f>58%</f>
        <v>0.57999999999999996</v>
      </c>
    </row>
    <row r="156" spans="1:5">
      <c r="A156" s="486" t="s">
        <v>266</v>
      </c>
      <c r="B156" s="492" t="s">
        <v>1041</v>
      </c>
      <c r="C156" s="487" t="s">
        <v>1042</v>
      </c>
      <c r="D156" s="492" t="s">
        <v>1043</v>
      </c>
      <c r="E156" s="496">
        <v>-0.18</v>
      </c>
    </row>
    <row r="157" spans="1:5">
      <c r="A157" s="488" t="s">
        <v>655</v>
      </c>
      <c r="B157" s="494" t="s">
        <v>994</v>
      </c>
      <c r="C157" s="489" t="s">
        <v>1044</v>
      </c>
      <c r="D157" s="495" t="s">
        <v>2820</v>
      </c>
      <c r="E157" s="495">
        <f>351%</f>
        <v>3.51</v>
      </c>
    </row>
    <row r="158" spans="1:5">
      <c r="A158" s="486" t="s">
        <v>267</v>
      </c>
      <c r="B158" s="492" t="s">
        <v>1045</v>
      </c>
      <c r="C158" s="487" t="s">
        <v>1046</v>
      </c>
      <c r="D158" s="493" t="s">
        <v>2820</v>
      </c>
      <c r="E158" s="493">
        <f>159%</f>
        <v>1.59</v>
      </c>
    </row>
    <row r="159" spans="1:5">
      <c r="A159" s="488" t="s">
        <v>269</v>
      </c>
      <c r="B159" s="494" t="s">
        <v>1035</v>
      </c>
      <c r="C159" s="489" t="s">
        <v>1047</v>
      </c>
      <c r="D159" s="495" t="s">
        <v>2820</v>
      </c>
      <c r="E159" s="495">
        <f>139%</f>
        <v>1.39</v>
      </c>
    </row>
    <row r="160" spans="1:5">
      <c r="A160" s="486" t="s">
        <v>659</v>
      </c>
      <c r="B160" s="492" t="s">
        <v>1048</v>
      </c>
      <c r="C160" s="487" t="s">
        <v>1049</v>
      </c>
      <c r="D160" s="493" t="s">
        <v>2820</v>
      </c>
      <c r="E160" s="493">
        <f>9%</f>
        <v>0.09</v>
      </c>
    </row>
    <row r="161" spans="1:5">
      <c r="A161" s="488" t="s">
        <v>205</v>
      </c>
      <c r="B161" s="494" t="s">
        <v>1050</v>
      </c>
      <c r="C161" s="489" t="s">
        <v>980</v>
      </c>
      <c r="D161" s="495" t="s">
        <v>2820</v>
      </c>
      <c r="E161" s="495">
        <f>388%</f>
        <v>3.88</v>
      </c>
    </row>
    <row r="162" spans="1:5">
      <c r="A162" s="486" t="s">
        <v>436</v>
      </c>
      <c r="B162" s="492" t="s">
        <v>1051</v>
      </c>
      <c r="C162" s="487" t="s">
        <v>1052</v>
      </c>
      <c r="D162" s="493" t="s">
        <v>2820</v>
      </c>
      <c r="E162" s="493">
        <f>91%</f>
        <v>0.91</v>
      </c>
    </row>
    <row r="163" spans="1:5">
      <c r="A163" s="488" t="s">
        <v>437</v>
      </c>
      <c r="B163" s="494" t="s">
        <v>795</v>
      </c>
      <c r="C163" s="489" t="s">
        <v>1053</v>
      </c>
      <c r="D163" s="495" t="s">
        <v>2820</v>
      </c>
      <c r="E163" s="495">
        <f>36%</f>
        <v>0.36</v>
      </c>
    </row>
    <row r="164" spans="1:5">
      <c r="A164" s="486" t="s">
        <v>438</v>
      </c>
      <c r="B164" s="492" t="s">
        <v>1054</v>
      </c>
      <c r="C164" s="487" t="s">
        <v>1055</v>
      </c>
      <c r="D164" s="493" t="s">
        <v>2820</v>
      </c>
      <c r="E164" s="493">
        <f>122%</f>
        <v>1.22</v>
      </c>
    </row>
    <row r="165" spans="1:5">
      <c r="A165" s="488" t="s">
        <v>439</v>
      </c>
      <c r="B165" s="494" t="s">
        <v>1056</v>
      </c>
      <c r="C165" s="489" t="s">
        <v>1057</v>
      </c>
      <c r="D165" s="495" t="s">
        <v>2820</v>
      </c>
      <c r="E165" s="495">
        <f>92%</f>
        <v>0.92</v>
      </c>
    </row>
    <row r="166" spans="1:5">
      <c r="A166" s="486" t="s">
        <v>206</v>
      </c>
      <c r="B166" s="492" t="s">
        <v>995</v>
      </c>
      <c r="C166" s="487" t="s">
        <v>1058</v>
      </c>
      <c r="D166" s="492" t="s">
        <v>849</v>
      </c>
      <c r="E166" s="496">
        <v>-0.16</v>
      </c>
    </row>
    <row r="167" spans="1:5">
      <c r="A167" s="488" t="s">
        <v>232</v>
      </c>
      <c r="B167" s="494" t="s">
        <v>1059</v>
      </c>
      <c r="C167" s="489" t="s">
        <v>1060</v>
      </c>
      <c r="D167" s="495" t="s">
        <v>2820</v>
      </c>
      <c r="E167" s="495" t="s">
        <v>2820</v>
      </c>
    </row>
    <row r="168" spans="1:5">
      <c r="A168" s="486" t="s">
        <v>207</v>
      </c>
      <c r="B168" s="492" t="s">
        <v>899</v>
      </c>
      <c r="C168" s="487" t="s">
        <v>880</v>
      </c>
      <c r="D168" s="493" t="s">
        <v>2820</v>
      </c>
      <c r="E168" s="493">
        <f>104%</f>
        <v>1.04</v>
      </c>
    </row>
    <row r="169" spans="1:5">
      <c r="A169" s="488" t="s">
        <v>271</v>
      </c>
      <c r="B169" s="494" t="s">
        <v>1061</v>
      </c>
      <c r="C169" s="489" t="s">
        <v>1062</v>
      </c>
      <c r="D169" s="495" t="s">
        <v>2820</v>
      </c>
      <c r="E169" s="495">
        <f>35%</f>
        <v>0.35</v>
      </c>
    </row>
    <row r="170" spans="1:5">
      <c r="A170" s="486" t="s">
        <v>670</v>
      </c>
      <c r="B170" s="492" t="s">
        <v>1063</v>
      </c>
      <c r="C170" s="487" t="s">
        <v>1064</v>
      </c>
      <c r="D170" s="492" t="s">
        <v>1010</v>
      </c>
      <c r="E170" s="496">
        <v>-0.05</v>
      </c>
    </row>
    <row r="171" spans="1:5">
      <c r="A171" s="488" t="s">
        <v>208</v>
      </c>
      <c r="B171" s="494" t="s">
        <v>1065</v>
      </c>
      <c r="C171" s="489" t="s">
        <v>885</v>
      </c>
      <c r="D171" s="495" t="s">
        <v>2820</v>
      </c>
      <c r="E171" s="495">
        <f>88%</f>
        <v>0.88</v>
      </c>
    </row>
    <row r="172" spans="1:5">
      <c r="A172" s="486" t="s">
        <v>272</v>
      </c>
      <c r="B172" s="492" t="s">
        <v>1066</v>
      </c>
      <c r="C172" s="487" t="s">
        <v>1067</v>
      </c>
      <c r="D172" s="492" t="s">
        <v>939</v>
      </c>
      <c r="E172" s="496">
        <v>-0.18</v>
      </c>
    </row>
    <row r="173" spans="1:5">
      <c r="A173" s="488" t="s">
        <v>273</v>
      </c>
      <c r="B173" s="494" t="s">
        <v>1068</v>
      </c>
      <c r="C173" s="489" t="s">
        <v>1069</v>
      </c>
      <c r="D173" s="495" t="s">
        <v>2820</v>
      </c>
      <c r="E173" s="495">
        <f>32%</f>
        <v>0.32</v>
      </c>
    </row>
    <row r="174" spans="1:5">
      <c r="A174" s="486" t="s">
        <v>675</v>
      </c>
      <c r="B174" s="492" t="s">
        <v>1070</v>
      </c>
      <c r="C174" s="487" t="s">
        <v>1071</v>
      </c>
      <c r="D174" s="493" t="s">
        <v>2820</v>
      </c>
      <c r="E174" s="493">
        <f>142%</f>
        <v>1.42</v>
      </c>
    </row>
    <row r="175" spans="1:5">
      <c r="A175" s="488" t="s">
        <v>440</v>
      </c>
      <c r="B175" s="494" t="s">
        <v>1072</v>
      </c>
      <c r="C175" s="489" t="s">
        <v>1073</v>
      </c>
      <c r="D175" s="494" t="s">
        <v>1010</v>
      </c>
      <c r="E175" s="497">
        <v>-0.25</v>
      </c>
    </row>
    <row r="176" spans="1:5">
      <c r="A176" s="486" t="s">
        <v>210</v>
      </c>
      <c r="B176" s="492" t="s">
        <v>1074</v>
      </c>
      <c r="C176" s="487" t="s">
        <v>1075</v>
      </c>
      <c r="D176" s="493" t="s">
        <v>2820</v>
      </c>
      <c r="E176" s="493">
        <f>167%</f>
        <v>1.67</v>
      </c>
    </row>
    <row r="177" spans="1:5">
      <c r="A177" s="488" t="s">
        <v>679</v>
      </c>
      <c r="B177" s="494" t="s">
        <v>1076</v>
      </c>
      <c r="C177" s="489" t="s">
        <v>1077</v>
      </c>
      <c r="D177" s="495" t="s">
        <v>2820</v>
      </c>
      <c r="E177" s="495">
        <f>153%</f>
        <v>1.53</v>
      </c>
    </row>
    <row r="178" spans="1:5">
      <c r="A178" s="486" t="s">
        <v>681</v>
      </c>
      <c r="B178" s="492" t="s">
        <v>827</v>
      </c>
      <c r="C178" s="487" t="s">
        <v>1078</v>
      </c>
      <c r="D178" s="493" t="s">
        <v>2820</v>
      </c>
      <c r="E178" s="493">
        <f>192%</f>
        <v>1.92</v>
      </c>
    </row>
    <row r="179" spans="1:5">
      <c r="A179" s="488" t="s">
        <v>304</v>
      </c>
      <c r="B179" s="494" t="s">
        <v>885</v>
      </c>
      <c r="C179" s="489" t="s">
        <v>1079</v>
      </c>
      <c r="D179" s="495" t="s">
        <v>2820</v>
      </c>
      <c r="E179" s="495">
        <f>627%</f>
        <v>6.27</v>
      </c>
    </row>
    <row r="180" spans="1:5">
      <c r="A180" s="486" t="s">
        <v>684</v>
      </c>
      <c r="B180" s="492" t="s">
        <v>1080</v>
      </c>
      <c r="C180" s="487" t="s">
        <v>1081</v>
      </c>
      <c r="D180" s="493" t="s">
        <v>2820</v>
      </c>
      <c r="E180" s="493">
        <f>188%</f>
        <v>1.88</v>
      </c>
    </row>
    <row r="181" spans="1:5">
      <c r="A181" s="488" t="s">
        <v>686</v>
      </c>
      <c r="B181" s="494" t="s">
        <v>884</v>
      </c>
      <c r="C181" s="489" t="s">
        <v>1082</v>
      </c>
      <c r="D181" s="495" t="s">
        <v>2820</v>
      </c>
      <c r="E181" s="495">
        <f>580%</f>
        <v>5.8</v>
      </c>
    </row>
    <row r="182" spans="1:5">
      <c r="A182" s="486" t="s">
        <v>688</v>
      </c>
      <c r="B182" s="492" t="s">
        <v>1083</v>
      </c>
      <c r="C182" s="487" t="s">
        <v>1084</v>
      </c>
      <c r="D182" s="493" t="s">
        <v>2820</v>
      </c>
      <c r="E182" s="493">
        <f>73%</f>
        <v>0.73</v>
      </c>
    </row>
    <row r="183" spans="1:5">
      <c r="A183" s="488" t="s">
        <v>274</v>
      </c>
      <c r="B183" s="494" t="s">
        <v>834</v>
      </c>
      <c r="C183" s="489" t="s">
        <v>1085</v>
      </c>
      <c r="D183" s="495" t="s">
        <v>2820</v>
      </c>
      <c r="E183" s="495">
        <f>74%</f>
        <v>0.74</v>
      </c>
    </row>
    <row r="184" spans="1:5">
      <c r="A184" s="486" t="s">
        <v>441</v>
      </c>
      <c r="B184" s="492" t="s">
        <v>1086</v>
      </c>
      <c r="C184" s="487" t="s">
        <v>1087</v>
      </c>
      <c r="D184" s="493" t="s">
        <v>2820</v>
      </c>
      <c r="E184" s="493">
        <f>364%</f>
        <v>3.64</v>
      </c>
    </row>
    <row r="185" spans="1:5">
      <c r="A185" s="488" t="s">
        <v>221</v>
      </c>
      <c r="B185" s="494" t="s">
        <v>1088</v>
      </c>
      <c r="C185" s="489" t="s">
        <v>1089</v>
      </c>
      <c r="D185" s="495" t="s">
        <v>2820</v>
      </c>
      <c r="E185" s="495">
        <f>23%</f>
        <v>0.23</v>
      </c>
    </row>
    <row r="186" spans="1:5">
      <c r="A186" s="486" t="s">
        <v>693</v>
      </c>
      <c r="B186" s="492" t="s">
        <v>963</v>
      </c>
      <c r="C186" s="487" t="s">
        <v>1090</v>
      </c>
      <c r="D186" s="493" t="s">
        <v>2820</v>
      </c>
      <c r="E186" s="493">
        <f>14%</f>
        <v>0.14000000000000001</v>
      </c>
    </row>
    <row r="187" spans="1:5">
      <c r="A187" s="488" t="s">
        <v>324</v>
      </c>
      <c r="B187" s="494" t="s">
        <v>1091</v>
      </c>
      <c r="C187" s="489" t="s">
        <v>1092</v>
      </c>
      <c r="D187" s="495" t="s">
        <v>2820</v>
      </c>
      <c r="E187" s="495">
        <f>236%</f>
        <v>2.36</v>
      </c>
    </row>
    <row r="188" spans="1:5">
      <c r="A188" s="486" t="s">
        <v>275</v>
      </c>
      <c r="B188" s="492" t="s">
        <v>1093</v>
      </c>
      <c r="C188" s="487" t="s">
        <v>1094</v>
      </c>
      <c r="D188" s="493" t="s">
        <v>2820</v>
      </c>
      <c r="E188" s="493">
        <f>18%</f>
        <v>0.18</v>
      </c>
    </row>
    <row r="189" spans="1:5">
      <c r="A189" s="488" t="s">
        <v>276</v>
      </c>
      <c r="B189" s="494" t="s">
        <v>1095</v>
      </c>
      <c r="C189" s="489" t="s">
        <v>1096</v>
      </c>
      <c r="D189" s="495" t="s">
        <v>2820</v>
      </c>
      <c r="E189" s="495">
        <f>2%</f>
        <v>0.02</v>
      </c>
    </row>
    <row r="190" spans="1:5">
      <c r="A190" s="486" t="s">
        <v>698</v>
      </c>
      <c r="B190" s="492" t="s">
        <v>1097</v>
      </c>
      <c r="C190" s="487" t="s">
        <v>1098</v>
      </c>
      <c r="D190" s="493" t="s">
        <v>2820</v>
      </c>
      <c r="E190" s="493">
        <f>795%</f>
        <v>7.95</v>
      </c>
    </row>
    <row r="191" spans="1:5">
      <c r="A191" s="488" t="s">
        <v>286</v>
      </c>
      <c r="B191" s="494" t="s">
        <v>1099</v>
      </c>
      <c r="C191" s="489" t="s">
        <v>1100</v>
      </c>
      <c r="D191" s="495" t="s">
        <v>2820</v>
      </c>
      <c r="E191" s="495">
        <f>16%</f>
        <v>0.16</v>
      </c>
    </row>
    <row r="192" spans="1:5">
      <c r="A192" s="486" t="s">
        <v>212</v>
      </c>
      <c r="B192" s="492" t="s">
        <v>950</v>
      </c>
      <c r="C192" s="487" t="s">
        <v>746</v>
      </c>
      <c r="D192" s="492" t="s">
        <v>1101</v>
      </c>
      <c r="E192" s="496">
        <v>-0.62</v>
      </c>
    </row>
    <row r="193" spans="1:5">
      <c r="A193" s="488" t="s">
        <v>305</v>
      </c>
      <c r="B193" s="494" t="s">
        <v>1102</v>
      </c>
      <c r="C193" s="489" t="s">
        <v>1103</v>
      </c>
      <c r="D193" s="495" t="s">
        <v>2820</v>
      </c>
      <c r="E193" s="495">
        <f>38%</f>
        <v>0.38</v>
      </c>
    </row>
    <row r="194" spans="1:5">
      <c r="A194" s="486" t="s">
        <v>703</v>
      </c>
      <c r="B194" s="492" t="s">
        <v>1104</v>
      </c>
      <c r="C194" s="487" t="s">
        <v>1105</v>
      </c>
      <c r="D194" s="492" t="s">
        <v>924</v>
      </c>
      <c r="E194" s="496">
        <v>-0.22</v>
      </c>
    </row>
    <row r="195" spans="1:5">
      <c r="A195" s="488" t="s">
        <v>213</v>
      </c>
      <c r="B195" s="494" t="s">
        <v>1106</v>
      </c>
      <c r="C195" s="489" t="s">
        <v>1107</v>
      </c>
      <c r="D195" s="495" t="s">
        <v>2820</v>
      </c>
      <c r="E195" s="495">
        <f>280%</f>
        <v>2.8</v>
      </c>
    </row>
    <row r="196" spans="1:5">
      <c r="A196" s="486" t="s">
        <v>443</v>
      </c>
      <c r="B196" s="492" t="s">
        <v>1108</v>
      </c>
      <c r="C196" s="487" t="s">
        <v>1109</v>
      </c>
      <c r="D196" s="493" t="s">
        <v>2820</v>
      </c>
      <c r="E196" s="493">
        <f>287%</f>
        <v>2.87</v>
      </c>
    </row>
    <row r="197" spans="1:5">
      <c r="A197" s="488" t="s">
        <v>222</v>
      </c>
      <c r="B197" s="494" t="s">
        <v>1110</v>
      </c>
      <c r="C197" s="489" t="s">
        <v>1111</v>
      </c>
      <c r="D197" s="495" t="s">
        <v>2820</v>
      </c>
      <c r="E197" s="495">
        <f>481%</f>
        <v>4.8099999999999996</v>
      </c>
    </row>
    <row r="198" spans="1:5">
      <c r="A198" s="486" t="s">
        <v>288</v>
      </c>
      <c r="B198" s="492" t="s">
        <v>1112</v>
      </c>
      <c r="C198" s="487" t="s">
        <v>1113</v>
      </c>
      <c r="D198" s="493" t="s">
        <v>2820</v>
      </c>
      <c r="E198" s="493">
        <f>273%</f>
        <v>2.73</v>
      </c>
    </row>
    <row r="199" spans="1:5">
      <c r="A199" s="488" t="s">
        <v>289</v>
      </c>
      <c r="B199" s="494" t="s">
        <v>1114</v>
      </c>
      <c r="C199" s="489" t="s">
        <v>770</v>
      </c>
      <c r="D199" s="495" t="s">
        <v>2820</v>
      </c>
      <c r="E199" s="495">
        <f>74%</f>
        <v>0.74</v>
      </c>
    </row>
    <row r="200" spans="1:5">
      <c r="A200" s="486" t="s">
        <v>710</v>
      </c>
      <c r="B200" s="492" t="s">
        <v>1115</v>
      </c>
      <c r="C200" s="487" t="s">
        <v>1116</v>
      </c>
      <c r="D200" s="493" t="s">
        <v>2820</v>
      </c>
      <c r="E200" s="493">
        <f>106%</f>
        <v>1.06</v>
      </c>
    </row>
    <row r="201" spans="1:5">
      <c r="A201" s="488" t="s">
        <v>214</v>
      </c>
      <c r="B201" s="494" t="s">
        <v>992</v>
      </c>
      <c r="C201" s="489" t="s">
        <v>1117</v>
      </c>
      <c r="D201" s="495" t="s">
        <v>2820</v>
      </c>
      <c r="E201" s="495">
        <f>52%</f>
        <v>0.52</v>
      </c>
    </row>
    <row r="202" spans="1:5">
      <c r="A202" s="486" t="s">
        <v>277</v>
      </c>
      <c r="B202" s="492" t="s">
        <v>1118</v>
      </c>
      <c r="C202" s="487" t="s">
        <v>1119</v>
      </c>
      <c r="D202" s="493" t="s">
        <v>2820</v>
      </c>
      <c r="E202" s="493">
        <f>11%</f>
        <v>0.11</v>
      </c>
    </row>
    <row r="203" spans="1:5">
      <c r="A203" s="488" t="s">
        <v>444</v>
      </c>
      <c r="B203" s="494" t="s">
        <v>1120</v>
      </c>
      <c r="C203" s="489" t="s">
        <v>1121</v>
      </c>
      <c r="D203" s="495" t="s">
        <v>2820</v>
      </c>
      <c r="E203" s="495">
        <f>489%</f>
        <v>4.8899999999999997</v>
      </c>
    </row>
    <row r="204" spans="1:5">
      <c r="A204" s="486" t="s">
        <v>715</v>
      </c>
      <c r="B204" s="492" t="s">
        <v>1122</v>
      </c>
      <c r="C204" s="487" t="s">
        <v>1123</v>
      </c>
      <c r="D204" s="492" t="s">
        <v>1124</v>
      </c>
      <c r="E204" s="496">
        <v>-0.24</v>
      </c>
    </row>
    <row r="205" spans="1:5">
      <c r="A205" s="488" t="s">
        <v>717</v>
      </c>
      <c r="B205" s="494" t="s">
        <v>1125</v>
      </c>
      <c r="C205" s="489" t="s">
        <v>1126</v>
      </c>
      <c r="D205" s="494" t="s">
        <v>1127</v>
      </c>
      <c r="E205" s="497">
        <v>-0.12</v>
      </c>
    </row>
    <row r="206" spans="1:5">
      <c r="A206" s="486" t="s">
        <v>325</v>
      </c>
      <c r="B206" s="492" t="s">
        <v>1128</v>
      </c>
      <c r="C206" s="487" t="s">
        <v>1129</v>
      </c>
      <c r="D206" s="493" t="s">
        <v>2820</v>
      </c>
      <c r="E206" s="493">
        <f>99%</f>
        <v>0.99</v>
      </c>
    </row>
    <row r="207" spans="1:5">
      <c r="A207" s="488" t="s">
        <v>287</v>
      </c>
      <c r="B207" s="494" t="s">
        <v>1130</v>
      </c>
      <c r="C207" s="489" t="s">
        <v>1131</v>
      </c>
      <c r="D207" s="495" t="s">
        <v>2820</v>
      </c>
      <c r="E207" s="495">
        <f>47%</f>
        <v>0.47</v>
      </c>
    </row>
    <row r="208" spans="1:5">
      <c r="A208" s="486" t="s">
        <v>448</v>
      </c>
      <c r="B208" s="492" t="s">
        <v>880</v>
      </c>
      <c r="C208" s="487" t="s">
        <v>844</v>
      </c>
      <c r="D208" s="493" t="s">
        <v>2820</v>
      </c>
      <c r="E208" s="493">
        <f>49%</f>
        <v>0.49</v>
      </c>
    </row>
    <row r="209" spans="1:5">
      <c r="A209" s="488" t="s">
        <v>326</v>
      </c>
      <c r="B209" s="494" t="s">
        <v>1132</v>
      </c>
      <c r="C209" s="489" t="s">
        <v>1133</v>
      </c>
      <c r="D209" s="494" t="s">
        <v>830</v>
      </c>
      <c r="E209" s="497">
        <v>-0.34</v>
      </c>
    </row>
    <row r="210" spans="1:5">
      <c r="A210" s="486" t="s">
        <v>306</v>
      </c>
      <c r="B210" s="492" t="s">
        <v>1038</v>
      </c>
      <c r="C210" s="487" t="s">
        <v>1134</v>
      </c>
      <c r="D210" s="493" t="s">
        <v>2820</v>
      </c>
      <c r="E210" s="493">
        <f>191%</f>
        <v>1.91</v>
      </c>
    </row>
    <row r="211" spans="1:5">
      <c r="A211" s="488" t="s">
        <v>724</v>
      </c>
      <c r="B211" s="494" t="s">
        <v>785</v>
      </c>
      <c r="C211" s="489" t="s">
        <v>1135</v>
      </c>
      <c r="D211" s="495" t="s">
        <v>2820</v>
      </c>
      <c r="E211" s="495">
        <f>128%</f>
        <v>1.28</v>
      </c>
    </row>
    <row r="212" spans="1:5">
      <c r="A212" s="486" t="s">
        <v>726</v>
      </c>
      <c r="B212" s="492" t="s">
        <v>974</v>
      </c>
      <c r="C212" s="487" t="s">
        <v>1136</v>
      </c>
      <c r="D212" s="493" t="s">
        <v>2820</v>
      </c>
      <c r="E212" s="493">
        <f>217%</f>
        <v>2.17</v>
      </c>
    </row>
    <row r="213" spans="1:5">
      <c r="A213" s="488" t="s">
        <v>728</v>
      </c>
      <c r="B213" s="494" t="s">
        <v>1137</v>
      </c>
      <c r="C213" s="489" t="s">
        <v>1138</v>
      </c>
      <c r="D213" s="495" t="s">
        <v>2820</v>
      </c>
      <c r="E213" s="495">
        <f>102%</f>
        <v>1.02</v>
      </c>
    </row>
    <row r="214" spans="1:5">
      <c r="A214" s="486" t="s">
        <v>235</v>
      </c>
      <c r="B214" s="492" t="s">
        <v>1139</v>
      </c>
      <c r="C214" s="487" t="s">
        <v>1097</v>
      </c>
      <c r="D214" s="493" t="s">
        <v>2820</v>
      </c>
      <c r="E214" s="493">
        <f>184%</f>
        <v>1.84</v>
      </c>
    </row>
    <row r="215" spans="1:5">
      <c r="A215" s="488" t="s">
        <v>731</v>
      </c>
      <c r="B215" s="494" t="s">
        <v>1140</v>
      </c>
      <c r="C215" s="489" t="s">
        <v>1141</v>
      </c>
      <c r="D215" s="495" t="s">
        <v>2820</v>
      </c>
      <c r="E215" s="495">
        <f>236%</f>
        <v>2.36</v>
      </c>
    </row>
    <row r="216" spans="1:5">
      <c r="A216" s="486" t="s">
        <v>215</v>
      </c>
      <c r="B216" s="492" t="s">
        <v>899</v>
      </c>
      <c r="C216" s="487" t="s">
        <v>1142</v>
      </c>
      <c r="D216" s="493" t="s">
        <v>2820</v>
      </c>
      <c r="E216" s="493">
        <f>199%</f>
        <v>1.99</v>
      </c>
    </row>
    <row r="217" spans="1:5">
      <c r="A217" s="488" t="s">
        <v>216</v>
      </c>
      <c r="B217" s="494" t="s">
        <v>1143</v>
      </c>
      <c r="C217" s="489" t="s">
        <v>1144</v>
      </c>
      <c r="D217" s="495" t="s">
        <v>2820</v>
      </c>
      <c r="E217" s="495">
        <f>22%</f>
        <v>0.22</v>
      </c>
    </row>
    <row r="218" spans="1:5">
      <c r="A218" s="498">
        <v>1961</v>
      </c>
      <c r="C218" s="185"/>
    </row>
    <row r="219" spans="1:5">
      <c r="A219" s="498">
        <v>2017</v>
      </c>
      <c r="C219" s="185"/>
    </row>
    <row r="220" spans="1:5">
      <c r="A220" s="499" t="s">
        <v>1145</v>
      </c>
      <c r="C220" s="185"/>
    </row>
    <row r="221" spans="1:5">
      <c r="A221" s="499" t="s">
        <v>1146</v>
      </c>
      <c r="C221" s="185"/>
    </row>
    <row r="222" spans="1:5">
      <c r="A222" s="500" t="s">
        <v>1147</v>
      </c>
      <c r="C222" s="185"/>
    </row>
    <row r="223" spans="1:5">
      <c r="A223" s="499" t="s">
        <v>1148</v>
      </c>
      <c r="C223" s="185"/>
    </row>
    <row r="224" spans="1:5">
      <c r="A224" s="499" t="s">
        <v>1149</v>
      </c>
      <c r="C224" s="185"/>
    </row>
    <row r="225" spans="1:3">
      <c r="A225" s="511"/>
      <c r="C225" s="185"/>
    </row>
    <row r="226" spans="1:3"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226"/>
  <sheetViews>
    <sheetView workbookViewId="0"/>
  </sheetViews>
  <sheetFormatPr defaultColWidth="14.42578125" defaultRowHeight="15.75" customHeight="1"/>
  <sheetData>
    <row r="1" spans="1:5">
      <c r="A1" s="484" t="s">
        <v>1683</v>
      </c>
    </row>
    <row r="2" spans="1:5">
      <c r="A2" s="486" t="s">
        <v>279</v>
      </c>
      <c r="B2" s="492" t="s">
        <v>1684</v>
      </c>
      <c r="C2" s="492" t="s">
        <v>1685</v>
      </c>
      <c r="D2" s="492" t="s">
        <v>1686</v>
      </c>
      <c r="E2" s="496">
        <v>-0.04</v>
      </c>
    </row>
    <row r="3" spans="1:5">
      <c r="A3" s="488" t="s">
        <v>468</v>
      </c>
      <c r="B3" s="494" t="s">
        <v>1687</v>
      </c>
      <c r="C3" s="494" t="s">
        <v>1688</v>
      </c>
      <c r="D3" s="494" t="s">
        <v>1689</v>
      </c>
      <c r="E3" s="497">
        <v>-0.08</v>
      </c>
    </row>
    <row r="4" spans="1:5">
      <c r="A4" s="486" t="s">
        <v>240</v>
      </c>
      <c r="B4" s="492" t="s">
        <v>1690</v>
      </c>
      <c r="C4" s="492" t="s">
        <v>1691</v>
      </c>
      <c r="D4" s="493" t="s">
        <v>2820</v>
      </c>
      <c r="E4" s="493">
        <f>415%</f>
        <v>4.1500000000000004</v>
      </c>
    </row>
    <row r="5" spans="1:5">
      <c r="A5" s="488" t="s">
        <v>219</v>
      </c>
      <c r="B5" s="494" t="s">
        <v>1692</v>
      </c>
      <c r="C5" s="494" t="s">
        <v>1693</v>
      </c>
      <c r="D5" s="495" t="s">
        <v>2820</v>
      </c>
      <c r="E5" s="495">
        <f>38%</f>
        <v>0.38</v>
      </c>
    </row>
    <row r="6" spans="1:5">
      <c r="A6" s="486" t="s">
        <v>472</v>
      </c>
      <c r="B6" s="492" t="s">
        <v>1694</v>
      </c>
      <c r="C6" s="492" t="s">
        <v>1695</v>
      </c>
      <c r="D6" s="492" t="s">
        <v>1696</v>
      </c>
      <c r="E6" s="496">
        <v>-0.05</v>
      </c>
    </row>
    <row r="7" spans="1:5">
      <c r="A7" s="488" t="s">
        <v>173</v>
      </c>
      <c r="B7" s="494" t="s">
        <v>1697</v>
      </c>
      <c r="C7" s="494" t="s">
        <v>1698</v>
      </c>
      <c r="D7" s="495" t="s">
        <v>2820</v>
      </c>
      <c r="E7" s="495">
        <f>154%</f>
        <v>1.54</v>
      </c>
    </row>
    <row r="8" spans="1:5">
      <c r="A8" s="486" t="s">
        <v>405</v>
      </c>
      <c r="B8" s="492" t="s">
        <v>1699</v>
      </c>
      <c r="C8" s="492" t="s">
        <v>1700</v>
      </c>
      <c r="D8" s="493" t="s">
        <v>2820</v>
      </c>
      <c r="E8" s="493">
        <f>17%</f>
        <v>0.17</v>
      </c>
    </row>
    <row r="9" spans="1:5">
      <c r="A9" s="488" t="s">
        <v>307</v>
      </c>
      <c r="B9" s="494" t="s">
        <v>1701</v>
      </c>
      <c r="C9" s="494" t="s">
        <v>1702</v>
      </c>
      <c r="D9" s="494" t="s">
        <v>1703</v>
      </c>
      <c r="E9" s="497">
        <v>-0.34</v>
      </c>
    </row>
    <row r="10" spans="1:5">
      <c r="A10" s="486" t="s">
        <v>280</v>
      </c>
      <c r="B10" s="492" t="s">
        <v>1704</v>
      </c>
      <c r="C10" s="492" t="s">
        <v>1705</v>
      </c>
      <c r="D10" s="493" t="s">
        <v>2820</v>
      </c>
      <c r="E10" s="493">
        <f>148%</f>
        <v>1.48</v>
      </c>
    </row>
    <row r="11" spans="1:5">
      <c r="A11" s="488" t="s">
        <v>478</v>
      </c>
      <c r="B11" s="494" t="s">
        <v>1706</v>
      </c>
      <c r="C11" s="494" t="s">
        <v>1707</v>
      </c>
      <c r="D11" s="495" t="s">
        <v>2820</v>
      </c>
      <c r="E11" s="495">
        <f>172%</f>
        <v>1.72</v>
      </c>
    </row>
    <row r="12" spans="1:5">
      <c r="A12" s="486" t="s">
        <v>292</v>
      </c>
      <c r="B12" s="492" t="s">
        <v>1708</v>
      </c>
      <c r="C12" s="492" t="s">
        <v>1709</v>
      </c>
      <c r="D12" s="492" t="s">
        <v>1710</v>
      </c>
      <c r="E12" s="496">
        <v>-0.18</v>
      </c>
    </row>
    <row r="13" spans="1:5">
      <c r="A13" s="488" t="s">
        <v>483</v>
      </c>
      <c r="B13" s="494" t="s">
        <v>1711</v>
      </c>
      <c r="C13" s="494" t="s">
        <v>1712</v>
      </c>
      <c r="D13" s="494" t="s">
        <v>1713</v>
      </c>
      <c r="E13" s="497">
        <v>-0.24</v>
      </c>
    </row>
    <row r="14" spans="1:5">
      <c r="A14" s="486" t="s">
        <v>241</v>
      </c>
      <c r="B14" s="492" t="s">
        <v>1714</v>
      </c>
      <c r="C14" s="492" t="s">
        <v>1715</v>
      </c>
      <c r="D14" s="492" t="s">
        <v>1716</v>
      </c>
      <c r="E14" s="496">
        <v>-0.06</v>
      </c>
    </row>
    <row r="15" spans="1:5">
      <c r="A15" s="488" t="s">
        <v>406</v>
      </c>
      <c r="B15" s="494" t="s">
        <v>1717</v>
      </c>
      <c r="C15" s="494" t="s">
        <v>1718</v>
      </c>
      <c r="D15" s="495" t="s">
        <v>2820</v>
      </c>
      <c r="E15" s="495">
        <f>38%</f>
        <v>0.38</v>
      </c>
    </row>
    <row r="16" spans="1:5">
      <c r="A16" s="486" t="s">
        <v>407</v>
      </c>
      <c r="B16" s="492" t="s">
        <v>1719</v>
      </c>
      <c r="C16" s="492" t="s">
        <v>1720</v>
      </c>
      <c r="D16" s="492" t="s">
        <v>1721</v>
      </c>
      <c r="E16" s="496">
        <v>-0.36</v>
      </c>
    </row>
    <row r="17" spans="1:5">
      <c r="A17" s="488" t="s">
        <v>236</v>
      </c>
      <c r="B17" s="494" t="s">
        <v>1722</v>
      </c>
      <c r="C17" s="494" t="s">
        <v>1723</v>
      </c>
      <c r="D17" s="494" t="s">
        <v>1724</v>
      </c>
      <c r="E17" s="497">
        <v>-0.46</v>
      </c>
    </row>
    <row r="18" spans="1:5">
      <c r="A18" s="486" t="s">
        <v>408</v>
      </c>
      <c r="B18" s="492" t="s">
        <v>1725</v>
      </c>
      <c r="C18" s="492" t="s">
        <v>1726</v>
      </c>
      <c r="D18" s="493" t="s">
        <v>2820</v>
      </c>
      <c r="E18" s="493">
        <f>13%</f>
        <v>0.13</v>
      </c>
    </row>
    <row r="19" spans="1:5">
      <c r="A19" s="488" t="s">
        <v>242</v>
      </c>
      <c r="B19" s="494" t="s">
        <v>1727</v>
      </c>
      <c r="C19" s="494" t="s">
        <v>1728</v>
      </c>
      <c r="D19" s="494" t="s">
        <v>1729</v>
      </c>
      <c r="E19" s="497">
        <v>-0.52</v>
      </c>
    </row>
    <row r="20" spans="1:5">
      <c r="A20" s="486" t="s">
        <v>243</v>
      </c>
      <c r="B20" s="492" t="s">
        <v>1730</v>
      </c>
      <c r="C20" s="492" t="s">
        <v>1731</v>
      </c>
      <c r="D20" s="492" t="s">
        <v>1732</v>
      </c>
      <c r="E20" s="496">
        <v>-0.2</v>
      </c>
    </row>
    <row r="21" spans="1:5">
      <c r="A21" s="488" t="s">
        <v>492</v>
      </c>
      <c r="B21" s="494" t="s">
        <v>1733</v>
      </c>
      <c r="C21" s="494" t="s">
        <v>1734</v>
      </c>
      <c r="D21" s="494" t="s">
        <v>1735</v>
      </c>
      <c r="E21" s="497">
        <v>-0.13</v>
      </c>
    </row>
    <row r="22" spans="1:5">
      <c r="A22" s="486" t="s">
        <v>308</v>
      </c>
      <c r="B22" s="492" t="s">
        <v>1736</v>
      </c>
      <c r="C22" s="492" t="s">
        <v>1737</v>
      </c>
      <c r="D22" s="492" t="s">
        <v>1738</v>
      </c>
      <c r="E22" s="496">
        <v>-0.6</v>
      </c>
    </row>
    <row r="23" spans="1:5">
      <c r="A23" s="488" t="s">
        <v>174</v>
      </c>
      <c r="B23" s="494" t="s">
        <v>1722</v>
      </c>
      <c r="C23" s="494" t="s">
        <v>1739</v>
      </c>
      <c r="D23" s="495" t="s">
        <v>2820</v>
      </c>
      <c r="E23" s="495">
        <f>30%</f>
        <v>0.3</v>
      </c>
    </row>
    <row r="24" spans="1:5">
      <c r="A24" s="486" t="s">
        <v>496</v>
      </c>
      <c r="B24" s="492" t="s">
        <v>1740</v>
      </c>
      <c r="C24" s="492" t="s">
        <v>1741</v>
      </c>
      <c r="D24" s="492" t="s">
        <v>1742</v>
      </c>
      <c r="E24" s="496">
        <v>-0.34</v>
      </c>
    </row>
    <row r="25" spans="1:5">
      <c r="A25" s="488" t="s">
        <v>498</v>
      </c>
      <c r="B25" s="494" t="s">
        <v>1743</v>
      </c>
      <c r="C25" s="494" t="s">
        <v>1744</v>
      </c>
      <c r="D25" s="495" t="s">
        <v>2820</v>
      </c>
      <c r="E25" s="495">
        <f>79%</f>
        <v>0.79</v>
      </c>
    </row>
    <row r="26" spans="1:5">
      <c r="A26" s="486" t="s">
        <v>244</v>
      </c>
      <c r="B26" s="492" t="s">
        <v>1745</v>
      </c>
      <c r="C26" s="492" t="s">
        <v>1746</v>
      </c>
      <c r="D26" s="493" t="s">
        <v>2820</v>
      </c>
      <c r="E26" s="493">
        <f>32%</f>
        <v>0.32</v>
      </c>
    </row>
    <row r="27" spans="1:5">
      <c r="A27" s="488" t="s">
        <v>175</v>
      </c>
      <c r="B27" s="494" t="s">
        <v>1705</v>
      </c>
      <c r="C27" s="494" t="s">
        <v>1747</v>
      </c>
      <c r="D27" s="494" t="s">
        <v>1748</v>
      </c>
      <c r="E27" s="497">
        <v>-0.6</v>
      </c>
    </row>
    <row r="28" spans="1:5">
      <c r="A28" s="486" t="s">
        <v>310</v>
      </c>
      <c r="B28" s="492" t="s">
        <v>1749</v>
      </c>
      <c r="C28" s="492" t="s">
        <v>1750</v>
      </c>
      <c r="D28" s="493" t="s">
        <v>2820</v>
      </c>
      <c r="E28" s="493">
        <f>123%</f>
        <v>1.23</v>
      </c>
    </row>
    <row r="29" spans="1:5">
      <c r="A29" s="488" t="s">
        <v>293</v>
      </c>
      <c r="B29" s="494" t="s">
        <v>1751</v>
      </c>
      <c r="C29" s="494" t="s">
        <v>1752</v>
      </c>
      <c r="D29" s="494" t="s">
        <v>1753</v>
      </c>
      <c r="E29" s="497">
        <v>-0.52</v>
      </c>
    </row>
    <row r="30" spans="1:5">
      <c r="A30" s="486" t="s">
        <v>245</v>
      </c>
      <c r="B30" s="492" t="s">
        <v>1754</v>
      </c>
      <c r="C30" s="492" t="s">
        <v>1755</v>
      </c>
      <c r="D30" s="492" t="s">
        <v>1756</v>
      </c>
      <c r="E30" s="496">
        <v>-0.46</v>
      </c>
    </row>
    <row r="31" spans="1:5">
      <c r="A31" s="488" t="s">
        <v>176</v>
      </c>
      <c r="B31" s="494" t="s">
        <v>1757</v>
      </c>
      <c r="C31" s="494" t="s">
        <v>1758</v>
      </c>
      <c r="D31" s="495" t="s">
        <v>2820</v>
      </c>
      <c r="E31" s="495">
        <f>50%</f>
        <v>0.5</v>
      </c>
    </row>
    <row r="32" spans="1:5">
      <c r="A32" s="486" t="s">
        <v>410</v>
      </c>
      <c r="B32" s="492" t="s">
        <v>1759</v>
      </c>
      <c r="C32" s="492" t="s">
        <v>1760</v>
      </c>
      <c r="D32" s="493" t="s">
        <v>2820</v>
      </c>
      <c r="E32" s="493">
        <f>153%</f>
        <v>1.53</v>
      </c>
    </row>
    <row r="33" spans="1:5">
      <c r="A33" s="488" t="s">
        <v>294</v>
      </c>
      <c r="B33" s="494" t="s">
        <v>1761</v>
      </c>
      <c r="C33" s="494" t="s">
        <v>1762</v>
      </c>
      <c r="D33" s="495" t="s">
        <v>2820</v>
      </c>
      <c r="E33" s="495">
        <f>107%</f>
        <v>1.07</v>
      </c>
    </row>
    <row r="34" spans="1:5">
      <c r="A34" s="486" t="s">
        <v>178</v>
      </c>
      <c r="B34" s="492" t="s">
        <v>1763</v>
      </c>
      <c r="C34" s="492" t="s">
        <v>1764</v>
      </c>
      <c r="D34" s="493" t="s">
        <v>2820</v>
      </c>
      <c r="E34" s="493">
        <f>2%</f>
        <v>0.02</v>
      </c>
    </row>
    <row r="35" spans="1:5">
      <c r="A35" s="488" t="s">
        <v>290</v>
      </c>
      <c r="B35" s="494" t="s">
        <v>1765</v>
      </c>
      <c r="C35" s="494" t="s">
        <v>1766</v>
      </c>
      <c r="D35" s="494" t="s">
        <v>1767</v>
      </c>
      <c r="E35" s="497">
        <v>-0.17</v>
      </c>
    </row>
    <row r="36" spans="1:5">
      <c r="A36" s="486" t="s">
        <v>510</v>
      </c>
      <c r="B36" s="492" t="s">
        <v>1768</v>
      </c>
      <c r="C36" s="492" t="s">
        <v>1769</v>
      </c>
      <c r="D36" s="492" t="s">
        <v>1770</v>
      </c>
      <c r="E36" s="496">
        <v>-0.42</v>
      </c>
    </row>
    <row r="37" spans="1:5">
      <c r="A37" s="488" t="s">
        <v>180</v>
      </c>
      <c r="B37" s="494" t="s">
        <v>1771</v>
      </c>
      <c r="C37" s="494" t="s">
        <v>1772</v>
      </c>
      <c r="D37" s="495" t="s">
        <v>2820</v>
      </c>
      <c r="E37" s="495">
        <f>96%</f>
        <v>0.96</v>
      </c>
    </row>
    <row r="38" spans="1:5">
      <c r="A38" s="486" t="s">
        <v>513</v>
      </c>
      <c r="B38" s="492" t="s">
        <v>1773</v>
      </c>
      <c r="C38" s="492" t="s">
        <v>1774</v>
      </c>
      <c r="D38" s="493" t="s">
        <v>2820</v>
      </c>
      <c r="E38" s="493">
        <f>49%</f>
        <v>0.49</v>
      </c>
    </row>
    <row r="39" spans="1:5">
      <c r="A39" s="488" t="s">
        <v>1184</v>
      </c>
      <c r="B39" s="494" t="s">
        <v>1775</v>
      </c>
      <c r="C39" s="494" t="s">
        <v>1776</v>
      </c>
      <c r="D39" s="495" t="s">
        <v>2820</v>
      </c>
      <c r="E39" s="495">
        <f>17%</f>
        <v>0.17</v>
      </c>
    </row>
    <row r="40" spans="1:5">
      <c r="A40" s="486" t="s">
        <v>181</v>
      </c>
      <c r="B40" s="492" t="s">
        <v>1777</v>
      </c>
      <c r="C40" s="492" t="s">
        <v>1778</v>
      </c>
      <c r="D40" s="493" t="s">
        <v>2820</v>
      </c>
      <c r="E40" s="493">
        <f>4%</f>
        <v>0.04</v>
      </c>
    </row>
    <row r="41" spans="1:5">
      <c r="A41" s="488" t="s">
        <v>311</v>
      </c>
      <c r="B41" s="494" t="s">
        <v>1779</v>
      </c>
      <c r="C41" s="494" t="s">
        <v>1780</v>
      </c>
      <c r="D41" s="495" t="s">
        <v>2820</v>
      </c>
      <c r="E41" s="495">
        <f>20%</f>
        <v>0.2</v>
      </c>
    </row>
    <row r="42" spans="1:5">
      <c r="A42" s="486" t="s">
        <v>295</v>
      </c>
      <c r="B42" s="492" t="s">
        <v>1781</v>
      </c>
      <c r="C42" s="492" t="s">
        <v>1782</v>
      </c>
      <c r="D42" s="493" t="s">
        <v>2820</v>
      </c>
      <c r="E42" s="493" t="s">
        <v>2820</v>
      </c>
    </row>
    <row r="43" spans="1:5">
      <c r="A43" s="488" t="s">
        <v>411</v>
      </c>
      <c r="B43" s="494" t="s">
        <v>1783</v>
      </c>
      <c r="C43" s="494" t="s">
        <v>1784</v>
      </c>
      <c r="D43" s="495" t="s">
        <v>2820</v>
      </c>
      <c r="E43" s="495">
        <f>302%</f>
        <v>3.02</v>
      </c>
    </row>
    <row r="44" spans="1:5">
      <c r="A44" s="486" t="s">
        <v>412</v>
      </c>
      <c r="B44" s="492" t="s">
        <v>1785</v>
      </c>
      <c r="C44" s="492" t="s">
        <v>1786</v>
      </c>
      <c r="D44" s="493" t="s">
        <v>2820</v>
      </c>
      <c r="E44" s="493">
        <f>139%</f>
        <v>1.39</v>
      </c>
    </row>
    <row r="45" spans="1:5">
      <c r="A45" s="488" t="s">
        <v>414</v>
      </c>
      <c r="B45" s="494" t="s">
        <v>1787</v>
      </c>
      <c r="C45" s="494" t="s">
        <v>1788</v>
      </c>
      <c r="D45" s="495" t="s">
        <v>2820</v>
      </c>
      <c r="E45" s="495" t="s">
        <v>2820</v>
      </c>
    </row>
    <row r="46" spans="1:5">
      <c r="A46" s="486" t="s">
        <v>413</v>
      </c>
      <c r="B46" s="492" t="s">
        <v>1789</v>
      </c>
      <c r="C46" s="492" t="s">
        <v>1790</v>
      </c>
      <c r="D46" s="493" t="s">
        <v>2820</v>
      </c>
      <c r="E46" s="493" t="s">
        <v>2820</v>
      </c>
    </row>
    <row r="47" spans="1:5">
      <c r="A47" s="488" t="s">
        <v>312</v>
      </c>
      <c r="B47" s="494" t="s">
        <v>1791</v>
      </c>
      <c r="C47" s="494" t="s">
        <v>1792</v>
      </c>
      <c r="D47" s="494" t="s">
        <v>1793</v>
      </c>
      <c r="E47" s="497">
        <v>-0.16</v>
      </c>
    </row>
    <row r="48" spans="1:5">
      <c r="A48" s="486" t="s">
        <v>415</v>
      </c>
      <c r="B48" s="492" t="s">
        <v>1794</v>
      </c>
      <c r="C48" s="492" t="s">
        <v>1795</v>
      </c>
      <c r="D48" s="493" t="s">
        <v>2820</v>
      </c>
      <c r="E48" s="493">
        <f>61%</f>
        <v>0.61</v>
      </c>
    </row>
    <row r="49" spans="1:5">
      <c r="A49" s="488" t="s">
        <v>313</v>
      </c>
      <c r="B49" s="494" t="s">
        <v>1796</v>
      </c>
      <c r="C49" s="494" t="s">
        <v>1797</v>
      </c>
      <c r="D49" s="494" t="s">
        <v>1798</v>
      </c>
      <c r="E49" s="497">
        <v>-0.17</v>
      </c>
    </row>
    <row r="50" spans="1:5">
      <c r="A50" s="486" t="s">
        <v>521</v>
      </c>
      <c r="B50" s="492" t="s">
        <v>1690</v>
      </c>
      <c r="C50" s="492" t="s">
        <v>1799</v>
      </c>
      <c r="D50" s="492" t="s">
        <v>1800</v>
      </c>
      <c r="E50" s="496">
        <v>-0.61</v>
      </c>
    </row>
    <row r="51" spans="1:5">
      <c r="A51" s="488" t="s">
        <v>246</v>
      </c>
      <c r="B51" s="494" t="s">
        <v>1801</v>
      </c>
      <c r="C51" s="494" t="s">
        <v>1802</v>
      </c>
      <c r="D51" s="495" t="s">
        <v>2820</v>
      </c>
      <c r="E51" s="495">
        <f>52%</f>
        <v>0.52</v>
      </c>
    </row>
    <row r="52" spans="1:5">
      <c r="A52" s="486" t="s">
        <v>416</v>
      </c>
      <c r="B52" s="492" t="s">
        <v>1803</v>
      </c>
      <c r="C52" s="492" t="s">
        <v>1804</v>
      </c>
      <c r="D52" s="492" t="s">
        <v>1805</v>
      </c>
      <c r="E52" s="496">
        <v>-0.67</v>
      </c>
    </row>
    <row r="53" spans="1:5">
      <c r="A53" s="488" t="s">
        <v>417</v>
      </c>
      <c r="B53" s="494" t="s">
        <v>1806</v>
      </c>
      <c r="C53" s="494" t="s">
        <v>1807</v>
      </c>
      <c r="D53" s="494" t="s">
        <v>1808</v>
      </c>
      <c r="E53" s="497">
        <v>-0.5</v>
      </c>
    </row>
    <row r="54" spans="1:5">
      <c r="A54" s="486" t="s">
        <v>247</v>
      </c>
      <c r="B54" s="492" t="s">
        <v>1809</v>
      </c>
      <c r="C54" s="492" t="s">
        <v>1810</v>
      </c>
      <c r="D54" s="492" t="s">
        <v>1811</v>
      </c>
      <c r="E54" s="496">
        <v>-0.61</v>
      </c>
    </row>
    <row r="55" spans="1:5">
      <c r="A55" s="488" t="s">
        <v>527</v>
      </c>
      <c r="B55" s="494" t="s">
        <v>1812</v>
      </c>
      <c r="C55" s="494" t="s">
        <v>1813</v>
      </c>
      <c r="D55" s="494" t="s">
        <v>1814</v>
      </c>
      <c r="E55" s="497">
        <v>-0.09</v>
      </c>
    </row>
    <row r="56" spans="1:5">
      <c r="A56" s="486" t="s">
        <v>248</v>
      </c>
      <c r="B56" s="492" t="s">
        <v>1815</v>
      </c>
      <c r="C56" s="492" t="s">
        <v>1816</v>
      </c>
      <c r="D56" s="493" t="s">
        <v>2820</v>
      </c>
      <c r="E56" s="493">
        <f>72%</f>
        <v>0.72</v>
      </c>
    </row>
    <row r="57" spans="1:5">
      <c r="A57" s="488" t="s">
        <v>184</v>
      </c>
      <c r="B57" s="494" t="s">
        <v>1817</v>
      </c>
      <c r="C57" s="494" t="s">
        <v>1818</v>
      </c>
      <c r="D57" s="495" t="s">
        <v>2820</v>
      </c>
      <c r="E57" s="495">
        <f>300%</f>
        <v>3</v>
      </c>
    </row>
    <row r="58" spans="1:5">
      <c r="A58" s="486" t="s">
        <v>419</v>
      </c>
      <c r="B58" s="492" t="s">
        <v>1819</v>
      </c>
      <c r="C58" s="492" t="s">
        <v>1820</v>
      </c>
      <c r="D58" s="493" t="s">
        <v>2820</v>
      </c>
      <c r="E58" s="493">
        <f>78%</f>
        <v>0.78</v>
      </c>
    </row>
    <row r="59" spans="1:5">
      <c r="A59" s="488" t="s">
        <v>420</v>
      </c>
      <c r="B59" s="494" t="s">
        <v>1821</v>
      </c>
      <c r="C59" s="494" t="s">
        <v>1822</v>
      </c>
      <c r="D59" s="495" t="s">
        <v>2820</v>
      </c>
      <c r="E59" s="495">
        <f>44%</f>
        <v>0.44</v>
      </c>
    </row>
    <row r="60" spans="1:5">
      <c r="A60" s="486" t="s">
        <v>533</v>
      </c>
      <c r="B60" s="492" t="s">
        <v>1823</v>
      </c>
      <c r="C60" s="492" t="s">
        <v>1824</v>
      </c>
      <c r="D60" s="492" t="s">
        <v>1825</v>
      </c>
      <c r="E60" s="496">
        <v>-0.38</v>
      </c>
    </row>
    <row r="61" spans="1:5">
      <c r="A61" s="488" t="s">
        <v>535</v>
      </c>
      <c r="B61" s="494" t="s">
        <v>1826</v>
      </c>
      <c r="C61" s="494" t="s">
        <v>1827</v>
      </c>
      <c r="D61" s="495" t="s">
        <v>2820</v>
      </c>
      <c r="E61" s="495" t="s">
        <v>2820</v>
      </c>
    </row>
    <row r="62" spans="1:5">
      <c r="A62" s="486" t="s">
        <v>537</v>
      </c>
      <c r="B62" s="492" t="s">
        <v>1828</v>
      </c>
      <c r="C62" s="492" t="s">
        <v>1806</v>
      </c>
      <c r="D62" s="492" t="s">
        <v>1724</v>
      </c>
      <c r="E62" s="496">
        <v>-0.09</v>
      </c>
    </row>
    <row r="63" spans="1:5">
      <c r="A63" s="488" t="s">
        <v>314</v>
      </c>
      <c r="B63" s="494" t="s">
        <v>1829</v>
      </c>
      <c r="C63" s="494" t="s">
        <v>1830</v>
      </c>
      <c r="D63" s="495" t="s">
        <v>2820</v>
      </c>
      <c r="E63" s="495">
        <f>107%</f>
        <v>1.07</v>
      </c>
    </row>
    <row r="64" spans="1:5">
      <c r="A64" s="486" t="s">
        <v>224</v>
      </c>
      <c r="B64" s="492" t="s">
        <v>1831</v>
      </c>
      <c r="C64" s="492" t="s">
        <v>1832</v>
      </c>
      <c r="D64" s="493" t="s">
        <v>2820</v>
      </c>
      <c r="E64" s="493">
        <f>115%</f>
        <v>1.1499999999999999</v>
      </c>
    </row>
    <row r="65" spans="1:5">
      <c r="A65" s="488" t="s">
        <v>315</v>
      </c>
      <c r="B65" s="494" t="s">
        <v>1833</v>
      </c>
      <c r="C65" s="494" t="s">
        <v>1834</v>
      </c>
      <c r="D65" s="494" t="s">
        <v>1716</v>
      </c>
      <c r="E65" s="497">
        <v>-0.15</v>
      </c>
    </row>
    <row r="66" spans="1:5">
      <c r="A66" s="486" t="s">
        <v>249</v>
      </c>
      <c r="B66" s="492" t="s">
        <v>1835</v>
      </c>
      <c r="C66" s="492" t="s">
        <v>1836</v>
      </c>
      <c r="D66" s="492" t="s">
        <v>1837</v>
      </c>
      <c r="E66" s="496">
        <v>-0.71</v>
      </c>
    </row>
    <row r="67" spans="1:5">
      <c r="A67" s="488" t="s">
        <v>421</v>
      </c>
      <c r="B67" s="494" t="s">
        <v>1838</v>
      </c>
      <c r="C67" s="494" t="s">
        <v>1839</v>
      </c>
      <c r="D67" s="494" t="s">
        <v>1840</v>
      </c>
      <c r="E67" s="497">
        <v>-0.44</v>
      </c>
    </row>
    <row r="68" spans="1:5">
      <c r="A68" s="486" t="s">
        <v>187</v>
      </c>
      <c r="B68" s="492" t="s">
        <v>1841</v>
      </c>
      <c r="C68" s="492" t="s">
        <v>1842</v>
      </c>
      <c r="D68" s="492" t="s">
        <v>1843</v>
      </c>
      <c r="E68" s="496">
        <v>-0.19</v>
      </c>
    </row>
    <row r="69" spans="1:5">
      <c r="A69" s="488" t="s">
        <v>545</v>
      </c>
      <c r="B69" s="494" t="s">
        <v>1844</v>
      </c>
      <c r="C69" s="494" t="s">
        <v>1845</v>
      </c>
      <c r="D69" s="494" t="s">
        <v>1846</v>
      </c>
      <c r="E69" s="497">
        <v>-0.51</v>
      </c>
    </row>
    <row r="70" spans="1:5">
      <c r="A70" s="486" t="s">
        <v>103</v>
      </c>
      <c r="B70" s="492" t="s">
        <v>1847</v>
      </c>
      <c r="C70" s="492" t="s">
        <v>1848</v>
      </c>
      <c r="D70" s="492" t="s">
        <v>1849</v>
      </c>
      <c r="E70" s="496">
        <v>-0.05</v>
      </c>
    </row>
    <row r="71" spans="1:5">
      <c r="A71" s="488" t="s">
        <v>550</v>
      </c>
      <c r="B71" s="494" t="s">
        <v>1850</v>
      </c>
      <c r="C71" s="494" t="s">
        <v>1851</v>
      </c>
      <c r="D71" s="494" t="s">
        <v>1852</v>
      </c>
      <c r="E71" s="497">
        <v>-0.15</v>
      </c>
    </row>
    <row r="72" spans="1:5">
      <c r="A72" s="486" t="s">
        <v>422</v>
      </c>
      <c r="B72" s="492" t="s">
        <v>1853</v>
      </c>
      <c r="C72" s="492" t="s">
        <v>1773</v>
      </c>
      <c r="D72" s="493" t="s">
        <v>2820</v>
      </c>
      <c r="E72" s="493">
        <f>25%</f>
        <v>0.25</v>
      </c>
    </row>
    <row r="73" spans="1:5">
      <c r="A73" s="488" t="s">
        <v>250</v>
      </c>
      <c r="B73" s="494" t="s">
        <v>1854</v>
      </c>
      <c r="C73" s="494" t="s">
        <v>1855</v>
      </c>
      <c r="D73" s="495" t="s">
        <v>2820</v>
      </c>
      <c r="E73" s="495">
        <f>9%</f>
        <v>0.09</v>
      </c>
    </row>
    <row r="74" spans="1:5">
      <c r="A74" s="486" t="s">
        <v>251</v>
      </c>
      <c r="B74" s="492" t="s">
        <v>1856</v>
      </c>
      <c r="C74" s="492" t="s">
        <v>1857</v>
      </c>
      <c r="D74" s="492" t="s">
        <v>1858</v>
      </c>
      <c r="E74" s="496">
        <v>-0.17</v>
      </c>
    </row>
    <row r="75" spans="1:5">
      <c r="A75" s="488" t="s">
        <v>423</v>
      </c>
      <c r="B75" s="494" t="s">
        <v>1859</v>
      </c>
      <c r="C75" s="494" t="s">
        <v>1860</v>
      </c>
      <c r="D75" s="495" t="s">
        <v>2820</v>
      </c>
      <c r="E75" s="495">
        <f>99%</f>
        <v>0.99</v>
      </c>
    </row>
    <row r="76" spans="1:5">
      <c r="A76" s="486" t="s">
        <v>188</v>
      </c>
      <c r="B76" s="492" t="s">
        <v>1861</v>
      </c>
      <c r="C76" s="492" t="s">
        <v>1862</v>
      </c>
      <c r="D76" s="492" t="s">
        <v>1863</v>
      </c>
      <c r="E76" s="496">
        <v>-0.18</v>
      </c>
    </row>
    <row r="77" spans="1:5">
      <c r="A77" s="488" t="s">
        <v>424</v>
      </c>
      <c r="B77" s="494" t="s">
        <v>1864</v>
      </c>
      <c r="C77" s="494" t="s">
        <v>1865</v>
      </c>
      <c r="D77" s="494" t="s">
        <v>1866</v>
      </c>
      <c r="E77" s="497">
        <v>-0.63</v>
      </c>
    </row>
    <row r="78" spans="1:5">
      <c r="A78" s="486" t="s">
        <v>282</v>
      </c>
      <c r="B78" s="492" t="s">
        <v>1867</v>
      </c>
      <c r="C78" s="492" t="s">
        <v>1868</v>
      </c>
      <c r="D78" s="492" t="s">
        <v>1869</v>
      </c>
      <c r="E78" s="496">
        <v>-0.33</v>
      </c>
    </row>
    <row r="79" spans="1:5">
      <c r="A79" s="488" t="s">
        <v>252</v>
      </c>
      <c r="B79" s="494" t="s">
        <v>1720</v>
      </c>
      <c r="C79" s="494" t="s">
        <v>1870</v>
      </c>
      <c r="D79" s="494" t="s">
        <v>1871</v>
      </c>
      <c r="E79" s="497">
        <v>-0.34</v>
      </c>
    </row>
    <row r="80" spans="1:5">
      <c r="A80" s="486" t="s">
        <v>190</v>
      </c>
      <c r="B80" s="492" t="s">
        <v>1872</v>
      </c>
      <c r="C80" s="492" t="s">
        <v>1873</v>
      </c>
      <c r="D80" s="492" t="s">
        <v>1874</v>
      </c>
      <c r="E80" s="496">
        <v>-0.74</v>
      </c>
    </row>
    <row r="81" spans="1:5">
      <c r="A81" s="488" t="s">
        <v>253</v>
      </c>
      <c r="B81" s="494" t="s">
        <v>1824</v>
      </c>
      <c r="C81" s="494" t="s">
        <v>1875</v>
      </c>
      <c r="D81" s="495" t="s">
        <v>2820</v>
      </c>
      <c r="E81" s="495">
        <f>213%</f>
        <v>2.13</v>
      </c>
    </row>
    <row r="82" spans="1:5">
      <c r="A82" s="486" t="s">
        <v>425</v>
      </c>
      <c r="B82" s="492" t="s">
        <v>1876</v>
      </c>
      <c r="C82" s="492" t="s">
        <v>1877</v>
      </c>
      <c r="D82" s="492" t="s">
        <v>1878</v>
      </c>
      <c r="E82" s="496">
        <v>-0.26</v>
      </c>
    </row>
    <row r="83" spans="1:5">
      <c r="A83" s="488" t="s">
        <v>316</v>
      </c>
      <c r="B83" s="494" t="s">
        <v>1879</v>
      </c>
      <c r="C83" s="494" t="s">
        <v>1693</v>
      </c>
      <c r="D83" s="494" t="s">
        <v>1880</v>
      </c>
      <c r="E83" s="497">
        <v>-0.33</v>
      </c>
    </row>
    <row r="84" spans="1:5">
      <c r="A84" s="486" t="s">
        <v>191</v>
      </c>
      <c r="B84" s="492" t="s">
        <v>1881</v>
      </c>
      <c r="C84" s="492" t="s">
        <v>1882</v>
      </c>
      <c r="D84" s="493" t="s">
        <v>2820</v>
      </c>
      <c r="E84" s="493">
        <f>124%</f>
        <v>1.24</v>
      </c>
    </row>
    <row r="85" spans="1:5">
      <c r="A85" s="488" t="s">
        <v>192</v>
      </c>
      <c r="B85" s="494" t="s">
        <v>1883</v>
      </c>
      <c r="C85" s="494" t="s">
        <v>1884</v>
      </c>
      <c r="D85" s="495" t="s">
        <v>2820</v>
      </c>
      <c r="E85" s="495">
        <f>35%</f>
        <v>0.35</v>
      </c>
    </row>
    <row r="86" spans="1:5">
      <c r="A86" s="486" t="s">
        <v>317</v>
      </c>
      <c r="B86" s="492" t="s">
        <v>1885</v>
      </c>
      <c r="C86" s="492" t="s">
        <v>1886</v>
      </c>
      <c r="D86" s="492" t="s">
        <v>1887</v>
      </c>
      <c r="E86" s="496">
        <v>-0.63</v>
      </c>
    </row>
    <row r="87" spans="1:5">
      <c r="A87" s="488" t="s">
        <v>426</v>
      </c>
      <c r="B87" s="494" t="s">
        <v>1888</v>
      </c>
      <c r="C87" s="494" t="s">
        <v>1889</v>
      </c>
      <c r="D87" s="495" t="s">
        <v>2820</v>
      </c>
      <c r="E87" s="495">
        <f>34%</f>
        <v>0.34</v>
      </c>
    </row>
    <row r="88" spans="1:5">
      <c r="A88" s="486" t="s">
        <v>318</v>
      </c>
      <c r="B88" s="492" t="s">
        <v>1890</v>
      </c>
      <c r="C88" s="492" t="s">
        <v>1836</v>
      </c>
      <c r="D88" s="492" t="s">
        <v>1891</v>
      </c>
      <c r="E88" s="492" t="s">
        <v>1662</v>
      </c>
    </row>
    <row r="89" spans="1:5">
      <c r="A89" s="488" t="s">
        <v>254</v>
      </c>
      <c r="B89" s="494" t="s">
        <v>1892</v>
      </c>
      <c r="C89" s="494" t="s">
        <v>1893</v>
      </c>
      <c r="D89" s="494" t="s">
        <v>1894</v>
      </c>
      <c r="E89" s="497">
        <v>-0.75</v>
      </c>
    </row>
    <row r="90" spans="1:5">
      <c r="A90" s="486" t="s">
        <v>255</v>
      </c>
      <c r="B90" s="492" t="s">
        <v>1895</v>
      </c>
      <c r="C90" s="492" t="s">
        <v>1896</v>
      </c>
      <c r="D90" s="493" t="s">
        <v>2820</v>
      </c>
      <c r="E90" s="493">
        <f>23%</f>
        <v>0.23</v>
      </c>
    </row>
    <row r="91" spans="1:5">
      <c r="A91" s="488" t="s">
        <v>237</v>
      </c>
      <c r="B91" s="494" t="s">
        <v>1897</v>
      </c>
      <c r="C91" s="494" t="s">
        <v>1898</v>
      </c>
      <c r="D91" s="494" t="s">
        <v>1899</v>
      </c>
      <c r="E91" s="497">
        <v>-0.65</v>
      </c>
    </row>
    <row r="92" spans="1:5">
      <c r="A92" s="486" t="s">
        <v>296</v>
      </c>
      <c r="B92" s="492" t="s">
        <v>1799</v>
      </c>
      <c r="C92" s="492" t="s">
        <v>1900</v>
      </c>
      <c r="D92" s="493" t="s">
        <v>2820</v>
      </c>
      <c r="E92" s="493">
        <f>52%</f>
        <v>0.52</v>
      </c>
    </row>
    <row r="93" spans="1:5">
      <c r="A93" s="488" t="s">
        <v>225</v>
      </c>
      <c r="B93" s="494" t="s">
        <v>1901</v>
      </c>
      <c r="C93" s="494" t="s">
        <v>1902</v>
      </c>
      <c r="D93" s="494" t="s">
        <v>1903</v>
      </c>
      <c r="E93" s="497">
        <v>-0.1</v>
      </c>
    </row>
    <row r="94" spans="1:5">
      <c r="A94" s="486" t="s">
        <v>226</v>
      </c>
      <c r="B94" s="492" t="s">
        <v>1904</v>
      </c>
      <c r="C94" s="492" t="s">
        <v>1905</v>
      </c>
      <c r="D94" s="492" t="s">
        <v>1906</v>
      </c>
      <c r="E94" s="496">
        <v>-0.43</v>
      </c>
    </row>
    <row r="95" spans="1:5">
      <c r="A95" s="488" t="s">
        <v>256</v>
      </c>
      <c r="B95" s="494" t="s">
        <v>1907</v>
      </c>
      <c r="C95" s="494" t="s">
        <v>1908</v>
      </c>
      <c r="D95" s="495" t="s">
        <v>2820</v>
      </c>
      <c r="E95" s="495">
        <f>39%</f>
        <v>0.39</v>
      </c>
    </row>
    <row r="96" spans="1:5">
      <c r="A96" s="486" t="s">
        <v>227</v>
      </c>
      <c r="B96" s="492" t="s">
        <v>1909</v>
      </c>
      <c r="C96" s="492" t="s">
        <v>1910</v>
      </c>
      <c r="D96" s="493" t="s">
        <v>2820</v>
      </c>
      <c r="E96" s="493">
        <f>268%</f>
        <v>2.68</v>
      </c>
    </row>
    <row r="97" spans="1:5">
      <c r="A97" s="488" t="s">
        <v>257</v>
      </c>
      <c r="B97" s="494" t="s">
        <v>1911</v>
      </c>
      <c r="C97" s="494" t="s">
        <v>1912</v>
      </c>
      <c r="D97" s="495" t="s">
        <v>2820</v>
      </c>
      <c r="E97" s="495">
        <f>25%</f>
        <v>0.25</v>
      </c>
    </row>
    <row r="98" spans="1:5">
      <c r="A98" s="486" t="s">
        <v>428</v>
      </c>
      <c r="B98" s="492" t="s">
        <v>1913</v>
      </c>
      <c r="C98" s="492" t="s">
        <v>1914</v>
      </c>
      <c r="D98" s="492" t="s">
        <v>1915</v>
      </c>
      <c r="E98" s="496">
        <v>-0.56999999999999995</v>
      </c>
    </row>
    <row r="99" spans="1:5">
      <c r="A99" s="488" t="s">
        <v>297</v>
      </c>
      <c r="B99" s="494" t="s">
        <v>1916</v>
      </c>
      <c r="C99" s="494" t="s">
        <v>1917</v>
      </c>
      <c r="D99" s="495" t="s">
        <v>2820</v>
      </c>
      <c r="E99" s="495">
        <f>483%</f>
        <v>4.83</v>
      </c>
    </row>
    <row r="100" spans="1:5">
      <c r="A100" s="486" t="s">
        <v>228</v>
      </c>
      <c r="B100" s="492" t="s">
        <v>1918</v>
      </c>
      <c r="C100" s="492" t="s">
        <v>1919</v>
      </c>
      <c r="D100" s="493" t="s">
        <v>2820</v>
      </c>
      <c r="E100" s="493">
        <f>668%</f>
        <v>6.68</v>
      </c>
    </row>
    <row r="101" spans="1:5">
      <c r="A101" s="488" t="s">
        <v>283</v>
      </c>
      <c r="B101" s="494" t="s">
        <v>1920</v>
      </c>
      <c r="C101" s="494" t="s">
        <v>1921</v>
      </c>
      <c r="D101" s="494" t="s">
        <v>1922</v>
      </c>
      <c r="E101" s="497">
        <v>-0.11</v>
      </c>
    </row>
    <row r="102" spans="1:5">
      <c r="A102" s="486" t="s">
        <v>193</v>
      </c>
      <c r="B102" s="492" t="s">
        <v>1923</v>
      </c>
      <c r="C102" s="492" t="s">
        <v>1924</v>
      </c>
      <c r="D102" s="492" t="s">
        <v>1925</v>
      </c>
      <c r="E102" s="496">
        <v>-0.24</v>
      </c>
    </row>
    <row r="103" spans="1:5">
      <c r="A103" s="488" t="s">
        <v>429</v>
      </c>
      <c r="B103" s="494" t="s">
        <v>1926</v>
      </c>
      <c r="C103" s="494" t="s">
        <v>1927</v>
      </c>
      <c r="D103" s="495" t="s">
        <v>2820</v>
      </c>
      <c r="E103" s="495">
        <f>97%</f>
        <v>0.97</v>
      </c>
    </row>
    <row r="104" spans="1:5">
      <c r="A104" s="486" t="s">
        <v>229</v>
      </c>
      <c r="B104" s="492" t="s">
        <v>1928</v>
      </c>
      <c r="C104" s="492" t="s">
        <v>1929</v>
      </c>
      <c r="D104" s="493" t="s">
        <v>2820</v>
      </c>
      <c r="E104" s="493">
        <f>220%</f>
        <v>2.2000000000000002</v>
      </c>
    </row>
    <row r="105" spans="1:5">
      <c r="A105" s="488" t="s">
        <v>430</v>
      </c>
      <c r="B105" s="494" t="s">
        <v>1930</v>
      </c>
      <c r="C105" s="494" t="s">
        <v>1931</v>
      </c>
      <c r="D105" s="494" t="s">
        <v>1932</v>
      </c>
      <c r="E105" s="497">
        <v>-0.24</v>
      </c>
    </row>
    <row r="106" spans="1:5">
      <c r="A106" s="486" t="s">
        <v>588</v>
      </c>
      <c r="B106" s="492" t="s">
        <v>1933</v>
      </c>
      <c r="C106" s="492" t="s">
        <v>1934</v>
      </c>
      <c r="D106" s="493" t="s">
        <v>2820</v>
      </c>
      <c r="E106" s="493">
        <f>12%</f>
        <v>0.12</v>
      </c>
    </row>
    <row r="107" spans="1:5">
      <c r="A107" s="488" t="s">
        <v>590</v>
      </c>
      <c r="B107" s="494" t="s">
        <v>1935</v>
      </c>
      <c r="C107" s="494" t="s">
        <v>1936</v>
      </c>
      <c r="D107" s="495" t="s">
        <v>2820</v>
      </c>
      <c r="E107" s="495">
        <f>164%</f>
        <v>1.64</v>
      </c>
    </row>
    <row r="108" spans="1:5">
      <c r="A108" s="486" t="s">
        <v>258</v>
      </c>
      <c r="B108" s="492" t="s">
        <v>1937</v>
      </c>
      <c r="C108" s="492" t="s">
        <v>1938</v>
      </c>
      <c r="D108" s="492" t="s">
        <v>1939</v>
      </c>
      <c r="E108" s="496">
        <v>-0.83</v>
      </c>
    </row>
    <row r="109" spans="1:5">
      <c r="A109" s="488" t="s">
        <v>1940</v>
      </c>
      <c r="B109" s="494" t="s">
        <v>1941</v>
      </c>
      <c r="C109" s="494" t="s">
        <v>1942</v>
      </c>
      <c r="D109" s="494" t="s">
        <v>1943</v>
      </c>
      <c r="E109" s="497">
        <v>-0.04</v>
      </c>
    </row>
    <row r="110" spans="1:5">
      <c r="A110" s="486" t="s">
        <v>230</v>
      </c>
      <c r="B110" s="492" t="s">
        <v>1944</v>
      </c>
      <c r="C110" s="492" t="s">
        <v>1945</v>
      </c>
      <c r="D110" s="493" t="s">
        <v>2820</v>
      </c>
      <c r="E110" s="493">
        <f>108%</f>
        <v>1.08</v>
      </c>
    </row>
    <row r="111" spans="1:5">
      <c r="A111" s="488" t="s">
        <v>194</v>
      </c>
      <c r="B111" s="494" t="s">
        <v>1946</v>
      </c>
      <c r="C111" s="494" t="s">
        <v>1947</v>
      </c>
      <c r="D111" s="494" t="s">
        <v>1948</v>
      </c>
      <c r="E111" s="497">
        <v>-0.37</v>
      </c>
    </row>
    <row r="112" spans="1:5">
      <c r="A112" s="486" t="s">
        <v>195</v>
      </c>
      <c r="B112" s="492" t="s">
        <v>1949</v>
      </c>
      <c r="C112" s="492" t="s">
        <v>1950</v>
      </c>
      <c r="D112" s="492" t="s">
        <v>1951</v>
      </c>
      <c r="E112" s="496">
        <v>-0.71</v>
      </c>
    </row>
    <row r="113" spans="1:5">
      <c r="A113" s="488" t="s">
        <v>259</v>
      </c>
      <c r="B113" s="494" t="s">
        <v>1952</v>
      </c>
      <c r="C113" s="494" t="s">
        <v>1953</v>
      </c>
      <c r="D113" s="494" t="s">
        <v>1954</v>
      </c>
      <c r="E113" s="497">
        <v>-0.88</v>
      </c>
    </row>
    <row r="114" spans="1:5">
      <c r="A114" s="486" t="s">
        <v>599</v>
      </c>
      <c r="B114" s="492" t="s">
        <v>1955</v>
      </c>
      <c r="C114" s="492" t="s">
        <v>1794</v>
      </c>
      <c r="D114" s="492" t="s">
        <v>1956</v>
      </c>
      <c r="E114" s="496">
        <v>-0.21</v>
      </c>
    </row>
    <row r="115" spans="1:5">
      <c r="A115" s="488" t="s">
        <v>260</v>
      </c>
      <c r="B115" s="494" t="s">
        <v>1957</v>
      </c>
      <c r="C115" s="494" t="s">
        <v>1958</v>
      </c>
      <c r="D115" s="494" t="s">
        <v>1959</v>
      </c>
      <c r="E115" s="494" t="s">
        <v>1662</v>
      </c>
    </row>
    <row r="116" spans="1:5">
      <c r="A116" s="486" t="s">
        <v>196</v>
      </c>
      <c r="B116" s="492" t="s">
        <v>1960</v>
      </c>
      <c r="C116" s="492" t="s">
        <v>1961</v>
      </c>
      <c r="D116" s="492" t="s">
        <v>1962</v>
      </c>
      <c r="E116" s="496">
        <v>-0.57999999999999996</v>
      </c>
    </row>
    <row r="117" spans="1:5">
      <c r="A117" s="488" t="s">
        <v>197</v>
      </c>
      <c r="B117" s="494" t="s">
        <v>1963</v>
      </c>
      <c r="C117" s="494" t="s">
        <v>1722</v>
      </c>
      <c r="D117" s="495" t="s">
        <v>2820</v>
      </c>
      <c r="E117" s="495">
        <f>103%</f>
        <v>1.03</v>
      </c>
    </row>
    <row r="118" spans="1:5">
      <c r="A118" s="486" t="s">
        <v>298</v>
      </c>
      <c r="B118" s="492" t="s">
        <v>1964</v>
      </c>
      <c r="C118" s="492" t="s">
        <v>1965</v>
      </c>
      <c r="D118" s="493" t="s">
        <v>2820</v>
      </c>
      <c r="E118" s="493">
        <f>191%</f>
        <v>1.91</v>
      </c>
    </row>
    <row r="119" spans="1:5">
      <c r="A119" s="488" t="s">
        <v>432</v>
      </c>
      <c r="B119" s="494" t="s">
        <v>1966</v>
      </c>
      <c r="C119" s="494" t="s">
        <v>1967</v>
      </c>
      <c r="D119" s="495" t="s">
        <v>2820</v>
      </c>
      <c r="E119" s="495"/>
    </row>
    <row r="120" spans="1:5">
      <c r="A120" s="486" t="s">
        <v>198</v>
      </c>
      <c r="B120" s="492" t="s">
        <v>1968</v>
      </c>
      <c r="C120" s="492" t="s">
        <v>1969</v>
      </c>
      <c r="D120" s="493" t="s">
        <v>2820</v>
      </c>
      <c r="E120" s="493">
        <f>77%</f>
        <v>0.77</v>
      </c>
    </row>
    <row r="121" spans="1:5">
      <c r="A121" s="488" t="s">
        <v>261</v>
      </c>
      <c r="B121" s="494" t="s">
        <v>1970</v>
      </c>
      <c r="C121" s="494" t="s">
        <v>1855</v>
      </c>
      <c r="D121" s="495" t="s">
        <v>2820</v>
      </c>
      <c r="E121" s="495">
        <f>10%</f>
        <v>0.1</v>
      </c>
    </row>
    <row r="122" spans="1:5">
      <c r="A122" s="486" t="s">
        <v>199</v>
      </c>
      <c r="B122" s="492" t="s">
        <v>1971</v>
      </c>
      <c r="C122" s="492" t="s">
        <v>1965</v>
      </c>
      <c r="D122" s="492" t="s">
        <v>1972</v>
      </c>
      <c r="E122" s="496">
        <v>-0.43</v>
      </c>
    </row>
    <row r="123" spans="1:5">
      <c r="A123" s="488" t="s">
        <v>200</v>
      </c>
      <c r="B123" s="494" t="s">
        <v>1973</v>
      </c>
      <c r="C123" s="494" t="s">
        <v>1974</v>
      </c>
      <c r="D123" s="495" t="s">
        <v>2820</v>
      </c>
      <c r="E123" s="495">
        <f>44%</f>
        <v>0.44</v>
      </c>
    </row>
    <row r="124" spans="1:5">
      <c r="A124" s="486" t="s">
        <v>612</v>
      </c>
      <c r="B124" s="492" t="s">
        <v>1975</v>
      </c>
      <c r="C124" s="492" t="s">
        <v>1976</v>
      </c>
      <c r="D124" s="492" t="s">
        <v>1977</v>
      </c>
      <c r="E124" s="496">
        <v>-0.13</v>
      </c>
    </row>
    <row r="125" spans="1:5">
      <c r="A125" s="488" t="s">
        <v>319</v>
      </c>
      <c r="B125" s="494" t="s">
        <v>1978</v>
      </c>
      <c r="C125" s="494" t="s">
        <v>1979</v>
      </c>
      <c r="D125" s="495" t="s">
        <v>2820</v>
      </c>
      <c r="E125" s="495">
        <f>80%</f>
        <v>0.8</v>
      </c>
    </row>
    <row r="126" spans="1:5">
      <c r="A126" s="486" t="s">
        <v>615</v>
      </c>
      <c r="B126" s="492" t="s">
        <v>1926</v>
      </c>
      <c r="C126" s="492" t="s">
        <v>1927</v>
      </c>
      <c r="D126" s="493" t="s">
        <v>2820</v>
      </c>
      <c r="E126" s="493">
        <f>97%</f>
        <v>0.97</v>
      </c>
    </row>
    <row r="127" spans="1:5">
      <c r="A127" s="488" t="s">
        <v>616</v>
      </c>
      <c r="B127" s="494" t="s">
        <v>1980</v>
      </c>
      <c r="C127" s="494" t="s">
        <v>1981</v>
      </c>
      <c r="D127" s="495" t="s">
        <v>2820</v>
      </c>
      <c r="E127" s="495">
        <f>44%</f>
        <v>0.44</v>
      </c>
    </row>
    <row r="128" spans="1:5">
      <c r="A128" s="486" t="s">
        <v>618</v>
      </c>
      <c r="B128" s="492" t="s">
        <v>1982</v>
      </c>
      <c r="C128" s="492" t="s">
        <v>1983</v>
      </c>
      <c r="D128" s="492" t="s">
        <v>1984</v>
      </c>
      <c r="E128" s="496">
        <v>-0.86</v>
      </c>
    </row>
    <row r="129" spans="1:5">
      <c r="A129" s="488" t="s">
        <v>285</v>
      </c>
      <c r="B129" s="494" t="s">
        <v>1985</v>
      </c>
      <c r="C129" s="494" t="s">
        <v>1986</v>
      </c>
      <c r="D129" s="494" t="s">
        <v>1987</v>
      </c>
      <c r="E129" s="497">
        <v>-0.55000000000000004</v>
      </c>
    </row>
    <row r="130" spans="1:5">
      <c r="A130" s="486" t="s">
        <v>262</v>
      </c>
      <c r="B130" s="492" t="s">
        <v>1988</v>
      </c>
      <c r="C130" s="492" t="s">
        <v>1989</v>
      </c>
      <c r="D130" s="493" t="s">
        <v>2820</v>
      </c>
      <c r="E130" s="493">
        <f>6%</f>
        <v>0.06</v>
      </c>
    </row>
    <row r="131" spans="1:5">
      <c r="A131" s="488" t="s">
        <v>220</v>
      </c>
      <c r="B131" s="494" t="s">
        <v>1990</v>
      </c>
      <c r="C131" s="494" t="s">
        <v>1991</v>
      </c>
      <c r="D131" s="495" t="s">
        <v>2820</v>
      </c>
      <c r="E131" s="495">
        <f>52%</f>
        <v>0.52</v>
      </c>
    </row>
    <row r="132" spans="1:5">
      <c r="A132" s="486" t="s">
        <v>201</v>
      </c>
      <c r="B132" s="492" t="s">
        <v>1992</v>
      </c>
      <c r="C132" s="492" t="s">
        <v>1993</v>
      </c>
      <c r="D132" s="492" t="s">
        <v>1994</v>
      </c>
      <c r="E132" s="496">
        <v>-0.68</v>
      </c>
    </row>
    <row r="133" spans="1:5">
      <c r="A133" s="488" t="s">
        <v>299</v>
      </c>
      <c r="B133" s="494" t="s">
        <v>1995</v>
      </c>
      <c r="C133" s="494" t="s">
        <v>1996</v>
      </c>
      <c r="D133" s="495" t="s">
        <v>2820</v>
      </c>
      <c r="E133" s="495">
        <f>86%</f>
        <v>0.86</v>
      </c>
    </row>
    <row r="134" spans="1:5">
      <c r="A134" s="486" t="s">
        <v>202</v>
      </c>
      <c r="B134" s="492" t="s">
        <v>1997</v>
      </c>
      <c r="C134" s="492" t="s">
        <v>1998</v>
      </c>
      <c r="D134" s="492" t="s">
        <v>1999</v>
      </c>
      <c r="E134" s="496">
        <v>-0.7</v>
      </c>
    </row>
    <row r="135" spans="1:5">
      <c r="A135" s="488" t="s">
        <v>238</v>
      </c>
      <c r="B135" s="494" t="s">
        <v>1973</v>
      </c>
      <c r="C135" s="494" t="s">
        <v>2000</v>
      </c>
      <c r="D135" s="495" t="s">
        <v>2820</v>
      </c>
      <c r="E135" s="495">
        <f>90%</f>
        <v>0.9</v>
      </c>
    </row>
    <row r="136" spans="1:5">
      <c r="A136" s="486" t="s">
        <v>627</v>
      </c>
      <c r="B136" s="492" t="s">
        <v>2001</v>
      </c>
      <c r="C136" s="492" t="s">
        <v>2002</v>
      </c>
      <c r="D136" s="493" t="s">
        <v>2820</v>
      </c>
      <c r="E136" s="493">
        <f>11%</f>
        <v>0.11</v>
      </c>
    </row>
    <row r="137" spans="1:5">
      <c r="A137" s="488" t="s">
        <v>263</v>
      </c>
      <c r="B137" s="494" t="s">
        <v>2003</v>
      </c>
      <c r="C137" s="494" t="s">
        <v>2004</v>
      </c>
      <c r="D137" s="494" t="s">
        <v>2005</v>
      </c>
      <c r="E137" s="497">
        <v>-0.12</v>
      </c>
    </row>
    <row r="138" spans="1:5">
      <c r="A138" s="486" t="s">
        <v>2006</v>
      </c>
      <c r="B138" s="492" t="s">
        <v>2007</v>
      </c>
      <c r="C138" s="492" t="s">
        <v>2008</v>
      </c>
      <c r="D138" s="492" t="s">
        <v>2009</v>
      </c>
      <c r="E138" s="496">
        <v>-0.89</v>
      </c>
    </row>
    <row r="139" spans="1:5">
      <c r="A139" s="488" t="s">
        <v>433</v>
      </c>
      <c r="B139" s="494" t="s">
        <v>2010</v>
      </c>
      <c r="C139" s="494" t="s">
        <v>2011</v>
      </c>
      <c r="D139" s="494" t="s">
        <v>2012</v>
      </c>
      <c r="E139" s="497">
        <v>-0.44</v>
      </c>
    </row>
    <row r="140" spans="1:5">
      <c r="A140" s="486" t="s">
        <v>300</v>
      </c>
      <c r="B140" s="492" t="s">
        <v>2013</v>
      </c>
      <c r="C140" s="492" t="s">
        <v>2014</v>
      </c>
      <c r="D140" s="492" t="s">
        <v>2015</v>
      </c>
      <c r="E140" s="496">
        <v>-0.52</v>
      </c>
    </row>
    <row r="141" spans="1:5">
      <c r="A141" s="488" t="s">
        <v>320</v>
      </c>
      <c r="B141" s="494" t="s">
        <v>2016</v>
      </c>
      <c r="C141" s="494" t="s">
        <v>1980</v>
      </c>
      <c r="D141" s="494" t="s">
        <v>2017</v>
      </c>
      <c r="E141" s="497">
        <v>-0.56999999999999995</v>
      </c>
    </row>
    <row r="142" spans="1:5">
      <c r="A142" s="486" t="s">
        <v>203</v>
      </c>
      <c r="B142" s="492" t="s">
        <v>1834</v>
      </c>
      <c r="C142" s="492" t="s">
        <v>2018</v>
      </c>
      <c r="D142" s="493" t="s">
        <v>2820</v>
      </c>
      <c r="E142" s="493">
        <f>51%</f>
        <v>0.51</v>
      </c>
    </row>
    <row r="143" spans="1:5">
      <c r="A143" s="488" t="s">
        <v>204</v>
      </c>
      <c r="B143" s="494" t="s">
        <v>2019</v>
      </c>
      <c r="C143" s="494" t="s">
        <v>2020</v>
      </c>
      <c r="D143" s="494" t="s">
        <v>2021</v>
      </c>
      <c r="E143" s="497">
        <v>-0.32</v>
      </c>
    </row>
    <row r="144" spans="1:5">
      <c r="A144" s="486" t="s">
        <v>301</v>
      </c>
      <c r="B144" s="492" t="s">
        <v>2022</v>
      </c>
      <c r="C144" s="492" t="s">
        <v>2023</v>
      </c>
      <c r="D144" s="492" t="s">
        <v>2024</v>
      </c>
      <c r="E144" s="496">
        <v>-0.49</v>
      </c>
    </row>
    <row r="145" spans="1:5">
      <c r="A145" s="488" t="s">
        <v>264</v>
      </c>
      <c r="B145" s="494" t="s">
        <v>2025</v>
      </c>
      <c r="C145" s="494" t="s">
        <v>2026</v>
      </c>
      <c r="D145" s="495" t="s">
        <v>2820</v>
      </c>
      <c r="E145" s="495">
        <f>50%</f>
        <v>0.5</v>
      </c>
    </row>
    <row r="146" spans="1:5">
      <c r="A146" s="486" t="s">
        <v>639</v>
      </c>
      <c r="B146" s="492" t="s">
        <v>2027</v>
      </c>
      <c r="C146" s="492" t="s">
        <v>2028</v>
      </c>
      <c r="D146" s="493" t="s">
        <v>2820</v>
      </c>
      <c r="E146" s="493">
        <f>69%</f>
        <v>0.69</v>
      </c>
    </row>
    <row r="147" spans="1:5">
      <c r="A147" s="488" t="s">
        <v>641</v>
      </c>
      <c r="B147" s="494" t="s">
        <v>2029</v>
      </c>
      <c r="C147" s="494" t="s">
        <v>2030</v>
      </c>
      <c r="D147" s="494" t="s">
        <v>2031</v>
      </c>
      <c r="E147" s="497">
        <v>-0.13</v>
      </c>
    </row>
    <row r="148" spans="1:5">
      <c r="A148" s="486" t="s">
        <v>643</v>
      </c>
      <c r="B148" s="492" t="s">
        <v>2032</v>
      </c>
      <c r="C148" s="492" t="s">
        <v>2033</v>
      </c>
      <c r="D148" s="492" t="s">
        <v>2034</v>
      </c>
      <c r="E148" s="496">
        <v>-0.17</v>
      </c>
    </row>
    <row r="149" spans="1:5">
      <c r="A149" s="488" t="s">
        <v>265</v>
      </c>
      <c r="B149" s="494" t="s">
        <v>2035</v>
      </c>
      <c r="C149" s="494" t="s">
        <v>2036</v>
      </c>
      <c r="D149" s="495" t="s">
        <v>2820</v>
      </c>
      <c r="E149" s="495">
        <f>29%</f>
        <v>0.28999999999999998</v>
      </c>
    </row>
    <row r="150" spans="1:5">
      <c r="A150" s="486" t="s">
        <v>646</v>
      </c>
      <c r="B150" s="492" t="s">
        <v>2037</v>
      </c>
      <c r="C150" s="492" t="s">
        <v>2038</v>
      </c>
      <c r="D150" s="492" t="s">
        <v>2039</v>
      </c>
      <c r="E150" s="496">
        <v>-0.25</v>
      </c>
    </row>
    <row r="151" spans="1:5">
      <c r="A151" s="488" t="s">
        <v>231</v>
      </c>
      <c r="B151" s="494" t="s">
        <v>2040</v>
      </c>
      <c r="C151" s="494" t="s">
        <v>1839</v>
      </c>
      <c r="D151" s="495" t="s">
        <v>2820</v>
      </c>
      <c r="E151" s="495">
        <f>246%</f>
        <v>2.46</v>
      </c>
    </row>
    <row r="152" spans="1:5">
      <c r="A152" s="486" t="s">
        <v>239</v>
      </c>
      <c r="B152" s="492" t="s">
        <v>2041</v>
      </c>
      <c r="C152" s="492" t="s">
        <v>2042</v>
      </c>
      <c r="D152" s="493" t="s">
        <v>2820</v>
      </c>
      <c r="E152" s="493">
        <f>70%</f>
        <v>0.7</v>
      </c>
    </row>
    <row r="153" spans="1:5">
      <c r="A153" s="488" t="s">
        <v>321</v>
      </c>
      <c r="B153" s="494" t="s">
        <v>2043</v>
      </c>
      <c r="C153" s="494" t="s">
        <v>2044</v>
      </c>
      <c r="D153" s="495" t="s">
        <v>2820</v>
      </c>
      <c r="E153" s="495">
        <f>11%</f>
        <v>0.11</v>
      </c>
    </row>
    <row r="154" spans="1:5">
      <c r="A154" s="486" t="s">
        <v>322</v>
      </c>
      <c r="B154" s="492" t="s">
        <v>2045</v>
      </c>
      <c r="C154" s="492" t="s">
        <v>2046</v>
      </c>
      <c r="D154" s="492" t="s">
        <v>2047</v>
      </c>
      <c r="E154" s="496">
        <v>-0.61</v>
      </c>
    </row>
    <row r="155" spans="1:5">
      <c r="A155" s="488" t="s">
        <v>323</v>
      </c>
      <c r="B155" s="494" t="s">
        <v>2048</v>
      </c>
      <c r="C155" s="494" t="s">
        <v>2049</v>
      </c>
      <c r="D155" s="494" t="s">
        <v>2050</v>
      </c>
      <c r="E155" s="497">
        <v>-0.3</v>
      </c>
    </row>
    <row r="156" spans="1:5">
      <c r="A156" s="486" t="s">
        <v>434</v>
      </c>
      <c r="B156" s="492" t="s">
        <v>1817</v>
      </c>
      <c r="C156" s="492" t="s">
        <v>1692</v>
      </c>
      <c r="D156" s="493" t="s">
        <v>2820</v>
      </c>
      <c r="E156" s="493">
        <f>62%</f>
        <v>0.62</v>
      </c>
    </row>
    <row r="157" spans="1:5">
      <c r="A157" s="488" t="s">
        <v>266</v>
      </c>
      <c r="B157" s="494" t="s">
        <v>2051</v>
      </c>
      <c r="C157" s="494" t="s">
        <v>2052</v>
      </c>
      <c r="D157" s="494" t="s">
        <v>2053</v>
      </c>
      <c r="E157" s="497">
        <v>-0.75</v>
      </c>
    </row>
    <row r="158" spans="1:5">
      <c r="A158" s="486" t="s">
        <v>655</v>
      </c>
      <c r="B158" s="492" t="s">
        <v>2054</v>
      </c>
      <c r="C158" s="492" t="s">
        <v>2055</v>
      </c>
      <c r="D158" s="493" t="s">
        <v>2820</v>
      </c>
      <c r="E158" s="493">
        <f>46%</f>
        <v>0.46</v>
      </c>
    </row>
    <row r="159" spans="1:5">
      <c r="A159" s="488" t="s">
        <v>267</v>
      </c>
      <c r="B159" s="494" t="s">
        <v>2056</v>
      </c>
      <c r="C159" s="494" t="s">
        <v>2057</v>
      </c>
      <c r="D159" s="495" t="s">
        <v>2820</v>
      </c>
      <c r="E159" s="495">
        <f>164%</f>
        <v>1.64</v>
      </c>
    </row>
    <row r="160" spans="1:5">
      <c r="A160" s="486" t="s">
        <v>269</v>
      </c>
      <c r="B160" s="492" t="s">
        <v>2058</v>
      </c>
      <c r="C160" s="492" t="s">
        <v>2059</v>
      </c>
      <c r="D160" s="492" t="s">
        <v>2060</v>
      </c>
      <c r="E160" s="496">
        <v>-0.34</v>
      </c>
    </row>
    <row r="161" spans="1:5">
      <c r="A161" s="488" t="s">
        <v>659</v>
      </c>
      <c r="B161" s="494" t="s">
        <v>2061</v>
      </c>
      <c r="C161" s="494" t="s">
        <v>2062</v>
      </c>
      <c r="D161" s="494" t="s">
        <v>2063</v>
      </c>
      <c r="E161" s="497">
        <v>-0.41</v>
      </c>
    </row>
    <row r="162" spans="1:5">
      <c r="A162" s="486" t="s">
        <v>205</v>
      </c>
      <c r="B162" s="492" t="s">
        <v>2064</v>
      </c>
      <c r="C162" s="492" t="s">
        <v>2065</v>
      </c>
      <c r="D162" s="493" t="s">
        <v>2820</v>
      </c>
      <c r="E162" s="493">
        <f>87%</f>
        <v>0.87</v>
      </c>
    </row>
    <row r="163" spans="1:5">
      <c r="A163" s="488" t="s">
        <v>436</v>
      </c>
      <c r="B163" s="494" t="s">
        <v>2066</v>
      </c>
      <c r="C163" s="494" t="s">
        <v>2067</v>
      </c>
      <c r="D163" s="495" t="s">
        <v>2820</v>
      </c>
      <c r="E163" s="495">
        <f>154%</f>
        <v>1.54</v>
      </c>
    </row>
    <row r="164" spans="1:5">
      <c r="A164" s="486" t="s">
        <v>437</v>
      </c>
      <c r="B164" s="492" t="s">
        <v>1692</v>
      </c>
      <c r="C164" s="492" t="s">
        <v>1947</v>
      </c>
      <c r="D164" s="493" t="s">
        <v>2820</v>
      </c>
      <c r="E164" s="493">
        <f>48%</f>
        <v>0.48</v>
      </c>
    </row>
    <row r="165" spans="1:5">
      <c r="A165" s="488" t="s">
        <v>438</v>
      </c>
      <c r="B165" s="494" t="s">
        <v>2068</v>
      </c>
      <c r="C165" s="494" t="s">
        <v>2069</v>
      </c>
      <c r="D165" s="495" t="s">
        <v>2820</v>
      </c>
      <c r="E165" s="495">
        <f>259%</f>
        <v>2.59</v>
      </c>
    </row>
    <row r="166" spans="1:5">
      <c r="A166" s="486" t="s">
        <v>439</v>
      </c>
      <c r="B166" s="492" t="s">
        <v>2070</v>
      </c>
      <c r="C166" s="492" t="s">
        <v>2071</v>
      </c>
      <c r="D166" s="492" t="s">
        <v>2072</v>
      </c>
      <c r="E166" s="496">
        <v>-0.33</v>
      </c>
    </row>
    <row r="167" spans="1:5">
      <c r="A167" s="488" t="s">
        <v>206</v>
      </c>
      <c r="B167" s="494" t="s">
        <v>2073</v>
      </c>
      <c r="C167" s="494" t="s">
        <v>2074</v>
      </c>
      <c r="D167" s="494" t="s">
        <v>2075</v>
      </c>
      <c r="E167" s="497">
        <v>-0.34</v>
      </c>
    </row>
    <row r="168" spans="1:5">
      <c r="A168" s="486" t="s">
        <v>232</v>
      </c>
      <c r="B168" s="492" t="s">
        <v>2076</v>
      </c>
      <c r="C168" s="492" t="s">
        <v>2077</v>
      </c>
      <c r="D168" s="493" t="s">
        <v>2820</v>
      </c>
      <c r="E168" s="493">
        <f>503%</f>
        <v>5.03</v>
      </c>
    </row>
    <row r="169" spans="1:5">
      <c r="A169" s="488" t="s">
        <v>207</v>
      </c>
      <c r="B169" s="494" t="s">
        <v>2078</v>
      </c>
      <c r="C169" s="494" t="s">
        <v>2079</v>
      </c>
      <c r="D169" s="494" t="s">
        <v>2080</v>
      </c>
      <c r="E169" s="497">
        <v>-0.28000000000000003</v>
      </c>
    </row>
    <row r="170" spans="1:5">
      <c r="A170" s="486" t="s">
        <v>271</v>
      </c>
      <c r="B170" s="492" t="s">
        <v>2081</v>
      </c>
      <c r="C170" s="492" t="s">
        <v>2082</v>
      </c>
      <c r="D170" s="492" t="s">
        <v>1903</v>
      </c>
      <c r="E170" s="496">
        <v>-0.05</v>
      </c>
    </row>
    <row r="171" spans="1:5">
      <c r="A171" s="488" t="s">
        <v>670</v>
      </c>
      <c r="B171" s="494" t="s">
        <v>2083</v>
      </c>
      <c r="C171" s="494" t="s">
        <v>2084</v>
      </c>
      <c r="D171" s="494" t="s">
        <v>2085</v>
      </c>
      <c r="E171" s="497">
        <v>-0.26</v>
      </c>
    </row>
    <row r="172" spans="1:5">
      <c r="A172" s="486" t="s">
        <v>208</v>
      </c>
      <c r="B172" s="492" t="s">
        <v>2086</v>
      </c>
      <c r="C172" s="492" t="s">
        <v>1926</v>
      </c>
      <c r="D172" s="493" t="s">
        <v>2820</v>
      </c>
      <c r="E172" s="493">
        <f>4%</f>
        <v>0.04</v>
      </c>
    </row>
    <row r="173" spans="1:5">
      <c r="A173" s="488" t="s">
        <v>272</v>
      </c>
      <c r="B173" s="494" t="s">
        <v>2087</v>
      </c>
      <c r="C173" s="494" t="s">
        <v>2088</v>
      </c>
      <c r="D173" s="494" t="s">
        <v>2089</v>
      </c>
      <c r="E173" s="497">
        <v>-0.69</v>
      </c>
    </row>
    <row r="174" spans="1:5">
      <c r="A174" s="486" t="s">
        <v>273</v>
      </c>
      <c r="B174" s="492" t="s">
        <v>2090</v>
      </c>
      <c r="C174" s="492" t="s">
        <v>2091</v>
      </c>
      <c r="D174" s="493" t="s">
        <v>2820</v>
      </c>
      <c r="E174" s="493">
        <f>8%</f>
        <v>0.08</v>
      </c>
    </row>
    <row r="175" spans="1:5">
      <c r="A175" s="488" t="s">
        <v>675</v>
      </c>
      <c r="B175" s="494" t="s">
        <v>2092</v>
      </c>
      <c r="C175" s="494" t="s">
        <v>2093</v>
      </c>
      <c r="D175" s="494" t="s">
        <v>2094</v>
      </c>
      <c r="E175" s="497">
        <v>-0.37</v>
      </c>
    </row>
    <row r="176" spans="1:5">
      <c r="A176" s="486" t="s">
        <v>440</v>
      </c>
      <c r="B176" s="492" t="s">
        <v>2095</v>
      </c>
      <c r="C176" s="492" t="s">
        <v>2096</v>
      </c>
      <c r="D176" s="493" t="s">
        <v>2820</v>
      </c>
      <c r="E176" s="493">
        <f>3%</f>
        <v>0.03</v>
      </c>
    </row>
    <row r="177" spans="1:5">
      <c r="A177" s="488" t="s">
        <v>210</v>
      </c>
      <c r="B177" s="494" t="s">
        <v>2097</v>
      </c>
      <c r="C177" s="494" t="s">
        <v>2098</v>
      </c>
      <c r="D177" s="494" t="s">
        <v>2099</v>
      </c>
      <c r="E177" s="497">
        <v>-0.11</v>
      </c>
    </row>
    <row r="178" spans="1:5">
      <c r="A178" s="486" t="s">
        <v>679</v>
      </c>
      <c r="B178" s="492" t="s">
        <v>2100</v>
      </c>
      <c r="C178" s="492" t="s">
        <v>1712</v>
      </c>
      <c r="D178" s="493" t="s">
        <v>2820</v>
      </c>
      <c r="E178" s="493">
        <f>18%</f>
        <v>0.18</v>
      </c>
    </row>
    <row r="179" spans="1:5">
      <c r="A179" s="488" t="s">
        <v>304</v>
      </c>
      <c r="B179" s="494" t="s">
        <v>1898</v>
      </c>
      <c r="C179" s="494" t="s">
        <v>2101</v>
      </c>
      <c r="D179" s="495" t="s">
        <v>2820</v>
      </c>
      <c r="E179" s="495" t="s">
        <v>2820</v>
      </c>
    </row>
    <row r="180" spans="1:5">
      <c r="A180" s="486" t="s">
        <v>2102</v>
      </c>
      <c r="B180" s="492" t="s">
        <v>2103</v>
      </c>
      <c r="C180" s="492" t="s">
        <v>2104</v>
      </c>
      <c r="D180" s="493" t="s">
        <v>2820</v>
      </c>
      <c r="E180" s="493">
        <f>51%</f>
        <v>0.51</v>
      </c>
    </row>
    <row r="181" spans="1:5">
      <c r="A181" s="488" t="s">
        <v>684</v>
      </c>
      <c r="B181" s="494" t="s">
        <v>2105</v>
      </c>
      <c r="C181" s="494" t="s">
        <v>2106</v>
      </c>
      <c r="D181" s="494" t="s">
        <v>2107</v>
      </c>
      <c r="E181" s="497">
        <v>-0.16</v>
      </c>
    </row>
    <row r="182" spans="1:5">
      <c r="A182" s="486" t="s">
        <v>686</v>
      </c>
      <c r="B182" s="492" t="s">
        <v>2108</v>
      </c>
      <c r="C182" s="492" t="s">
        <v>1760</v>
      </c>
      <c r="D182" s="492" t="s">
        <v>2109</v>
      </c>
      <c r="E182" s="496">
        <v>-0.25</v>
      </c>
    </row>
    <row r="183" spans="1:5">
      <c r="A183" s="488" t="s">
        <v>688</v>
      </c>
      <c r="B183" s="494" t="s">
        <v>2110</v>
      </c>
      <c r="C183" s="494" t="s">
        <v>2111</v>
      </c>
      <c r="D183" s="495" t="s">
        <v>2820</v>
      </c>
      <c r="E183" s="495">
        <f>55%</f>
        <v>0.55000000000000004</v>
      </c>
    </row>
    <row r="184" spans="1:5">
      <c r="A184" s="486" t="s">
        <v>274</v>
      </c>
      <c r="B184" s="492" t="s">
        <v>1831</v>
      </c>
      <c r="C184" s="492" t="s">
        <v>1752</v>
      </c>
      <c r="D184" s="493" t="s">
        <v>2820</v>
      </c>
      <c r="E184" s="493">
        <f>103%</f>
        <v>1.03</v>
      </c>
    </row>
    <row r="185" spans="1:5">
      <c r="A185" s="488" t="s">
        <v>441</v>
      </c>
      <c r="B185" s="494" t="s">
        <v>1883</v>
      </c>
      <c r="C185" s="494" t="s">
        <v>2112</v>
      </c>
      <c r="D185" s="494" t="s">
        <v>2113</v>
      </c>
      <c r="E185" s="497">
        <v>-0.53</v>
      </c>
    </row>
    <row r="186" spans="1:5">
      <c r="A186" s="486" t="s">
        <v>221</v>
      </c>
      <c r="B186" s="492" t="s">
        <v>2114</v>
      </c>
      <c r="C186" s="492" t="s">
        <v>2115</v>
      </c>
      <c r="D186" s="493" t="s">
        <v>2820</v>
      </c>
      <c r="E186" s="493">
        <f>2%</f>
        <v>0.02</v>
      </c>
    </row>
    <row r="187" spans="1:5">
      <c r="A187" s="488" t="s">
        <v>693</v>
      </c>
      <c r="B187" s="494" t="s">
        <v>2116</v>
      </c>
      <c r="C187" s="494" t="s">
        <v>2117</v>
      </c>
      <c r="D187" s="494" t="s">
        <v>1956</v>
      </c>
      <c r="E187" s="497">
        <v>-0.08</v>
      </c>
    </row>
    <row r="188" spans="1:5">
      <c r="A188" s="486" t="s">
        <v>324</v>
      </c>
      <c r="B188" s="492" t="s">
        <v>2118</v>
      </c>
      <c r="C188" s="492" t="s">
        <v>2110</v>
      </c>
      <c r="D188" s="492" t="s">
        <v>2119</v>
      </c>
      <c r="E188" s="496">
        <v>-0.25</v>
      </c>
    </row>
    <row r="189" spans="1:5">
      <c r="A189" s="488" t="s">
        <v>275</v>
      </c>
      <c r="B189" s="494" t="s">
        <v>2120</v>
      </c>
      <c r="C189" s="494" t="s">
        <v>2121</v>
      </c>
      <c r="D189" s="495" t="s">
        <v>2820</v>
      </c>
      <c r="E189" s="495">
        <f>26%</f>
        <v>0.26</v>
      </c>
    </row>
    <row r="190" spans="1:5">
      <c r="A190" s="486" t="s">
        <v>276</v>
      </c>
      <c r="B190" s="492" t="s">
        <v>2122</v>
      </c>
      <c r="C190" s="492" t="s">
        <v>2123</v>
      </c>
      <c r="D190" s="492" t="s">
        <v>2124</v>
      </c>
      <c r="E190" s="496">
        <v>-0.11</v>
      </c>
    </row>
    <row r="191" spans="1:5">
      <c r="A191" s="488" t="s">
        <v>286</v>
      </c>
      <c r="B191" s="494" t="s">
        <v>2125</v>
      </c>
      <c r="C191" s="494" t="s">
        <v>1795</v>
      </c>
      <c r="D191" s="494" t="s">
        <v>2126</v>
      </c>
      <c r="E191" s="497">
        <v>-0.51</v>
      </c>
    </row>
    <row r="192" spans="1:5">
      <c r="A192" s="486" t="s">
        <v>212</v>
      </c>
      <c r="B192" s="492" t="s">
        <v>2127</v>
      </c>
      <c r="C192" s="492" t="s">
        <v>2128</v>
      </c>
      <c r="D192" s="492" t="s">
        <v>1903</v>
      </c>
      <c r="E192" s="496">
        <v>-0.06</v>
      </c>
    </row>
    <row r="193" spans="1:5">
      <c r="A193" s="488" t="s">
        <v>305</v>
      </c>
      <c r="B193" s="494" t="s">
        <v>2129</v>
      </c>
      <c r="C193" s="494" t="s">
        <v>2130</v>
      </c>
      <c r="D193" s="494" t="s">
        <v>2131</v>
      </c>
      <c r="E193" s="497">
        <v>-0.63</v>
      </c>
    </row>
    <row r="194" spans="1:5">
      <c r="A194" s="486" t="s">
        <v>442</v>
      </c>
      <c r="B194" s="492" t="s">
        <v>2132</v>
      </c>
      <c r="C194" s="492" t="s">
        <v>1799</v>
      </c>
      <c r="D194" s="492" t="s">
        <v>1899</v>
      </c>
      <c r="E194" s="496">
        <v>-0.47</v>
      </c>
    </row>
    <row r="195" spans="1:5">
      <c r="A195" s="488" t="s">
        <v>213</v>
      </c>
      <c r="B195" s="494" t="s">
        <v>2133</v>
      </c>
      <c r="C195" s="494" t="s">
        <v>2134</v>
      </c>
      <c r="D195" s="494" t="s">
        <v>2135</v>
      </c>
      <c r="E195" s="497">
        <v>-0.18</v>
      </c>
    </row>
    <row r="196" spans="1:5">
      <c r="A196" s="486" t="s">
        <v>443</v>
      </c>
      <c r="B196" s="492" t="s">
        <v>2136</v>
      </c>
      <c r="C196" s="492" t="s">
        <v>2137</v>
      </c>
      <c r="D196" s="492" t="s">
        <v>2138</v>
      </c>
      <c r="E196" s="496">
        <v>-0.04</v>
      </c>
    </row>
    <row r="197" spans="1:5">
      <c r="A197" s="488" t="s">
        <v>222</v>
      </c>
      <c r="B197" s="494" t="s">
        <v>1914</v>
      </c>
      <c r="C197" s="494" t="s">
        <v>2139</v>
      </c>
      <c r="D197" s="495" t="s">
        <v>2820</v>
      </c>
      <c r="E197" s="495">
        <f>39%</f>
        <v>0.39</v>
      </c>
    </row>
    <row r="198" spans="1:5">
      <c r="A198" s="486" t="s">
        <v>288</v>
      </c>
      <c r="B198" s="492" t="s">
        <v>2140</v>
      </c>
      <c r="C198" s="492" t="s">
        <v>2141</v>
      </c>
      <c r="D198" s="493" t="s">
        <v>2820</v>
      </c>
      <c r="E198" s="493">
        <f>202%</f>
        <v>2.02</v>
      </c>
    </row>
    <row r="199" spans="1:5">
      <c r="A199" s="488" t="s">
        <v>289</v>
      </c>
      <c r="B199" s="494" t="s">
        <v>2142</v>
      </c>
      <c r="C199" s="494" t="s">
        <v>2143</v>
      </c>
      <c r="D199" s="495" t="s">
        <v>2820</v>
      </c>
      <c r="E199" s="495">
        <f>26%</f>
        <v>0.26</v>
      </c>
    </row>
    <row r="200" spans="1:5">
      <c r="A200" s="486" t="s">
        <v>710</v>
      </c>
      <c r="B200" s="492" t="s">
        <v>2144</v>
      </c>
      <c r="C200" s="492" t="s">
        <v>2145</v>
      </c>
      <c r="D200" s="493" t="s">
        <v>2820</v>
      </c>
      <c r="E200" s="493">
        <f>133%</f>
        <v>1.33</v>
      </c>
    </row>
    <row r="201" spans="1:5">
      <c r="A201" s="488" t="s">
        <v>214</v>
      </c>
      <c r="B201" s="494" t="s">
        <v>2146</v>
      </c>
      <c r="C201" s="494" t="s">
        <v>1824</v>
      </c>
      <c r="D201" s="494" t="s">
        <v>2147</v>
      </c>
      <c r="E201" s="497">
        <v>-0.41</v>
      </c>
    </row>
    <row r="202" spans="1:5">
      <c r="A202" s="486" t="s">
        <v>277</v>
      </c>
      <c r="B202" s="492" t="s">
        <v>2148</v>
      </c>
      <c r="C202" s="492" t="s">
        <v>1773</v>
      </c>
      <c r="D202" s="492" t="s">
        <v>2149</v>
      </c>
      <c r="E202" s="496">
        <v>-0.66</v>
      </c>
    </row>
    <row r="203" spans="1:5">
      <c r="A203" s="488" t="s">
        <v>444</v>
      </c>
      <c r="B203" s="494" t="s">
        <v>2150</v>
      </c>
      <c r="C203" s="494" t="s">
        <v>1968</v>
      </c>
      <c r="D203" s="495" t="s">
        <v>2820</v>
      </c>
      <c r="E203" s="495">
        <f>50%</f>
        <v>0.5</v>
      </c>
    </row>
    <row r="204" spans="1:5">
      <c r="A204" s="486" t="s">
        <v>715</v>
      </c>
      <c r="B204" s="492" t="s">
        <v>2151</v>
      </c>
      <c r="C204" s="492" t="s">
        <v>2152</v>
      </c>
      <c r="D204" s="492" t="s">
        <v>2153</v>
      </c>
      <c r="E204" s="496">
        <v>-0.27</v>
      </c>
    </row>
    <row r="205" spans="1:5">
      <c r="A205" s="488" t="s">
        <v>717</v>
      </c>
      <c r="B205" s="494" t="s">
        <v>2154</v>
      </c>
      <c r="C205" s="494" t="s">
        <v>2155</v>
      </c>
      <c r="D205" s="494" t="s">
        <v>2156</v>
      </c>
      <c r="E205" s="497">
        <v>-0.12</v>
      </c>
    </row>
    <row r="206" spans="1:5">
      <c r="A206" s="486" t="s">
        <v>325</v>
      </c>
      <c r="B206" s="492" t="s">
        <v>2157</v>
      </c>
      <c r="C206" s="492" t="s">
        <v>2158</v>
      </c>
      <c r="D206" s="492" t="s">
        <v>2159</v>
      </c>
      <c r="E206" s="496">
        <v>-0.62</v>
      </c>
    </row>
    <row r="207" spans="1:5">
      <c r="A207" s="488" t="s">
        <v>287</v>
      </c>
      <c r="B207" s="494" t="s">
        <v>2160</v>
      </c>
      <c r="C207" s="494" t="s">
        <v>2161</v>
      </c>
      <c r="D207" s="495" t="s">
        <v>2820</v>
      </c>
      <c r="E207" s="495">
        <f>72%</f>
        <v>0.72</v>
      </c>
    </row>
    <row r="208" spans="1:5">
      <c r="A208" s="486" t="s">
        <v>448</v>
      </c>
      <c r="B208" s="492" t="s">
        <v>2043</v>
      </c>
      <c r="C208" s="492" t="s">
        <v>2162</v>
      </c>
      <c r="D208" s="492" t="s">
        <v>2163</v>
      </c>
      <c r="E208" s="496">
        <v>-0.39</v>
      </c>
    </row>
    <row r="209" spans="1:5">
      <c r="A209" s="488" t="s">
        <v>326</v>
      </c>
      <c r="B209" s="494" t="s">
        <v>2164</v>
      </c>
      <c r="C209" s="494" t="s">
        <v>2165</v>
      </c>
      <c r="D209" s="495" t="s">
        <v>2820</v>
      </c>
      <c r="E209" s="495">
        <f>57%</f>
        <v>0.56999999999999995</v>
      </c>
    </row>
    <row r="210" spans="1:5">
      <c r="A210" s="486" t="s">
        <v>306</v>
      </c>
      <c r="B210" s="492" t="s">
        <v>2166</v>
      </c>
      <c r="C210" s="492" t="s">
        <v>2167</v>
      </c>
      <c r="D210" s="493" t="s">
        <v>2820</v>
      </c>
      <c r="E210" s="493">
        <f>278%</f>
        <v>2.78</v>
      </c>
    </row>
    <row r="211" spans="1:5">
      <c r="A211" s="488" t="s">
        <v>724</v>
      </c>
      <c r="B211" s="494" t="s">
        <v>2168</v>
      </c>
      <c r="C211" s="494" t="s">
        <v>2169</v>
      </c>
      <c r="D211" s="494" t="s">
        <v>2170</v>
      </c>
      <c r="E211" s="497">
        <v>-0.14000000000000001</v>
      </c>
    </row>
    <row r="212" spans="1:5">
      <c r="A212" s="486" t="s">
        <v>726</v>
      </c>
      <c r="B212" s="492" t="s">
        <v>1763</v>
      </c>
      <c r="C212" s="492" t="s">
        <v>2171</v>
      </c>
      <c r="D212" s="493" t="s">
        <v>2820</v>
      </c>
      <c r="E212" s="493">
        <f>123%</f>
        <v>1.23</v>
      </c>
    </row>
    <row r="213" spans="1:5">
      <c r="A213" s="488" t="s">
        <v>1182</v>
      </c>
      <c r="B213" s="494" t="s">
        <v>2172</v>
      </c>
      <c r="C213" s="494" t="s">
        <v>2173</v>
      </c>
      <c r="D213" s="494" t="s">
        <v>2174</v>
      </c>
      <c r="E213" s="497">
        <v>-0.22</v>
      </c>
    </row>
    <row r="214" spans="1:5">
      <c r="A214" s="486" t="s">
        <v>728</v>
      </c>
      <c r="B214" s="492" t="s">
        <v>2175</v>
      </c>
      <c r="C214" s="492" t="s">
        <v>2176</v>
      </c>
      <c r="D214" s="492" t="s">
        <v>2177</v>
      </c>
      <c r="E214" s="492" t="s">
        <v>1662</v>
      </c>
    </row>
    <row r="215" spans="1:5">
      <c r="A215" s="488" t="s">
        <v>235</v>
      </c>
      <c r="B215" s="494" t="s">
        <v>2178</v>
      </c>
      <c r="C215" s="494" t="s">
        <v>2179</v>
      </c>
      <c r="D215" s="495" t="s">
        <v>2820</v>
      </c>
      <c r="E215" s="495">
        <f>28%</f>
        <v>0.28000000000000003</v>
      </c>
    </row>
    <row r="216" spans="1:5">
      <c r="A216" s="486" t="s">
        <v>2180</v>
      </c>
      <c r="B216" s="492" t="s">
        <v>2181</v>
      </c>
      <c r="C216" s="492" t="s">
        <v>2182</v>
      </c>
      <c r="D216" s="493" t="s">
        <v>2820</v>
      </c>
      <c r="E216" s="493">
        <f>125%</f>
        <v>1.25</v>
      </c>
    </row>
    <row r="217" spans="1:5">
      <c r="A217" s="488" t="s">
        <v>215</v>
      </c>
      <c r="B217" s="494" t="s">
        <v>2183</v>
      </c>
      <c r="C217" s="494" t="s">
        <v>2184</v>
      </c>
      <c r="D217" s="494" t="s">
        <v>2185</v>
      </c>
      <c r="E217" s="497">
        <v>-0.48</v>
      </c>
    </row>
    <row r="218" spans="1:5">
      <c r="A218" s="486" t="s">
        <v>216</v>
      </c>
      <c r="B218" s="492" t="s">
        <v>2186</v>
      </c>
      <c r="C218" s="492" t="s">
        <v>2187</v>
      </c>
      <c r="D218" s="492" t="s">
        <v>2188</v>
      </c>
      <c r="E218" s="496">
        <v>-0.33</v>
      </c>
    </row>
    <row r="219" spans="1:5">
      <c r="A219" s="498">
        <v>1961</v>
      </c>
    </row>
    <row r="220" spans="1:5">
      <c r="A220" s="498">
        <v>2013</v>
      </c>
    </row>
    <row r="221" spans="1:5">
      <c r="A221" s="499" t="s">
        <v>1145</v>
      </c>
    </row>
    <row r="222" spans="1:5">
      <c r="A222" s="499" t="s">
        <v>1146</v>
      </c>
    </row>
    <row r="223" spans="1:5">
      <c r="A223" s="500" t="s">
        <v>1147</v>
      </c>
    </row>
    <row r="224" spans="1:5">
      <c r="A224" s="499" t="s">
        <v>1148</v>
      </c>
    </row>
    <row r="225" spans="1:1">
      <c r="A225" s="499" t="s">
        <v>1149</v>
      </c>
    </row>
    <row r="226" spans="1:1">
      <c r="A226" s="546"/>
    </row>
  </sheetData>
  <hyperlinks>
    <hyperlink ref="A1" r:id="rId1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A1" s="222" t="s">
        <v>150</v>
      </c>
      <c r="C1" s="185"/>
    </row>
    <row r="2" spans="1:5">
      <c r="A2" s="486" t="s">
        <v>279</v>
      </c>
      <c r="B2" s="492"/>
      <c r="C2" s="487" t="s">
        <v>1106</v>
      </c>
      <c r="D2" s="493"/>
      <c r="E2" s="493"/>
    </row>
    <row r="3" spans="1:5">
      <c r="A3" s="488" t="s">
        <v>468</v>
      </c>
      <c r="B3" s="494"/>
      <c r="C3" s="489" t="s">
        <v>2189</v>
      </c>
      <c r="D3" s="495"/>
      <c r="E3" s="495"/>
    </row>
    <row r="4" spans="1:5">
      <c r="A4" s="486" t="s">
        <v>240</v>
      </c>
      <c r="B4" s="492"/>
      <c r="C4" s="487" t="s">
        <v>2190</v>
      </c>
      <c r="D4" s="493"/>
      <c r="E4" s="493"/>
    </row>
    <row r="5" spans="1:5">
      <c r="A5" s="488" t="s">
        <v>219</v>
      </c>
      <c r="B5" s="494"/>
      <c r="C5" s="489" t="s">
        <v>2191</v>
      </c>
      <c r="D5" s="495"/>
      <c r="E5" s="495"/>
    </row>
    <row r="6" spans="1:5">
      <c r="A6" s="486" t="s">
        <v>472</v>
      </c>
      <c r="B6" s="492"/>
      <c r="C6" s="487" t="s">
        <v>2192</v>
      </c>
      <c r="D6" s="493"/>
      <c r="E6" s="493"/>
    </row>
    <row r="7" spans="1:5">
      <c r="A7" s="488" t="s">
        <v>173</v>
      </c>
      <c r="B7" s="494"/>
      <c r="C7" s="489" t="s">
        <v>2193</v>
      </c>
      <c r="D7" s="495"/>
      <c r="E7" s="495"/>
    </row>
    <row r="8" spans="1:5">
      <c r="A8" s="486" t="s">
        <v>405</v>
      </c>
      <c r="B8" s="492"/>
      <c r="C8" s="487" t="s">
        <v>2194</v>
      </c>
      <c r="D8" s="493"/>
      <c r="E8" s="493"/>
    </row>
    <row r="9" spans="1:5">
      <c r="A9" s="488" t="s">
        <v>307</v>
      </c>
      <c r="B9" s="494"/>
      <c r="C9" s="489" t="s">
        <v>2195</v>
      </c>
      <c r="D9" s="495"/>
      <c r="E9" s="495"/>
    </row>
    <row r="10" spans="1:5">
      <c r="A10" s="486" t="s">
        <v>280</v>
      </c>
      <c r="B10" s="492"/>
      <c r="C10" s="487" t="s">
        <v>2196</v>
      </c>
      <c r="D10" s="493"/>
      <c r="E10" s="493"/>
    </row>
    <row r="11" spans="1:5">
      <c r="A11" s="488" t="s">
        <v>478</v>
      </c>
      <c r="B11" s="494"/>
      <c r="C11" s="489" t="s">
        <v>2197</v>
      </c>
      <c r="D11" s="495"/>
      <c r="E11" s="495"/>
    </row>
    <row r="12" spans="1:5">
      <c r="A12" s="486" t="s">
        <v>480</v>
      </c>
      <c r="B12" s="492"/>
      <c r="C12" s="487" t="s">
        <v>2198</v>
      </c>
      <c r="D12" s="492"/>
      <c r="E12" s="496"/>
    </row>
    <row r="13" spans="1:5">
      <c r="A13" s="488" t="s">
        <v>292</v>
      </c>
      <c r="B13" s="494"/>
      <c r="C13" s="489" t="s">
        <v>2199</v>
      </c>
      <c r="D13" s="495"/>
      <c r="E13" s="495"/>
    </row>
    <row r="14" spans="1:5">
      <c r="A14" s="486" t="s">
        <v>483</v>
      </c>
      <c r="B14" s="492"/>
      <c r="C14" s="487" t="s">
        <v>2200</v>
      </c>
      <c r="D14" s="493"/>
      <c r="E14" s="493"/>
    </row>
    <row r="15" spans="1:5">
      <c r="A15" s="488" t="s">
        <v>241</v>
      </c>
      <c r="B15" s="494"/>
      <c r="C15" s="489" t="s">
        <v>2201</v>
      </c>
      <c r="D15" s="495"/>
      <c r="E15" s="495"/>
    </row>
    <row r="16" spans="1:5">
      <c r="A16" s="486" t="s">
        <v>406</v>
      </c>
      <c r="B16" s="492"/>
      <c r="C16" s="487" t="s">
        <v>2202</v>
      </c>
      <c r="D16" s="492"/>
      <c r="E16" s="496"/>
    </row>
    <row r="17" spans="1:5">
      <c r="A17" s="488" t="s">
        <v>407</v>
      </c>
      <c r="B17" s="494"/>
      <c r="C17" s="489" t="s">
        <v>2203</v>
      </c>
      <c r="D17" s="495"/>
      <c r="E17" s="495"/>
    </row>
    <row r="18" spans="1:5">
      <c r="A18" s="486" t="s">
        <v>236</v>
      </c>
      <c r="B18" s="492"/>
      <c r="C18" s="487" t="s">
        <v>2204</v>
      </c>
      <c r="D18" s="493"/>
      <c r="E18" s="493"/>
    </row>
    <row r="19" spans="1:5">
      <c r="A19" s="488" t="s">
        <v>408</v>
      </c>
      <c r="B19" s="494"/>
      <c r="C19" s="489" t="s">
        <v>2205</v>
      </c>
      <c r="D19" s="495"/>
      <c r="E19" s="495"/>
    </row>
    <row r="20" spans="1:5">
      <c r="A20" s="486" t="s">
        <v>242</v>
      </c>
      <c r="B20" s="492"/>
      <c r="C20" s="487" t="s">
        <v>2206</v>
      </c>
      <c r="D20" s="493"/>
      <c r="E20" s="493"/>
    </row>
    <row r="21" spans="1:5">
      <c r="A21" s="488" t="s">
        <v>243</v>
      </c>
      <c r="B21" s="494"/>
      <c r="C21" s="489" t="s">
        <v>2207</v>
      </c>
      <c r="D21" s="494"/>
      <c r="E21" s="497"/>
    </row>
    <row r="22" spans="1:5">
      <c r="A22" s="486" t="s">
        <v>492</v>
      </c>
      <c r="B22" s="492"/>
      <c r="C22" s="487" t="s">
        <v>2208</v>
      </c>
      <c r="D22" s="493"/>
      <c r="E22" s="493"/>
    </row>
    <row r="23" spans="1:5">
      <c r="A23" s="488" t="s">
        <v>308</v>
      </c>
      <c r="B23" s="494"/>
      <c r="C23" s="489" t="s">
        <v>2209</v>
      </c>
      <c r="D23" s="495"/>
      <c r="E23" s="495"/>
    </row>
    <row r="24" spans="1:5">
      <c r="A24" s="486" t="s">
        <v>174</v>
      </c>
      <c r="B24" s="492"/>
      <c r="C24" s="487" t="s">
        <v>2210</v>
      </c>
      <c r="D24" s="493"/>
      <c r="E24" s="493"/>
    </row>
    <row r="25" spans="1:5">
      <c r="A25" s="488" t="s">
        <v>496</v>
      </c>
      <c r="B25" s="494"/>
      <c r="C25" s="489" t="s">
        <v>2211</v>
      </c>
      <c r="D25" s="495"/>
      <c r="E25" s="495"/>
    </row>
    <row r="26" spans="1:5">
      <c r="A26" s="486" t="s">
        <v>498</v>
      </c>
      <c r="B26" s="492"/>
      <c r="C26" s="487" t="s">
        <v>2212</v>
      </c>
      <c r="D26" s="493"/>
      <c r="E26" s="493"/>
    </row>
    <row r="27" spans="1:5">
      <c r="A27" s="488" t="s">
        <v>244</v>
      </c>
      <c r="B27" s="494"/>
      <c r="C27" s="489" t="s">
        <v>1289</v>
      </c>
      <c r="D27" s="495"/>
      <c r="E27" s="495"/>
    </row>
    <row r="28" spans="1:5">
      <c r="A28" s="486" t="s">
        <v>175</v>
      </c>
      <c r="B28" s="492"/>
      <c r="C28" s="487" t="s">
        <v>2213</v>
      </c>
      <c r="D28" s="493"/>
      <c r="E28" s="493"/>
    </row>
    <row r="29" spans="1:5">
      <c r="A29" s="488" t="s">
        <v>310</v>
      </c>
      <c r="B29" s="494"/>
      <c r="C29" s="489" t="s">
        <v>2214</v>
      </c>
      <c r="D29" s="495"/>
      <c r="E29" s="495"/>
    </row>
    <row r="30" spans="1:5">
      <c r="A30" s="486" t="s">
        <v>293</v>
      </c>
      <c r="B30" s="492"/>
      <c r="C30" s="487" t="s">
        <v>2215</v>
      </c>
      <c r="D30" s="493"/>
      <c r="E30" s="493"/>
    </row>
    <row r="31" spans="1:5">
      <c r="A31" s="488" t="s">
        <v>245</v>
      </c>
      <c r="B31" s="494"/>
      <c r="C31" s="489" t="s">
        <v>2216</v>
      </c>
      <c r="D31" s="495"/>
      <c r="E31" s="495"/>
    </row>
    <row r="32" spans="1:5">
      <c r="A32" s="486" t="s">
        <v>176</v>
      </c>
      <c r="B32" s="492"/>
      <c r="C32" s="487" t="s">
        <v>2217</v>
      </c>
      <c r="D32" s="493"/>
      <c r="E32" s="493"/>
    </row>
    <row r="33" spans="1:5">
      <c r="A33" s="488" t="s">
        <v>294</v>
      </c>
      <c r="B33" s="494"/>
      <c r="C33" s="489" t="s">
        <v>2218</v>
      </c>
      <c r="D33" s="495"/>
      <c r="E33" s="495"/>
    </row>
    <row r="34" spans="1:5">
      <c r="A34" s="486" t="s">
        <v>178</v>
      </c>
      <c r="B34" s="492"/>
      <c r="C34" s="487" t="s">
        <v>2219</v>
      </c>
      <c r="D34" s="493"/>
      <c r="E34" s="493"/>
    </row>
    <row r="35" spans="1:5">
      <c r="A35" s="488" t="s">
        <v>290</v>
      </c>
      <c r="B35" s="494"/>
      <c r="C35" s="489">
        <v>22.45</v>
      </c>
      <c r="D35" s="495"/>
      <c r="E35" s="495"/>
    </row>
    <row r="36" spans="1:5">
      <c r="A36" s="486" t="s">
        <v>179</v>
      </c>
      <c r="B36" s="492"/>
      <c r="C36" s="487">
        <v>11.1</v>
      </c>
      <c r="D36" s="493"/>
      <c r="E36" s="493"/>
    </row>
    <row r="37" spans="1:5">
      <c r="A37" s="488" t="s">
        <v>510</v>
      </c>
      <c r="B37" s="494"/>
      <c r="C37" s="489" t="s">
        <v>2220</v>
      </c>
      <c r="D37" s="495"/>
      <c r="E37" s="495"/>
    </row>
    <row r="38" spans="1:5">
      <c r="A38" s="486" t="s">
        <v>180</v>
      </c>
      <c r="B38" s="492"/>
      <c r="C38" s="487" t="s">
        <v>2221</v>
      </c>
      <c r="D38" s="493"/>
      <c r="E38" s="493"/>
    </row>
    <row r="39" spans="1:5">
      <c r="A39" s="488" t="s">
        <v>513</v>
      </c>
      <c r="B39" s="494"/>
      <c r="C39" s="489" t="s">
        <v>2222</v>
      </c>
      <c r="D39" s="495"/>
      <c r="E39" s="495"/>
    </row>
    <row r="40" spans="1:5">
      <c r="A40" s="486" t="s">
        <v>181</v>
      </c>
      <c r="B40" s="492"/>
      <c r="C40" s="487" t="s">
        <v>852</v>
      </c>
      <c r="D40" s="493"/>
      <c r="E40" s="493"/>
    </row>
    <row r="41" spans="1:5">
      <c r="A41" s="488" t="s">
        <v>311</v>
      </c>
      <c r="B41" s="494"/>
      <c r="C41" s="489" t="s">
        <v>2223</v>
      </c>
      <c r="D41" s="495"/>
      <c r="E41" s="495"/>
    </row>
    <row r="42" spans="1:5">
      <c r="A42" s="486" t="s">
        <v>295</v>
      </c>
      <c r="B42" s="492"/>
      <c r="C42" s="487" t="s">
        <v>2224</v>
      </c>
      <c r="D42" s="493"/>
      <c r="E42" s="493"/>
    </row>
    <row r="43" spans="1:5">
      <c r="A43" s="488" t="s">
        <v>312</v>
      </c>
      <c r="B43" s="494"/>
      <c r="C43" s="489" t="s">
        <v>2225</v>
      </c>
      <c r="D43" s="495"/>
      <c r="E43" s="495"/>
    </row>
    <row r="44" spans="1:5">
      <c r="A44" s="486" t="s">
        <v>415</v>
      </c>
      <c r="B44" s="492"/>
      <c r="C44" s="487" t="s">
        <v>2226</v>
      </c>
      <c r="D44" s="493"/>
      <c r="E44" s="493"/>
    </row>
    <row r="45" spans="1:5">
      <c r="A45" s="488" t="s">
        <v>313</v>
      </c>
      <c r="B45" s="494"/>
      <c r="C45" s="489" t="s">
        <v>2227</v>
      </c>
      <c r="D45" s="495"/>
      <c r="E45" s="495"/>
    </row>
    <row r="46" spans="1:5">
      <c r="A46" s="486" t="s">
        <v>521</v>
      </c>
      <c r="B46" s="492"/>
      <c r="C46" s="487" t="s">
        <v>2228</v>
      </c>
      <c r="D46" s="493"/>
      <c r="E46" s="493"/>
    </row>
    <row r="47" spans="1:5">
      <c r="A47" s="488" t="s">
        <v>246</v>
      </c>
      <c r="B47" s="494"/>
      <c r="C47" s="489" t="s">
        <v>2229</v>
      </c>
      <c r="D47" s="495"/>
      <c r="E47" s="495"/>
    </row>
    <row r="48" spans="1:5">
      <c r="A48" s="486" t="s">
        <v>416</v>
      </c>
      <c r="B48" s="492"/>
      <c r="C48" s="487" t="s">
        <v>2230</v>
      </c>
      <c r="D48" s="492"/>
      <c r="E48" s="496"/>
    </row>
    <row r="49" spans="1:5">
      <c r="A49" s="488" t="s">
        <v>417</v>
      </c>
      <c r="B49" s="494"/>
      <c r="C49" s="489" t="s">
        <v>2231</v>
      </c>
      <c r="D49" s="495"/>
      <c r="E49" s="495"/>
    </row>
    <row r="50" spans="1:5">
      <c r="A50" s="486" t="s">
        <v>247</v>
      </c>
      <c r="B50" s="492"/>
      <c r="C50" s="487" t="s">
        <v>2232</v>
      </c>
      <c r="D50" s="493"/>
      <c r="E50" s="493"/>
    </row>
    <row r="51" spans="1:5">
      <c r="A51" s="488" t="s">
        <v>527</v>
      </c>
      <c r="B51" s="494"/>
      <c r="C51" s="489" t="s">
        <v>2233</v>
      </c>
      <c r="D51" s="494"/>
      <c r="E51" s="497"/>
    </row>
    <row r="52" spans="1:5">
      <c r="A52" s="486" t="s">
        <v>248</v>
      </c>
      <c r="B52" s="492"/>
      <c r="C52" s="487" t="s">
        <v>2234</v>
      </c>
      <c r="D52" s="493"/>
      <c r="E52" s="493"/>
    </row>
    <row r="53" spans="1:5">
      <c r="A53" s="488" t="s">
        <v>184</v>
      </c>
      <c r="B53" s="494"/>
      <c r="C53" s="489" t="s">
        <v>2235</v>
      </c>
      <c r="D53" s="494"/>
      <c r="E53" s="497"/>
    </row>
    <row r="54" spans="1:5">
      <c r="A54" s="486" t="s">
        <v>419</v>
      </c>
      <c r="B54" s="492"/>
      <c r="C54" s="487" t="s">
        <v>2236</v>
      </c>
      <c r="D54" s="493"/>
      <c r="E54" s="493"/>
    </row>
    <row r="55" spans="1:5">
      <c r="A55" s="488" t="s">
        <v>420</v>
      </c>
      <c r="B55" s="494"/>
      <c r="C55" s="489" t="s">
        <v>2237</v>
      </c>
      <c r="D55" s="495"/>
      <c r="E55" s="495"/>
    </row>
    <row r="56" spans="1:5">
      <c r="A56" s="486" t="s">
        <v>533</v>
      </c>
      <c r="B56" s="492"/>
      <c r="C56" s="487" t="s">
        <v>2238</v>
      </c>
      <c r="D56" s="493"/>
      <c r="E56" s="493"/>
    </row>
    <row r="57" spans="1:5">
      <c r="A57" s="488" t="s">
        <v>535</v>
      </c>
      <c r="B57" s="494"/>
      <c r="C57" s="489" t="s">
        <v>2239</v>
      </c>
      <c r="D57" s="495"/>
      <c r="E57" s="495"/>
    </row>
    <row r="58" spans="1:5">
      <c r="A58" s="486" t="s">
        <v>537</v>
      </c>
      <c r="B58" s="492"/>
      <c r="C58" s="487" t="s">
        <v>2240</v>
      </c>
      <c r="D58" s="493"/>
      <c r="E58" s="493"/>
    </row>
    <row r="59" spans="1:5">
      <c r="A59" s="488" t="s">
        <v>314</v>
      </c>
      <c r="B59" s="494"/>
      <c r="C59" s="489" t="s">
        <v>796</v>
      </c>
      <c r="D59" s="495"/>
      <c r="E59" s="495"/>
    </row>
    <row r="60" spans="1:5">
      <c r="A60" s="486" t="s">
        <v>224</v>
      </c>
      <c r="B60" s="492"/>
      <c r="C60" s="487" t="s">
        <v>2241</v>
      </c>
      <c r="D60" s="493"/>
      <c r="E60" s="493"/>
    </row>
    <row r="61" spans="1:5">
      <c r="A61" s="488" t="s">
        <v>315</v>
      </c>
      <c r="B61" s="494"/>
      <c r="C61" s="489" t="s">
        <v>2242</v>
      </c>
      <c r="D61" s="495"/>
      <c r="E61" s="495"/>
    </row>
    <row r="62" spans="1:5">
      <c r="A62" s="486" t="s">
        <v>249</v>
      </c>
      <c r="B62" s="492"/>
      <c r="C62" s="487" t="s">
        <v>2243</v>
      </c>
      <c r="D62" s="492"/>
      <c r="E62" s="496"/>
    </row>
    <row r="63" spans="1:5">
      <c r="A63" s="488" t="s">
        <v>421</v>
      </c>
      <c r="B63" s="494"/>
      <c r="C63" s="489" t="s">
        <v>2244</v>
      </c>
      <c r="D63" s="495"/>
      <c r="E63" s="495"/>
    </row>
    <row r="64" spans="1:5">
      <c r="A64" s="486" t="s">
        <v>187</v>
      </c>
      <c r="B64" s="492"/>
      <c r="C64" s="487" t="s">
        <v>2245</v>
      </c>
      <c r="D64" s="493"/>
      <c r="E64" s="493"/>
    </row>
    <row r="65" spans="1:5">
      <c r="A65" s="488" t="s">
        <v>545</v>
      </c>
      <c r="B65" s="494"/>
      <c r="C65" s="489" t="s">
        <v>2246</v>
      </c>
      <c r="D65" s="495"/>
      <c r="E65" s="495"/>
    </row>
    <row r="66" spans="1:5">
      <c r="A66" s="486" t="s">
        <v>103</v>
      </c>
      <c r="B66" s="492"/>
      <c r="C66" s="487" t="s">
        <v>2247</v>
      </c>
      <c r="D66" s="493"/>
      <c r="E66" s="493"/>
    </row>
    <row r="67" spans="1:5">
      <c r="A67" s="488" t="s">
        <v>548</v>
      </c>
      <c r="B67" s="494"/>
      <c r="C67" s="489" t="s">
        <v>2248</v>
      </c>
      <c r="D67" s="495"/>
      <c r="E67" s="495"/>
    </row>
    <row r="68" spans="1:5">
      <c r="A68" s="486" t="s">
        <v>550</v>
      </c>
      <c r="B68" s="492"/>
      <c r="C68" s="487" t="s">
        <v>2249</v>
      </c>
      <c r="D68" s="493"/>
      <c r="E68" s="493"/>
    </row>
    <row r="69" spans="1:5">
      <c r="A69" s="488" t="s">
        <v>422</v>
      </c>
      <c r="B69" s="494"/>
      <c r="C69" s="489" t="s">
        <v>2250</v>
      </c>
      <c r="D69" s="495"/>
      <c r="E69" s="495"/>
    </row>
    <row r="70" spans="1:5">
      <c r="A70" s="486" t="s">
        <v>250</v>
      </c>
      <c r="B70" s="492"/>
      <c r="C70" s="487" t="s">
        <v>2251</v>
      </c>
      <c r="D70" s="493"/>
      <c r="E70" s="493"/>
    </row>
    <row r="71" spans="1:5">
      <c r="A71" s="488" t="s">
        <v>251</v>
      </c>
      <c r="B71" s="494"/>
      <c r="C71" s="489" t="s">
        <v>2252</v>
      </c>
      <c r="D71" s="495"/>
      <c r="E71" s="495"/>
    </row>
    <row r="72" spans="1:5">
      <c r="A72" s="486" t="s">
        <v>423</v>
      </c>
      <c r="B72" s="492"/>
      <c r="C72" s="487" t="s">
        <v>2253</v>
      </c>
      <c r="D72" s="493"/>
      <c r="E72" s="493"/>
    </row>
    <row r="73" spans="1:5">
      <c r="A73" s="488" t="s">
        <v>188</v>
      </c>
      <c r="B73" s="494"/>
      <c r="C73" s="489" t="s">
        <v>2254</v>
      </c>
      <c r="D73" s="495"/>
      <c r="E73" s="495"/>
    </row>
    <row r="74" spans="1:5">
      <c r="A74" s="486" t="s">
        <v>424</v>
      </c>
      <c r="B74" s="492"/>
      <c r="C74" s="487" t="s">
        <v>2255</v>
      </c>
      <c r="D74" s="493"/>
      <c r="E74" s="493"/>
    </row>
    <row r="75" spans="1:5">
      <c r="A75" s="488" t="s">
        <v>282</v>
      </c>
      <c r="B75" s="494"/>
      <c r="C75" s="489" t="s">
        <v>2256</v>
      </c>
      <c r="D75" s="495"/>
      <c r="E75" s="495"/>
    </row>
    <row r="76" spans="1:5">
      <c r="A76" s="486" t="s">
        <v>252</v>
      </c>
      <c r="B76" s="492"/>
      <c r="C76" s="487" t="s">
        <v>2257</v>
      </c>
      <c r="D76" s="493"/>
      <c r="E76" s="493"/>
    </row>
    <row r="77" spans="1:5">
      <c r="A77" s="488" t="s">
        <v>190</v>
      </c>
      <c r="B77" s="494"/>
      <c r="C77" s="489" t="s">
        <v>2258</v>
      </c>
      <c r="D77" s="495"/>
      <c r="E77" s="495"/>
    </row>
    <row r="78" spans="1:5">
      <c r="A78" s="486" t="s">
        <v>253</v>
      </c>
      <c r="B78" s="492"/>
      <c r="C78" s="487" t="s">
        <v>2259</v>
      </c>
      <c r="D78" s="493"/>
      <c r="E78" s="493"/>
    </row>
    <row r="79" spans="1:5">
      <c r="A79" s="488" t="s">
        <v>425</v>
      </c>
      <c r="B79" s="494"/>
      <c r="C79" s="489" t="s">
        <v>2260</v>
      </c>
      <c r="D79" s="495"/>
      <c r="E79" s="495"/>
    </row>
    <row r="80" spans="1:5">
      <c r="A80" s="486" t="s">
        <v>316</v>
      </c>
      <c r="B80" s="492"/>
      <c r="C80" s="487" t="s">
        <v>2261</v>
      </c>
      <c r="D80" s="493"/>
      <c r="E80" s="493"/>
    </row>
    <row r="81" spans="1:5">
      <c r="A81" s="488" t="s">
        <v>191</v>
      </c>
      <c r="B81" s="494"/>
      <c r="C81" s="489" t="s">
        <v>2262</v>
      </c>
      <c r="D81" s="495"/>
      <c r="E81" s="495"/>
    </row>
    <row r="82" spans="1:5">
      <c r="A82" s="486" t="s">
        <v>192</v>
      </c>
      <c r="B82" s="492"/>
      <c r="C82" s="487" t="s">
        <v>2263</v>
      </c>
      <c r="D82" s="492"/>
      <c r="E82" s="496"/>
    </row>
    <row r="83" spans="1:5">
      <c r="A83" s="488" t="s">
        <v>317</v>
      </c>
      <c r="B83" s="494"/>
      <c r="C83" s="489" t="s">
        <v>2264</v>
      </c>
      <c r="D83" s="495"/>
      <c r="E83" s="495"/>
    </row>
    <row r="84" spans="1:5">
      <c r="A84" s="486" t="s">
        <v>426</v>
      </c>
      <c r="B84" s="492"/>
      <c r="C84" s="487" t="s">
        <v>2265</v>
      </c>
      <c r="D84" s="493"/>
      <c r="E84" s="493"/>
    </row>
    <row r="85" spans="1:5">
      <c r="A85" s="488" t="s">
        <v>318</v>
      </c>
      <c r="B85" s="494"/>
      <c r="C85" s="489" t="s">
        <v>2266</v>
      </c>
      <c r="D85" s="495"/>
      <c r="E85" s="495"/>
    </row>
    <row r="86" spans="1:5">
      <c r="A86" s="486" t="s">
        <v>569</v>
      </c>
      <c r="B86" s="492"/>
      <c r="C86" s="487" t="s">
        <v>2267</v>
      </c>
      <c r="D86" s="493"/>
      <c r="E86" s="493"/>
    </row>
    <row r="87" spans="1:5">
      <c r="A87" s="488" t="s">
        <v>254</v>
      </c>
      <c r="B87" s="494"/>
      <c r="C87" s="489" t="s">
        <v>2268</v>
      </c>
      <c r="D87" s="495"/>
      <c r="E87" s="495"/>
    </row>
    <row r="88" spans="1:5">
      <c r="A88" s="486" t="s">
        <v>255</v>
      </c>
      <c r="B88" s="492"/>
      <c r="C88" s="487" t="s">
        <v>2269</v>
      </c>
      <c r="D88" s="493"/>
      <c r="E88" s="493"/>
    </row>
    <row r="89" spans="1:5">
      <c r="A89" s="488" t="s">
        <v>237</v>
      </c>
      <c r="B89" s="494"/>
      <c r="C89" s="489" t="s">
        <v>2270</v>
      </c>
      <c r="D89" s="495"/>
      <c r="E89" s="495"/>
    </row>
    <row r="90" spans="1:5">
      <c r="A90" s="486" t="s">
        <v>296</v>
      </c>
      <c r="B90" s="492"/>
      <c r="C90" s="487" t="s">
        <v>2271</v>
      </c>
      <c r="D90" s="493"/>
      <c r="E90" s="493"/>
    </row>
    <row r="91" spans="1:5">
      <c r="A91" s="488" t="s">
        <v>225</v>
      </c>
      <c r="B91" s="494"/>
      <c r="C91" s="489" t="s">
        <v>2272</v>
      </c>
      <c r="D91" s="495"/>
      <c r="E91" s="495"/>
    </row>
    <row r="92" spans="1:5">
      <c r="A92" s="486" t="s">
        <v>226</v>
      </c>
      <c r="B92" s="492"/>
      <c r="C92" s="487" t="s">
        <v>2273</v>
      </c>
      <c r="D92" s="493"/>
      <c r="E92" s="493"/>
    </row>
    <row r="93" spans="1:5">
      <c r="A93" s="488" t="s">
        <v>256</v>
      </c>
      <c r="B93" s="494"/>
      <c r="C93" s="489" t="s">
        <v>2274</v>
      </c>
      <c r="D93" s="495"/>
      <c r="E93" s="495"/>
    </row>
    <row r="94" spans="1:5">
      <c r="A94" s="486" t="s">
        <v>227</v>
      </c>
      <c r="B94" s="492"/>
      <c r="C94" s="487" t="s">
        <v>2275</v>
      </c>
      <c r="D94" s="493"/>
      <c r="E94" s="493"/>
    </row>
    <row r="95" spans="1:5">
      <c r="A95" s="488" t="s">
        <v>257</v>
      </c>
      <c r="B95" s="494"/>
      <c r="C95" s="489" t="s">
        <v>2276</v>
      </c>
      <c r="D95" s="495"/>
      <c r="E95" s="495"/>
    </row>
    <row r="96" spans="1:5">
      <c r="A96" s="486" t="s">
        <v>428</v>
      </c>
      <c r="B96" s="492"/>
      <c r="C96" s="487" t="s">
        <v>2277</v>
      </c>
      <c r="D96" s="492"/>
      <c r="E96" s="496"/>
    </row>
    <row r="97" spans="1:5">
      <c r="A97" s="488" t="s">
        <v>297</v>
      </c>
      <c r="B97" s="494"/>
      <c r="C97" s="489" t="s">
        <v>2278</v>
      </c>
      <c r="D97" s="494"/>
      <c r="E97" s="497"/>
    </row>
    <row r="98" spans="1:5">
      <c r="A98" s="486" t="s">
        <v>228</v>
      </c>
      <c r="B98" s="492"/>
      <c r="C98" s="487" t="s">
        <v>2279</v>
      </c>
      <c r="D98" s="493"/>
      <c r="E98" s="493"/>
    </row>
    <row r="99" spans="1:5">
      <c r="A99" s="488" t="s">
        <v>283</v>
      </c>
      <c r="B99" s="494"/>
      <c r="C99" s="489" t="s">
        <v>2280</v>
      </c>
      <c r="D99" s="495"/>
      <c r="E99" s="495"/>
    </row>
    <row r="100" spans="1:5">
      <c r="A100" s="486" t="s">
        <v>193</v>
      </c>
      <c r="B100" s="492"/>
      <c r="C100" s="487" t="s">
        <v>2281</v>
      </c>
      <c r="D100" s="493"/>
      <c r="E100" s="493"/>
    </row>
    <row r="101" spans="1:5">
      <c r="A101" s="488" t="s">
        <v>429</v>
      </c>
      <c r="B101" s="494"/>
      <c r="C101" s="489" t="s">
        <v>2282</v>
      </c>
      <c r="D101" s="495"/>
      <c r="E101" s="495"/>
    </row>
    <row r="102" spans="1:5">
      <c r="A102" s="486" t="s">
        <v>229</v>
      </c>
      <c r="B102" s="492"/>
      <c r="C102" s="487" t="s">
        <v>2283</v>
      </c>
      <c r="D102" s="493"/>
      <c r="E102" s="493"/>
    </row>
    <row r="103" spans="1:5">
      <c r="A103" s="488" t="s">
        <v>430</v>
      </c>
      <c r="B103" s="494"/>
      <c r="C103" s="489" t="s">
        <v>1056</v>
      </c>
      <c r="D103" s="495"/>
      <c r="E103" s="495"/>
    </row>
    <row r="104" spans="1:5">
      <c r="A104" s="486" t="s">
        <v>588</v>
      </c>
      <c r="B104" s="492"/>
      <c r="C104" s="487" t="s">
        <v>2284</v>
      </c>
      <c r="D104" s="493"/>
      <c r="E104" s="493"/>
    </row>
    <row r="105" spans="1:5">
      <c r="A105" s="488" t="s">
        <v>590</v>
      </c>
      <c r="B105" s="494"/>
      <c r="C105" s="489" t="s">
        <v>2285</v>
      </c>
      <c r="D105" s="495"/>
      <c r="E105" s="495"/>
    </row>
    <row r="106" spans="1:5">
      <c r="A106" s="486" t="s">
        <v>258</v>
      </c>
      <c r="B106" s="492"/>
      <c r="C106" s="487" t="s">
        <v>2286</v>
      </c>
      <c r="D106" s="492"/>
      <c r="E106" s="496"/>
    </row>
    <row r="107" spans="1:5">
      <c r="A107" s="488" t="s">
        <v>593</v>
      </c>
      <c r="B107" s="494"/>
      <c r="C107" s="489" t="s">
        <v>2287</v>
      </c>
      <c r="D107" s="495"/>
      <c r="E107" s="495"/>
    </row>
    <row r="108" spans="1:5">
      <c r="A108" s="486" t="s">
        <v>230</v>
      </c>
      <c r="B108" s="492"/>
      <c r="C108" s="487" t="s">
        <v>858</v>
      </c>
      <c r="D108" s="493"/>
      <c r="E108" s="493"/>
    </row>
    <row r="109" spans="1:5">
      <c r="A109" s="488" t="s">
        <v>194</v>
      </c>
      <c r="B109" s="494"/>
      <c r="C109" s="489" t="s">
        <v>2288</v>
      </c>
      <c r="D109" s="495"/>
      <c r="E109" s="495"/>
    </row>
    <row r="110" spans="1:5">
      <c r="A110" s="486" t="s">
        <v>195</v>
      </c>
      <c r="B110" s="492"/>
      <c r="C110" s="487" t="s">
        <v>2289</v>
      </c>
      <c r="D110" s="492"/>
      <c r="E110" s="496"/>
    </row>
    <row r="111" spans="1:5">
      <c r="A111" s="488" t="s">
        <v>259</v>
      </c>
      <c r="B111" s="494"/>
      <c r="C111" s="489" t="s">
        <v>2290</v>
      </c>
      <c r="D111" s="495"/>
      <c r="E111" s="495"/>
    </row>
    <row r="112" spans="1:5">
      <c r="A112" s="486" t="s">
        <v>599</v>
      </c>
      <c r="B112" s="492"/>
      <c r="C112" s="487" t="s">
        <v>2291</v>
      </c>
      <c r="D112" s="493"/>
      <c r="E112" s="493"/>
    </row>
    <row r="113" spans="1:5">
      <c r="A113" s="488" t="s">
        <v>260</v>
      </c>
      <c r="B113" s="494"/>
      <c r="C113" s="489" t="s">
        <v>2292</v>
      </c>
      <c r="D113" s="495"/>
      <c r="E113" s="495"/>
    </row>
    <row r="114" spans="1:5">
      <c r="A114" s="486" t="s">
        <v>602</v>
      </c>
      <c r="B114" s="492"/>
      <c r="C114" s="487" t="s">
        <v>2293</v>
      </c>
      <c r="D114" s="493"/>
      <c r="E114" s="493"/>
    </row>
    <row r="115" spans="1:5">
      <c r="A115" s="488" t="s">
        <v>196</v>
      </c>
      <c r="B115" s="494"/>
      <c r="C115" s="489" t="s">
        <v>2294</v>
      </c>
      <c r="D115" s="494"/>
      <c r="E115" s="497"/>
    </row>
    <row r="116" spans="1:5">
      <c r="A116" s="486" t="s">
        <v>197</v>
      </c>
      <c r="B116" s="492"/>
      <c r="C116" s="487" t="s">
        <v>2295</v>
      </c>
      <c r="D116" s="493"/>
      <c r="E116" s="493"/>
    </row>
    <row r="117" spans="1:5">
      <c r="A117" s="488" t="s">
        <v>298</v>
      </c>
      <c r="B117" s="494"/>
      <c r="C117" s="489" t="s">
        <v>2296</v>
      </c>
      <c r="D117" s="495"/>
      <c r="E117" s="495"/>
    </row>
    <row r="118" spans="1:5">
      <c r="A118" s="486" t="s">
        <v>432</v>
      </c>
      <c r="B118" s="492"/>
      <c r="C118" s="487" t="s">
        <v>2297</v>
      </c>
      <c r="D118" s="493"/>
      <c r="E118" s="493"/>
    </row>
    <row r="119" spans="1:5">
      <c r="A119" s="488" t="s">
        <v>198</v>
      </c>
      <c r="B119" s="494"/>
      <c r="C119" s="489" t="s">
        <v>838</v>
      </c>
      <c r="D119" s="495"/>
      <c r="E119" s="495"/>
    </row>
    <row r="120" spans="1:5">
      <c r="A120" s="486" t="s">
        <v>261</v>
      </c>
      <c r="B120" s="492"/>
      <c r="C120" s="487" t="s">
        <v>734</v>
      </c>
      <c r="D120" s="493"/>
      <c r="E120" s="493"/>
    </row>
    <row r="121" spans="1:5">
      <c r="A121" s="488" t="s">
        <v>199</v>
      </c>
      <c r="B121" s="494"/>
      <c r="C121" s="489" t="s">
        <v>2298</v>
      </c>
      <c r="D121" s="494"/>
      <c r="E121" s="497"/>
    </row>
    <row r="122" spans="1:5">
      <c r="A122" s="486" t="s">
        <v>200</v>
      </c>
      <c r="B122" s="492"/>
      <c r="C122" s="487" t="s">
        <v>2299</v>
      </c>
      <c r="D122" s="493"/>
      <c r="E122" s="493"/>
    </row>
    <row r="123" spans="1:5">
      <c r="A123" s="488" t="s">
        <v>612</v>
      </c>
      <c r="B123" s="494"/>
      <c r="C123" s="489" t="s">
        <v>2300</v>
      </c>
      <c r="D123" s="495"/>
      <c r="E123" s="495"/>
    </row>
    <row r="124" spans="1:5">
      <c r="A124" s="486" t="s">
        <v>319</v>
      </c>
      <c r="B124" s="492"/>
      <c r="C124" s="487" t="s">
        <v>2301</v>
      </c>
      <c r="D124" s="493"/>
      <c r="E124" s="493"/>
    </row>
    <row r="125" spans="1:5">
      <c r="A125" s="488" t="s">
        <v>615</v>
      </c>
      <c r="B125" s="494"/>
      <c r="C125" s="489" t="s">
        <v>2302</v>
      </c>
      <c r="D125" s="495"/>
      <c r="E125" s="495"/>
    </row>
    <row r="126" spans="1:5">
      <c r="A126" s="486" t="s">
        <v>616</v>
      </c>
      <c r="B126" s="492"/>
      <c r="C126" s="487" t="s">
        <v>2303</v>
      </c>
      <c r="D126" s="493"/>
      <c r="E126" s="493"/>
    </row>
    <row r="127" spans="1:5">
      <c r="A127" s="488" t="s">
        <v>618</v>
      </c>
      <c r="B127" s="494"/>
      <c r="C127" s="489" t="s">
        <v>1026</v>
      </c>
      <c r="D127" s="495"/>
      <c r="E127" s="495"/>
    </row>
    <row r="128" spans="1:5">
      <c r="A128" s="486" t="s">
        <v>285</v>
      </c>
      <c r="B128" s="492"/>
      <c r="C128" s="487" t="s">
        <v>1059</v>
      </c>
      <c r="D128" s="493"/>
      <c r="E128" s="493"/>
    </row>
    <row r="129" spans="1:5">
      <c r="A129" s="488" t="s">
        <v>262</v>
      </c>
      <c r="B129" s="494"/>
      <c r="C129" s="489" t="s">
        <v>2304</v>
      </c>
      <c r="D129" s="495"/>
      <c r="E129" s="495"/>
    </row>
    <row r="130" spans="1:5">
      <c r="A130" s="486" t="s">
        <v>220</v>
      </c>
      <c r="B130" s="492"/>
      <c r="C130" s="487" t="s">
        <v>2305</v>
      </c>
      <c r="D130" s="493"/>
      <c r="E130" s="493"/>
    </row>
    <row r="131" spans="1:5">
      <c r="A131" s="488" t="s">
        <v>201</v>
      </c>
      <c r="B131" s="494"/>
      <c r="C131" s="489" t="s">
        <v>2306</v>
      </c>
      <c r="D131" s="495"/>
      <c r="E131" s="495"/>
    </row>
    <row r="132" spans="1:5">
      <c r="A132" s="486" t="s">
        <v>299</v>
      </c>
      <c r="B132" s="492"/>
      <c r="C132" s="487" t="s">
        <v>2307</v>
      </c>
      <c r="D132" s="493"/>
      <c r="E132" s="493"/>
    </row>
    <row r="133" spans="1:5">
      <c r="A133" s="488" t="s">
        <v>202</v>
      </c>
      <c r="B133" s="494"/>
      <c r="C133" s="489" t="s">
        <v>2308</v>
      </c>
      <c r="D133" s="495"/>
      <c r="E133" s="495"/>
    </row>
    <row r="134" spans="1:5">
      <c r="A134" s="486" t="s">
        <v>238</v>
      </c>
      <c r="B134" s="492"/>
      <c r="C134" s="487" t="s">
        <v>2309</v>
      </c>
      <c r="D134" s="493"/>
      <c r="E134" s="493"/>
    </row>
    <row r="135" spans="1:5">
      <c r="A135" s="488" t="s">
        <v>627</v>
      </c>
      <c r="B135" s="494"/>
      <c r="C135" s="489" t="s">
        <v>2310</v>
      </c>
      <c r="D135" s="495"/>
      <c r="E135" s="495"/>
    </row>
    <row r="136" spans="1:5">
      <c r="A136" s="486" t="s">
        <v>263</v>
      </c>
      <c r="B136" s="492"/>
      <c r="C136" s="487" t="s">
        <v>2311</v>
      </c>
      <c r="D136" s="493"/>
      <c r="E136" s="493"/>
    </row>
    <row r="137" spans="1:5">
      <c r="A137" s="488" t="s">
        <v>630</v>
      </c>
      <c r="B137" s="494"/>
      <c r="C137" s="489" t="s">
        <v>2312</v>
      </c>
      <c r="D137" s="495"/>
      <c r="E137" s="495"/>
    </row>
    <row r="138" spans="1:5">
      <c r="A138" s="486" t="s">
        <v>433</v>
      </c>
      <c r="B138" s="492"/>
      <c r="C138" s="487" t="s">
        <v>1451</v>
      </c>
      <c r="D138" s="493"/>
      <c r="E138" s="493"/>
    </row>
    <row r="139" spans="1:5">
      <c r="A139" s="488" t="s">
        <v>300</v>
      </c>
      <c r="B139" s="494"/>
      <c r="C139" s="489" t="s">
        <v>2313</v>
      </c>
      <c r="D139" s="495"/>
      <c r="E139" s="495"/>
    </row>
    <row r="140" spans="1:5">
      <c r="A140" s="486" t="s">
        <v>320</v>
      </c>
      <c r="B140" s="492"/>
      <c r="C140" s="487" t="s">
        <v>2314</v>
      </c>
      <c r="D140" s="493"/>
      <c r="E140" s="493"/>
    </row>
    <row r="141" spans="1:5">
      <c r="A141" s="488" t="s">
        <v>203</v>
      </c>
      <c r="B141" s="494"/>
      <c r="C141" s="489" t="s">
        <v>769</v>
      </c>
      <c r="D141" s="495"/>
      <c r="E141" s="495"/>
    </row>
    <row r="142" spans="1:5">
      <c r="A142" s="486" t="s">
        <v>204</v>
      </c>
      <c r="B142" s="492"/>
      <c r="C142" s="487" t="s">
        <v>2315</v>
      </c>
      <c r="D142" s="493"/>
      <c r="E142" s="493"/>
    </row>
    <row r="143" spans="1:5">
      <c r="A143" s="488" t="s">
        <v>301</v>
      </c>
      <c r="B143" s="494"/>
      <c r="C143" s="489" t="s">
        <v>2316</v>
      </c>
      <c r="D143" s="494"/>
      <c r="E143" s="497"/>
    </row>
    <row r="144" spans="1:5">
      <c r="A144" s="486" t="s">
        <v>264</v>
      </c>
      <c r="B144" s="492"/>
      <c r="C144" s="487" t="s">
        <v>2317</v>
      </c>
      <c r="D144" s="493"/>
      <c r="E144" s="493"/>
    </row>
    <row r="145" spans="1:5">
      <c r="A145" s="488" t="s">
        <v>639</v>
      </c>
      <c r="B145" s="494"/>
      <c r="C145" s="489" t="s">
        <v>2318</v>
      </c>
      <c r="D145" s="495"/>
      <c r="E145" s="495"/>
    </row>
    <row r="146" spans="1:5">
      <c r="A146" s="486" t="s">
        <v>641</v>
      </c>
      <c r="B146" s="492"/>
      <c r="C146" s="487" t="s">
        <v>2319</v>
      </c>
      <c r="D146" s="493"/>
      <c r="E146" s="493"/>
    </row>
    <row r="147" spans="1:5">
      <c r="A147" s="488" t="s">
        <v>643</v>
      </c>
      <c r="B147" s="494"/>
      <c r="C147" s="489" t="s">
        <v>2320</v>
      </c>
      <c r="D147" s="495"/>
      <c r="E147" s="495"/>
    </row>
    <row r="148" spans="1:5">
      <c r="A148" s="486" t="s">
        <v>265</v>
      </c>
      <c r="B148" s="492"/>
      <c r="C148" s="487" t="s">
        <v>2321</v>
      </c>
      <c r="D148" s="493"/>
      <c r="E148" s="493"/>
    </row>
    <row r="149" spans="1:5">
      <c r="A149" s="488" t="s">
        <v>646</v>
      </c>
      <c r="B149" s="494"/>
      <c r="C149" s="489" t="s">
        <v>2322</v>
      </c>
      <c r="D149" s="495"/>
      <c r="E149" s="495"/>
    </row>
    <row r="150" spans="1:5">
      <c r="A150" s="486" t="s">
        <v>231</v>
      </c>
      <c r="B150" s="492"/>
      <c r="C150" s="487" t="s">
        <v>2323</v>
      </c>
      <c r="D150" s="493"/>
      <c r="E150" s="493"/>
    </row>
    <row r="151" spans="1:5">
      <c r="A151" s="488" t="s">
        <v>239</v>
      </c>
      <c r="B151" s="494"/>
      <c r="C151" s="489" t="s">
        <v>951</v>
      </c>
      <c r="D151" s="495"/>
      <c r="E151" s="495"/>
    </row>
    <row r="152" spans="1:5">
      <c r="A152" s="486" t="s">
        <v>321</v>
      </c>
      <c r="B152" s="492"/>
      <c r="C152" s="487" t="s">
        <v>2324</v>
      </c>
      <c r="D152" s="493"/>
      <c r="E152" s="493"/>
    </row>
    <row r="153" spans="1:5">
      <c r="A153" s="488" t="s">
        <v>322</v>
      </c>
      <c r="B153" s="494"/>
      <c r="C153" s="489" t="s">
        <v>902</v>
      </c>
      <c r="D153" s="495"/>
      <c r="E153" s="495"/>
    </row>
    <row r="154" spans="1:5">
      <c r="A154" s="486" t="s">
        <v>323</v>
      </c>
      <c r="B154" s="492"/>
      <c r="C154" s="487" t="s">
        <v>2325</v>
      </c>
      <c r="D154" s="493"/>
      <c r="E154" s="493"/>
    </row>
    <row r="155" spans="1:5">
      <c r="A155" s="488" t="s">
        <v>434</v>
      </c>
      <c r="B155" s="494"/>
      <c r="C155" s="489" t="s">
        <v>2326</v>
      </c>
      <c r="D155" s="495"/>
      <c r="E155" s="495"/>
    </row>
    <row r="156" spans="1:5">
      <c r="A156" s="486" t="s">
        <v>266</v>
      </c>
      <c r="B156" s="492"/>
      <c r="C156" s="487" t="s">
        <v>519</v>
      </c>
      <c r="D156" s="493"/>
      <c r="E156" s="493"/>
    </row>
    <row r="157" spans="1:5">
      <c r="A157" s="488" t="s">
        <v>655</v>
      </c>
      <c r="B157" s="494"/>
      <c r="C157" s="489" t="s">
        <v>2327</v>
      </c>
      <c r="D157" s="495"/>
      <c r="E157" s="495"/>
    </row>
    <row r="158" spans="1:5">
      <c r="A158" s="486" t="s">
        <v>267</v>
      </c>
      <c r="B158" s="492"/>
      <c r="C158" s="487" t="s">
        <v>2328</v>
      </c>
      <c r="D158" s="493"/>
      <c r="E158" s="493"/>
    </row>
    <row r="159" spans="1:5">
      <c r="A159" s="488" t="s">
        <v>269</v>
      </c>
      <c r="B159" s="494"/>
      <c r="C159" s="489" t="s">
        <v>2329</v>
      </c>
      <c r="D159" s="495"/>
      <c r="E159" s="495"/>
    </row>
    <row r="160" spans="1:5">
      <c r="A160" s="486" t="s">
        <v>659</v>
      </c>
      <c r="B160" s="492"/>
      <c r="C160" s="487" t="s">
        <v>2330</v>
      </c>
      <c r="D160" s="493"/>
      <c r="E160" s="493"/>
    </row>
    <row r="161" spans="1:5">
      <c r="A161" s="488" t="s">
        <v>205</v>
      </c>
      <c r="B161" s="494"/>
      <c r="C161" s="489" t="s">
        <v>2331</v>
      </c>
      <c r="D161" s="495"/>
      <c r="E161" s="495"/>
    </row>
    <row r="162" spans="1:5">
      <c r="A162" s="486" t="s">
        <v>436</v>
      </c>
      <c r="B162" s="492"/>
      <c r="C162" s="487" t="s">
        <v>2332</v>
      </c>
      <c r="D162" s="493"/>
      <c r="E162" s="493"/>
    </row>
    <row r="163" spans="1:5">
      <c r="A163" s="488" t="s">
        <v>437</v>
      </c>
      <c r="B163" s="494"/>
      <c r="C163" s="489" t="s">
        <v>2333</v>
      </c>
      <c r="D163" s="495"/>
      <c r="E163" s="495"/>
    </row>
    <row r="164" spans="1:5">
      <c r="A164" s="486" t="s">
        <v>438</v>
      </c>
      <c r="B164" s="492"/>
      <c r="C164" s="487" t="s">
        <v>2334</v>
      </c>
      <c r="D164" s="492"/>
      <c r="E164" s="496"/>
    </row>
    <row r="165" spans="1:5">
      <c r="A165" s="488" t="s">
        <v>439</v>
      </c>
      <c r="B165" s="494"/>
      <c r="C165" s="489" t="s">
        <v>2335</v>
      </c>
      <c r="D165" s="495"/>
      <c r="E165" s="495"/>
    </row>
    <row r="166" spans="1:5">
      <c r="A166" s="486" t="s">
        <v>206</v>
      </c>
      <c r="B166" s="492"/>
      <c r="C166" s="487" t="s">
        <v>2336</v>
      </c>
      <c r="D166" s="493"/>
      <c r="E166" s="493"/>
    </row>
    <row r="167" spans="1:5">
      <c r="A167" s="488" t="s">
        <v>232</v>
      </c>
      <c r="B167" s="494"/>
      <c r="C167" s="489" t="s">
        <v>2337</v>
      </c>
      <c r="D167" s="495"/>
      <c r="E167" s="495"/>
    </row>
    <row r="168" spans="1:5">
      <c r="A168" s="486" t="s">
        <v>207</v>
      </c>
      <c r="B168" s="492"/>
      <c r="C168" s="487" t="s">
        <v>2338</v>
      </c>
      <c r="D168" s="492"/>
      <c r="E168" s="496"/>
    </row>
    <row r="169" spans="1:5">
      <c r="A169" s="488" t="s">
        <v>271</v>
      </c>
      <c r="B169" s="494"/>
      <c r="C169" s="489" t="s">
        <v>2339</v>
      </c>
      <c r="D169" s="495"/>
      <c r="E169" s="495"/>
    </row>
    <row r="170" spans="1:5">
      <c r="A170" s="486" t="s">
        <v>670</v>
      </c>
      <c r="B170" s="492"/>
      <c r="C170" s="487" t="s">
        <v>2340</v>
      </c>
      <c r="D170" s="493"/>
      <c r="E170" s="493"/>
    </row>
    <row r="171" spans="1:5">
      <c r="A171" s="488" t="s">
        <v>208</v>
      </c>
      <c r="B171" s="494"/>
      <c r="C171" s="489" t="s">
        <v>2341</v>
      </c>
      <c r="D171" s="495"/>
      <c r="E171" s="495"/>
    </row>
    <row r="172" spans="1:5">
      <c r="A172" s="486" t="s">
        <v>272</v>
      </c>
      <c r="B172" s="492"/>
      <c r="C172" s="487" t="s">
        <v>2342</v>
      </c>
      <c r="D172" s="493"/>
      <c r="E172" s="493"/>
    </row>
    <row r="173" spans="1:5">
      <c r="A173" s="488" t="s">
        <v>273</v>
      </c>
      <c r="B173" s="494"/>
      <c r="C173" s="489" t="s">
        <v>2343</v>
      </c>
      <c r="D173" s="495"/>
      <c r="E173" s="495"/>
    </row>
    <row r="174" spans="1:5">
      <c r="A174" s="486" t="s">
        <v>675</v>
      </c>
      <c r="B174" s="492"/>
      <c r="C174" s="487" t="s">
        <v>2344</v>
      </c>
      <c r="D174" s="493"/>
      <c r="E174" s="493"/>
    </row>
    <row r="175" spans="1:5">
      <c r="A175" s="488" t="s">
        <v>440</v>
      </c>
      <c r="B175" s="494"/>
      <c r="C175" s="489" t="s">
        <v>2345</v>
      </c>
      <c r="D175" s="494"/>
      <c r="E175" s="497"/>
    </row>
    <row r="176" spans="1:5">
      <c r="A176" s="486" t="s">
        <v>210</v>
      </c>
      <c r="B176" s="492"/>
      <c r="C176" s="487" t="s">
        <v>1583</v>
      </c>
      <c r="D176" s="493"/>
      <c r="E176" s="493"/>
    </row>
    <row r="177" spans="1:5">
      <c r="A177" s="488" t="s">
        <v>679</v>
      </c>
      <c r="B177" s="494"/>
      <c r="C177" s="489" t="s">
        <v>2346</v>
      </c>
      <c r="D177" s="495"/>
      <c r="E177" s="495"/>
    </row>
    <row r="178" spans="1:5">
      <c r="A178" s="486" t="s">
        <v>681</v>
      </c>
      <c r="B178" s="492"/>
      <c r="C178" s="487" t="s">
        <v>2347</v>
      </c>
      <c r="D178" s="493"/>
      <c r="E178" s="493"/>
    </row>
    <row r="179" spans="1:5">
      <c r="A179" s="488" t="s">
        <v>304</v>
      </c>
      <c r="B179" s="494"/>
      <c r="C179" s="489" t="s">
        <v>2348</v>
      </c>
      <c r="D179" s="495"/>
      <c r="E179" s="495"/>
    </row>
    <row r="180" spans="1:5">
      <c r="A180" s="486" t="s">
        <v>684</v>
      </c>
      <c r="B180" s="492"/>
      <c r="C180" s="487" t="s">
        <v>2349</v>
      </c>
      <c r="D180" s="493"/>
      <c r="E180" s="493"/>
    </row>
    <row r="181" spans="1:5">
      <c r="A181" s="488" t="s">
        <v>686</v>
      </c>
      <c r="B181" s="494"/>
      <c r="C181" s="489" t="s">
        <v>2350</v>
      </c>
      <c r="D181" s="495"/>
      <c r="E181" s="495"/>
    </row>
    <row r="182" spans="1:5">
      <c r="A182" s="486" t="s">
        <v>688</v>
      </c>
      <c r="B182" s="492"/>
      <c r="C182" s="487" t="s">
        <v>2351</v>
      </c>
      <c r="D182" s="493"/>
      <c r="E182" s="493"/>
    </row>
    <row r="183" spans="1:5">
      <c r="A183" s="488" t="s">
        <v>274</v>
      </c>
      <c r="B183" s="494"/>
      <c r="C183" s="489" t="s">
        <v>2352</v>
      </c>
      <c r="D183" s="495"/>
      <c r="E183" s="495"/>
    </row>
    <row r="184" spans="1:5">
      <c r="A184" s="486" t="s">
        <v>441</v>
      </c>
      <c r="B184" s="492"/>
      <c r="C184" s="487" t="s">
        <v>2353</v>
      </c>
      <c r="D184" s="493"/>
      <c r="E184" s="493"/>
    </row>
    <row r="185" spans="1:5">
      <c r="A185" s="488" t="s">
        <v>221</v>
      </c>
      <c r="B185" s="494"/>
      <c r="C185" s="489" t="s">
        <v>1104</v>
      </c>
      <c r="D185" s="495"/>
      <c r="E185" s="495"/>
    </row>
    <row r="186" spans="1:5">
      <c r="A186" s="486" t="s">
        <v>693</v>
      </c>
      <c r="B186" s="492"/>
      <c r="C186" s="487" t="s">
        <v>2354</v>
      </c>
      <c r="D186" s="493"/>
      <c r="E186" s="493"/>
    </row>
    <row r="187" spans="1:5">
      <c r="A187" s="488" t="s">
        <v>324</v>
      </c>
      <c r="B187" s="494"/>
      <c r="C187" s="489" t="s">
        <v>2355</v>
      </c>
      <c r="D187" s="494"/>
      <c r="E187" s="497"/>
    </row>
    <row r="188" spans="1:5">
      <c r="A188" s="486" t="s">
        <v>275</v>
      </c>
      <c r="B188" s="492"/>
      <c r="C188" s="487" t="s">
        <v>2356</v>
      </c>
      <c r="D188" s="493"/>
      <c r="E188" s="493"/>
    </row>
    <row r="189" spans="1:5">
      <c r="A189" s="488" t="s">
        <v>276</v>
      </c>
      <c r="B189" s="494"/>
      <c r="C189" s="489" t="s">
        <v>2357</v>
      </c>
      <c r="D189" s="495"/>
      <c r="E189" s="495"/>
    </row>
    <row r="190" spans="1:5">
      <c r="A190" s="486" t="s">
        <v>698</v>
      </c>
      <c r="B190" s="492"/>
      <c r="C190" s="487" t="s">
        <v>2358</v>
      </c>
      <c r="D190" s="493"/>
      <c r="E190" s="493"/>
    </row>
    <row r="191" spans="1:5">
      <c r="A191" s="488" t="s">
        <v>286</v>
      </c>
      <c r="B191" s="494"/>
      <c r="C191" s="489" t="s">
        <v>2359</v>
      </c>
      <c r="D191" s="495"/>
      <c r="E191" s="495"/>
    </row>
    <row r="192" spans="1:5">
      <c r="A192" s="486" t="s">
        <v>212</v>
      </c>
      <c r="B192" s="492"/>
      <c r="C192" s="487" t="s">
        <v>2360</v>
      </c>
      <c r="D192" s="493"/>
      <c r="E192" s="493"/>
    </row>
    <row r="193" spans="1:5">
      <c r="A193" s="488" t="s">
        <v>305</v>
      </c>
      <c r="B193" s="494"/>
      <c r="C193" s="489" t="s">
        <v>2361</v>
      </c>
      <c r="D193" s="495"/>
      <c r="E193" s="495"/>
    </row>
    <row r="194" spans="1:5">
      <c r="A194" s="486" t="s">
        <v>703</v>
      </c>
      <c r="B194" s="492"/>
      <c r="C194" s="487" t="s">
        <v>605</v>
      </c>
      <c r="D194" s="493"/>
      <c r="E194" s="493"/>
    </row>
    <row r="195" spans="1:5">
      <c r="A195" s="488" t="s">
        <v>213</v>
      </c>
      <c r="B195" s="494"/>
      <c r="C195" s="489" t="s">
        <v>2272</v>
      </c>
      <c r="D195" s="495"/>
      <c r="E195" s="495"/>
    </row>
    <row r="196" spans="1:5">
      <c r="A196" s="486" t="s">
        <v>443</v>
      </c>
      <c r="B196" s="492"/>
      <c r="C196" s="487" t="s">
        <v>2362</v>
      </c>
      <c r="D196" s="493"/>
      <c r="E196" s="493"/>
    </row>
    <row r="197" spans="1:5">
      <c r="A197" s="488" t="s">
        <v>222</v>
      </c>
      <c r="B197" s="494"/>
      <c r="C197" s="489" t="s">
        <v>2363</v>
      </c>
      <c r="D197" s="495"/>
      <c r="E197" s="495"/>
    </row>
    <row r="198" spans="1:5">
      <c r="A198" s="486" t="s">
        <v>288</v>
      </c>
      <c r="B198" s="492"/>
      <c r="C198" s="487" t="s">
        <v>2364</v>
      </c>
      <c r="D198" s="493"/>
      <c r="E198" s="493"/>
    </row>
    <row r="199" spans="1:5">
      <c r="A199" s="488" t="s">
        <v>289</v>
      </c>
      <c r="B199" s="494"/>
      <c r="C199" s="489" t="s">
        <v>2365</v>
      </c>
      <c r="D199" s="494"/>
      <c r="E199" s="497"/>
    </row>
    <row r="200" spans="1:5">
      <c r="A200" s="486" t="s">
        <v>710</v>
      </c>
      <c r="B200" s="492"/>
      <c r="C200" s="487" t="s">
        <v>2366</v>
      </c>
      <c r="D200" s="493"/>
      <c r="E200" s="493"/>
    </row>
    <row r="201" spans="1:5">
      <c r="A201" s="488" t="s">
        <v>214</v>
      </c>
      <c r="B201" s="494"/>
      <c r="C201" s="489" t="s">
        <v>2367</v>
      </c>
      <c r="D201" s="495"/>
      <c r="E201" s="495"/>
    </row>
    <row r="202" spans="1:5">
      <c r="A202" s="486" t="s">
        <v>277</v>
      </c>
      <c r="B202" s="492"/>
      <c r="C202" s="487" t="s">
        <v>2368</v>
      </c>
      <c r="D202" s="493"/>
      <c r="E202" s="493"/>
    </row>
    <row r="203" spans="1:5">
      <c r="A203" s="488" t="s">
        <v>444</v>
      </c>
      <c r="B203" s="494"/>
      <c r="C203" s="489" t="s">
        <v>2369</v>
      </c>
      <c r="D203" s="495"/>
      <c r="E203" s="495"/>
    </row>
    <row r="204" spans="1:5">
      <c r="A204" s="486" t="s">
        <v>715</v>
      </c>
      <c r="B204" s="492"/>
      <c r="C204" s="487" t="s">
        <v>2370</v>
      </c>
      <c r="D204" s="492"/>
      <c r="E204" s="492"/>
    </row>
    <row r="205" spans="1:5">
      <c r="A205" s="488" t="s">
        <v>717</v>
      </c>
      <c r="B205" s="494"/>
      <c r="C205" s="489" t="s">
        <v>2371</v>
      </c>
      <c r="D205" s="495"/>
      <c r="E205" s="495"/>
    </row>
    <row r="206" spans="1:5">
      <c r="A206" s="486" t="s">
        <v>325</v>
      </c>
      <c r="B206" s="492"/>
      <c r="C206" s="487" t="s">
        <v>2372</v>
      </c>
      <c r="D206" s="493"/>
      <c r="E206" s="493"/>
    </row>
    <row r="207" spans="1:5">
      <c r="A207" s="488" t="s">
        <v>287</v>
      </c>
      <c r="B207" s="494"/>
      <c r="C207" s="489" t="s">
        <v>1080</v>
      </c>
      <c r="D207" s="495"/>
      <c r="E207" s="495"/>
    </row>
    <row r="208" spans="1:5">
      <c r="A208" s="486" t="s">
        <v>448</v>
      </c>
      <c r="B208" s="492"/>
      <c r="C208" s="487" t="s">
        <v>2373</v>
      </c>
      <c r="D208" s="493"/>
      <c r="E208" s="492"/>
    </row>
    <row r="209" spans="1:5">
      <c r="A209" s="488" t="s">
        <v>326</v>
      </c>
      <c r="B209" s="494"/>
      <c r="C209" s="489" t="s">
        <v>2374</v>
      </c>
      <c r="D209" s="494"/>
      <c r="E209" s="497"/>
    </row>
    <row r="210" spans="1:5">
      <c r="A210" s="486" t="s">
        <v>306</v>
      </c>
      <c r="B210" s="492"/>
      <c r="C210" s="487" t="s">
        <v>2375</v>
      </c>
      <c r="D210" s="493"/>
      <c r="E210" s="493"/>
    </row>
    <row r="211" spans="1:5">
      <c r="A211" s="488" t="s">
        <v>724</v>
      </c>
      <c r="B211" s="494"/>
      <c r="C211" s="489" t="s">
        <v>2376</v>
      </c>
      <c r="D211" s="495"/>
      <c r="E211" s="495"/>
    </row>
    <row r="212" spans="1:5">
      <c r="A212" s="486" t="s">
        <v>726</v>
      </c>
      <c r="B212" s="492"/>
      <c r="C212" s="487" t="s">
        <v>2377</v>
      </c>
      <c r="D212" s="493"/>
      <c r="E212" s="493"/>
    </row>
    <row r="213" spans="1:5">
      <c r="A213" s="488" t="s">
        <v>728</v>
      </c>
      <c r="B213" s="494"/>
      <c r="C213" s="489" t="s">
        <v>2378</v>
      </c>
      <c r="D213" s="495"/>
      <c r="E213" s="495"/>
    </row>
    <row r="214" spans="1:5">
      <c r="A214" s="486" t="s">
        <v>235</v>
      </c>
      <c r="B214" s="492"/>
      <c r="C214" s="487" t="s">
        <v>2379</v>
      </c>
      <c r="D214" s="493"/>
      <c r="E214" s="493"/>
    </row>
    <row r="215" spans="1:5">
      <c r="A215" s="488" t="s">
        <v>731</v>
      </c>
      <c r="B215" s="494"/>
      <c r="C215" s="489" t="s">
        <v>2380</v>
      </c>
      <c r="D215" s="495"/>
      <c r="E215" s="495"/>
    </row>
    <row r="216" spans="1:5">
      <c r="A216" s="486" t="s">
        <v>215</v>
      </c>
      <c r="B216" s="492"/>
      <c r="C216" s="487" t="s">
        <v>2381</v>
      </c>
      <c r="D216" s="493"/>
      <c r="E216" s="493"/>
    </row>
    <row r="217" spans="1:5">
      <c r="A217" s="488" t="s">
        <v>216</v>
      </c>
      <c r="B217" s="494"/>
      <c r="C217" s="489" t="s">
        <v>2382</v>
      </c>
      <c r="D217" s="495"/>
      <c r="E217" s="495"/>
    </row>
    <row r="218" spans="1:5">
      <c r="A218" s="498">
        <v>1961</v>
      </c>
      <c r="C218" s="185"/>
    </row>
    <row r="219" spans="1:5">
      <c r="A219" s="498">
        <v>2017</v>
      </c>
      <c r="C219" s="185"/>
    </row>
    <row r="220" spans="1:5">
      <c r="A220" s="499" t="s">
        <v>1145</v>
      </c>
      <c r="C220" s="185"/>
    </row>
    <row r="221" spans="1:5">
      <c r="A221" s="499" t="s">
        <v>1146</v>
      </c>
      <c r="C221" s="185"/>
    </row>
    <row r="222" spans="1:5">
      <c r="A222" s="500" t="s">
        <v>1147</v>
      </c>
      <c r="C222" s="185"/>
    </row>
    <row r="223" spans="1:5">
      <c r="A223" s="499" t="s">
        <v>1148</v>
      </c>
      <c r="C223" s="185"/>
    </row>
    <row r="224" spans="1:5">
      <c r="A224" s="499" t="s">
        <v>1149</v>
      </c>
      <c r="C224" s="185"/>
    </row>
    <row r="225" spans="1:3">
      <c r="A225" s="501" t="s">
        <v>2383</v>
      </c>
      <c r="C225" s="185"/>
    </row>
    <row r="226" spans="1:3">
      <c r="A226" s="547"/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 ht="12.75">
      <c r="C1" s="185"/>
    </row>
    <row r="2" spans="1:5" ht="12.75">
      <c r="A2" s="486" t="s">
        <v>279</v>
      </c>
      <c r="B2" s="492"/>
      <c r="C2" s="487" t="s">
        <v>2384</v>
      </c>
      <c r="D2" s="492"/>
      <c r="E2" s="496"/>
    </row>
    <row r="3" spans="1:5" ht="12.75">
      <c r="A3" s="488" t="s">
        <v>468</v>
      </c>
      <c r="B3" s="494"/>
      <c r="C3" s="489" t="s">
        <v>2385</v>
      </c>
      <c r="D3" s="495"/>
      <c r="E3" s="495"/>
    </row>
    <row r="4" spans="1:5" ht="12.75">
      <c r="A4" s="486" t="s">
        <v>240</v>
      </c>
      <c r="B4" s="492"/>
      <c r="C4" s="487" t="s">
        <v>2386</v>
      </c>
      <c r="D4" s="493"/>
      <c r="E4" s="493"/>
    </row>
    <row r="5" spans="1:5" ht="12.75">
      <c r="A5" s="488" t="s">
        <v>219</v>
      </c>
      <c r="B5" s="494"/>
      <c r="C5" s="489" t="s">
        <v>2387</v>
      </c>
      <c r="D5" s="495"/>
      <c r="E5" s="495"/>
    </row>
    <row r="6" spans="1:5" ht="12.75">
      <c r="A6" s="486" t="s">
        <v>472</v>
      </c>
      <c r="B6" s="492"/>
      <c r="C6" s="487" t="s">
        <v>2388</v>
      </c>
      <c r="D6" s="493"/>
      <c r="E6" s="493"/>
    </row>
    <row r="7" spans="1:5" ht="12.75">
      <c r="A7" s="488" t="s">
        <v>173</v>
      </c>
      <c r="B7" s="494"/>
      <c r="C7" s="489" t="s">
        <v>2389</v>
      </c>
      <c r="D7" s="495"/>
      <c r="E7" s="495"/>
    </row>
    <row r="8" spans="1:5" ht="12.75">
      <c r="A8" s="486" t="s">
        <v>405</v>
      </c>
      <c r="B8" s="492"/>
      <c r="C8" s="487" t="s">
        <v>2390</v>
      </c>
      <c r="D8" s="493"/>
      <c r="E8" s="493"/>
    </row>
    <row r="9" spans="1:5" ht="12.75">
      <c r="A9" s="488" t="s">
        <v>307</v>
      </c>
      <c r="B9" s="494"/>
      <c r="C9" s="489" t="s">
        <v>2391</v>
      </c>
      <c r="D9" s="494"/>
      <c r="E9" s="494"/>
    </row>
    <row r="10" spans="1:5" ht="12.75">
      <c r="A10" s="486" t="s">
        <v>280</v>
      </c>
      <c r="B10" s="492"/>
      <c r="C10" s="487" t="s">
        <v>2392</v>
      </c>
      <c r="D10" s="493"/>
      <c r="E10" s="493"/>
    </row>
    <row r="11" spans="1:5" ht="12.75">
      <c r="A11" s="488" t="s">
        <v>478</v>
      </c>
      <c r="B11" s="494"/>
      <c r="C11" s="489" t="s">
        <v>2393</v>
      </c>
      <c r="D11" s="495"/>
      <c r="E11" s="495"/>
    </row>
    <row r="12" spans="1:5" ht="12.75">
      <c r="A12" s="486" t="s">
        <v>480</v>
      </c>
      <c r="B12" s="492"/>
      <c r="C12" s="487" t="s">
        <v>2394</v>
      </c>
      <c r="D12" s="493"/>
      <c r="E12" s="493"/>
    </row>
    <row r="13" spans="1:5" ht="12.75">
      <c r="A13" s="488" t="s">
        <v>292</v>
      </c>
      <c r="B13" s="494"/>
      <c r="C13" s="489" t="s">
        <v>2395</v>
      </c>
      <c r="D13" s="495"/>
      <c r="E13" s="495"/>
    </row>
    <row r="14" spans="1:5" ht="12.75">
      <c r="A14" s="486" t="s">
        <v>483</v>
      </c>
      <c r="B14" s="492"/>
      <c r="C14" s="487" t="s">
        <v>2396</v>
      </c>
      <c r="D14" s="493"/>
      <c r="E14" s="493"/>
    </row>
    <row r="15" spans="1:5" ht="12.75">
      <c r="A15" s="488" t="s">
        <v>241</v>
      </c>
      <c r="B15" s="494"/>
      <c r="C15" s="489" t="s">
        <v>2397</v>
      </c>
      <c r="D15" s="495"/>
      <c r="E15" s="495"/>
    </row>
    <row r="16" spans="1:5" ht="12.75">
      <c r="A16" s="486" t="s">
        <v>406</v>
      </c>
      <c r="B16" s="492"/>
      <c r="C16" s="487" t="s">
        <v>2398</v>
      </c>
      <c r="D16" s="492"/>
      <c r="E16" s="496"/>
    </row>
    <row r="17" spans="1:5" ht="12.75">
      <c r="A17" s="488" t="s">
        <v>407</v>
      </c>
      <c r="B17" s="494"/>
      <c r="C17" s="489" t="s">
        <v>2399</v>
      </c>
      <c r="D17" s="495"/>
      <c r="E17" s="495"/>
    </row>
    <row r="18" spans="1:5" ht="12.75">
      <c r="A18" s="486" t="s">
        <v>236</v>
      </c>
      <c r="B18" s="492"/>
      <c r="C18" s="487" t="s">
        <v>2400</v>
      </c>
      <c r="D18" s="493"/>
      <c r="E18" s="493"/>
    </row>
    <row r="19" spans="1:5" ht="12.75">
      <c r="A19" s="488" t="s">
        <v>408</v>
      </c>
      <c r="B19" s="494"/>
      <c r="C19" s="489" t="s">
        <v>2401</v>
      </c>
      <c r="D19" s="495"/>
      <c r="E19" s="495"/>
    </row>
    <row r="20" spans="1:5" ht="12.75">
      <c r="A20" s="486" t="s">
        <v>242</v>
      </c>
      <c r="B20" s="492"/>
      <c r="C20" s="487" t="s">
        <v>2402</v>
      </c>
      <c r="D20" s="493"/>
      <c r="E20" s="493"/>
    </row>
    <row r="21" spans="1:5" ht="12.75">
      <c r="A21" s="488" t="s">
        <v>243</v>
      </c>
      <c r="B21" s="494"/>
      <c r="C21" s="489" t="s">
        <v>2403</v>
      </c>
      <c r="D21" s="494"/>
      <c r="E21" s="497"/>
    </row>
    <row r="22" spans="1:5" ht="12.75">
      <c r="A22" s="486" t="s">
        <v>492</v>
      </c>
      <c r="B22" s="492"/>
      <c r="C22" s="487" t="s">
        <v>2404</v>
      </c>
      <c r="D22" s="493"/>
      <c r="E22" s="493"/>
    </row>
    <row r="23" spans="1:5" ht="12.75">
      <c r="A23" s="488" t="s">
        <v>308</v>
      </c>
      <c r="B23" s="494"/>
      <c r="C23" s="489" t="s">
        <v>2405</v>
      </c>
      <c r="D23" s="495"/>
      <c r="E23" s="495"/>
    </row>
    <row r="24" spans="1:5" ht="12.75">
      <c r="A24" s="486" t="s">
        <v>174</v>
      </c>
      <c r="B24" s="492"/>
      <c r="C24" s="487" t="s">
        <v>2406</v>
      </c>
      <c r="D24" s="493"/>
      <c r="E24" s="493"/>
    </row>
    <row r="25" spans="1:5" ht="12.75">
      <c r="A25" s="488" t="s">
        <v>496</v>
      </c>
      <c r="B25" s="494"/>
      <c r="C25" s="489" t="s">
        <v>2407</v>
      </c>
      <c r="D25" s="495"/>
      <c r="E25" s="495"/>
    </row>
    <row r="26" spans="1:5" ht="12.75">
      <c r="A26" s="486" t="s">
        <v>498</v>
      </c>
      <c r="B26" s="492"/>
      <c r="C26" s="487" t="s">
        <v>2408</v>
      </c>
      <c r="D26" s="493"/>
      <c r="E26" s="493"/>
    </row>
    <row r="27" spans="1:5" ht="12.75">
      <c r="A27" s="488" t="s">
        <v>244</v>
      </c>
      <c r="B27" s="494"/>
      <c r="C27" s="489" t="s">
        <v>2409</v>
      </c>
      <c r="D27" s="495"/>
      <c r="E27" s="495"/>
    </row>
    <row r="28" spans="1:5" ht="12.75">
      <c r="A28" s="486" t="s">
        <v>175</v>
      </c>
      <c r="B28" s="492"/>
      <c r="C28" s="487" t="s">
        <v>2410</v>
      </c>
      <c r="D28" s="493"/>
      <c r="E28" s="493"/>
    </row>
    <row r="29" spans="1:5" ht="12.75">
      <c r="A29" s="488" t="s">
        <v>310</v>
      </c>
      <c r="B29" s="494"/>
      <c r="C29" s="489" t="s">
        <v>2411</v>
      </c>
      <c r="D29" s="495"/>
      <c r="E29" s="495"/>
    </row>
    <row r="30" spans="1:5" ht="12.75">
      <c r="A30" s="486" t="s">
        <v>293</v>
      </c>
      <c r="B30" s="492"/>
      <c r="C30" s="487" t="s">
        <v>2412</v>
      </c>
      <c r="D30" s="493"/>
      <c r="E30" s="493"/>
    </row>
    <row r="31" spans="1:5" ht="12.75">
      <c r="A31" s="488" t="s">
        <v>245</v>
      </c>
      <c r="B31" s="494"/>
      <c r="C31" s="489" t="s">
        <v>2413</v>
      </c>
      <c r="D31" s="494"/>
      <c r="E31" s="497"/>
    </row>
    <row r="32" spans="1:5" ht="12.75">
      <c r="A32" s="486" t="s">
        <v>176</v>
      </c>
      <c r="B32" s="492"/>
      <c r="C32" s="487" t="s">
        <v>976</v>
      </c>
      <c r="D32" s="493"/>
      <c r="E32" s="493"/>
    </row>
    <row r="33" spans="1:5" ht="12.75">
      <c r="A33" s="488" t="s">
        <v>294</v>
      </c>
      <c r="B33" s="494"/>
      <c r="C33" s="489" t="s">
        <v>2414</v>
      </c>
      <c r="D33" s="494"/>
      <c r="E33" s="497"/>
    </row>
    <row r="34" spans="1:5" ht="12.75">
      <c r="A34" s="486" t="s">
        <v>178</v>
      </c>
      <c r="B34" s="492"/>
      <c r="C34" s="487" t="s">
        <v>2415</v>
      </c>
      <c r="D34" s="493"/>
      <c r="E34" s="493"/>
    </row>
    <row r="35" spans="1:5" ht="12.75">
      <c r="A35" s="488" t="s">
        <v>290</v>
      </c>
      <c r="B35" s="494"/>
      <c r="C35" s="489" t="s">
        <v>2416</v>
      </c>
      <c r="D35" s="495"/>
      <c r="E35" s="495"/>
    </row>
    <row r="36" spans="1:5" ht="12.75">
      <c r="A36" s="486" t="s">
        <v>179</v>
      </c>
      <c r="B36" s="492"/>
      <c r="C36" s="487" t="s">
        <v>2417</v>
      </c>
      <c r="D36" s="493"/>
      <c r="E36" s="493"/>
    </row>
    <row r="37" spans="1:5" ht="12.75">
      <c r="A37" s="488" t="s">
        <v>510</v>
      </c>
      <c r="B37" s="494"/>
      <c r="C37" s="489" t="s">
        <v>2418</v>
      </c>
      <c r="D37" s="495"/>
      <c r="E37" s="495"/>
    </row>
    <row r="38" spans="1:5" ht="12.75">
      <c r="A38" s="486" t="s">
        <v>180</v>
      </c>
      <c r="B38" s="492"/>
      <c r="C38" s="487" t="s">
        <v>2419</v>
      </c>
      <c r="D38" s="492"/>
      <c r="E38" s="496"/>
    </row>
    <row r="39" spans="1:5" ht="12.75">
      <c r="A39" s="488" t="s">
        <v>513</v>
      </c>
      <c r="B39" s="494"/>
      <c r="C39" s="489" t="s">
        <v>2420</v>
      </c>
      <c r="D39" s="495"/>
      <c r="E39" s="495"/>
    </row>
    <row r="40" spans="1:5" ht="12.75">
      <c r="A40" s="486" t="s">
        <v>181</v>
      </c>
      <c r="B40" s="492"/>
      <c r="C40" s="487" t="s">
        <v>2421</v>
      </c>
      <c r="D40" s="492"/>
      <c r="E40" s="496"/>
    </row>
    <row r="41" spans="1:5" ht="12.75">
      <c r="A41" s="488" t="s">
        <v>311</v>
      </c>
      <c r="B41" s="494"/>
      <c r="C41" s="489" t="s">
        <v>2422</v>
      </c>
      <c r="D41" s="495"/>
      <c r="E41" s="495"/>
    </row>
    <row r="42" spans="1:5" ht="12.75">
      <c r="A42" s="486" t="s">
        <v>295</v>
      </c>
      <c r="B42" s="492"/>
      <c r="C42" s="487" t="s">
        <v>2423</v>
      </c>
      <c r="D42" s="493"/>
      <c r="E42" s="493"/>
    </row>
    <row r="43" spans="1:5" ht="12.75">
      <c r="A43" s="488" t="s">
        <v>312</v>
      </c>
      <c r="B43" s="494"/>
      <c r="C43" s="489" t="s">
        <v>2424</v>
      </c>
      <c r="D43" s="495"/>
      <c r="E43" s="495"/>
    </row>
    <row r="44" spans="1:5" ht="12.75">
      <c r="A44" s="486" t="s">
        <v>415</v>
      </c>
      <c r="B44" s="492"/>
      <c r="C44" s="487" t="s">
        <v>2425</v>
      </c>
      <c r="D44" s="493"/>
      <c r="E44" s="493"/>
    </row>
    <row r="45" spans="1:5" ht="12.75">
      <c r="A45" s="488" t="s">
        <v>313</v>
      </c>
      <c r="B45" s="494"/>
      <c r="C45" s="489" t="s">
        <v>2426</v>
      </c>
      <c r="D45" s="495"/>
      <c r="E45" s="495"/>
    </row>
    <row r="46" spans="1:5" ht="12.75">
      <c r="A46" s="486" t="s">
        <v>521</v>
      </c>
      <c r="B46" s="492"/>
      <c r="C46" s="487" t="s">
        <v>2427</v>
      </c>
      <c r="D46" s="492"/>
      <c r="E46" s="496"/>
    </row>
    <row r="47" spans="1:5" ht="12.75">
      <c r="A47" s="488" t="s">
        <v>246</v>
      </c>
      <c r="B47" s="494"/>
      <c r="C47" s="489" t="s">
        <v>2428</v>
      </c>
      <c r="D47" s="495"/>
      <c r="E47" s="495"/>
    </row>
    <row r="48" spans="1:5" ht="12.75">
      <c r="A48" s="486" t="s">
        <v>416</v>
      </c>
      <c r="B48" s="492"/>
      <c r="C48" s="487" t="s">
        <v>2429</v>
      </c>
      <c r="D48" s="493"/>
      <c r="E48" s="493"/>
    </row>
    <row r="49" spans="1:5" ht="12.75">
      <c r="A49" s="488" t="s">
        <v>417</v>
      </c>
      <c r="B49" s="494"/>
      <c r="C49" s="489" t="s">
        <v>2430</v>
      </c>
      <c r="D49" s="494"/>
      <c r="E49" s="497"/>
    </row>
    <row r="50" spans="1:5" ht="12.75">
      <c r="A50" s="486" t="s">
        <v>247</v>
      </c>
      <c r="B50" s="492"/>
      <c r="C50" s="487" t="s">
        <v>2431</v>
      </c>
      <c r="D50" s="492"/>
      <c r="E50" s="496"/>
    </row>
    <row r="51" spans="1:5" ht="12.75">
      <c r="A51" s="488" t="s">
        <v>527</v>
      </c>
      <c r="B51" s="494"/>
      <c r="C51" s="489" t="s">
        <v>2432</v>
      </c>
      <c r="D51" s="495"/>
      <c r="E51" s="495"/>
    </row>
    <row r="52" spans="1:5" ht="12.75">
      <c r="A52" s="486" t="s">
        <v>248</v>
      </c>
      <c r="B52" s="492"/>
      <c r="C52" s="487" t="s">
        <v>2433</v>
      </c>
      <c r="D52" s="493"/>
      <c r="E52" s="493"/>
    </row>
    <row r="53" spans="1:5" ht="12.75">
      <c r="A53" s="488" t="s">
        <v>184</v>
      </c>
      <c r="B53" s="494"/>
      <c r="C53" s="489" t="s">
        <v>2434</v>
      </c>
      <c r="D53" s="495"/>
      <c r="E53" s="495"/>
    </row>
    <row r="54" spans="1:5" ht="12.75">
      <c r="A54" s="486" t="s">
        <v>419</v>
      </c>
      <c r="B54" s="492"/>
      <c r="C54" s="487" t="s">
        <v>2435</v>
      </c>
      <c r="D54" s="493"/>
      <c r="E54" s="493"/>
    </row>
    <row r="55" spans="1:5" ht="12.75">
      <c r="A55" s="488" t="s">
        <v>420</v>
      </c>
      <c r="B55" s="494"/>
      <c r="C55" s="489" t="s">
        <v>2436</v>
      </c>
      <c r="D55" s="495"/>
      <c r="E55" s="495"/>
    </row>
    <row r="56" spans="1:5" ht="12.75">
      <c r="A56" s="486" t="s">
        <v>533</v>
      </c>
      <c r="B56" s="492"/>
      <c r="C56" s="487" t="s">
        <v>2437</v>
      </c>
      <c r="D56" s="493"/>
      <c r="E56" s="493"/>
    </row>
    <row r="57" spans="1:5" ht="12.75">
      <c r="A57" s="488" t="s">
        <v>535</v>
      </c>
      <c r="B57" s="494"/>
      <c r="C57" s="489" t="s">
        <v>2438</v>
      </c>
      <c r="D57" s="495"/>
      <c r="E57" s="495"/>
    </row>
    <row r="58" spans="1:5" ht="12.75">
      <c r="A58" s="486" t="s">
        <v>537</v>
      </c>
      <c r="B58" s="492"/>
      <c r="C58" s="487" t="s">
        <v>2439</v>
      </c>
      <c r="D58" s="493"/>
      <c r="E58" s="493"/>
    </row>
    <row r="59" spans="1:5" ht="12.75">
      <c r="A59" s="488" t="s">
        <v>314</v>
      </c>
      <c r="B59" s="494"/>
      <c r="C59" s="489" t="s">
        <v>2440</v>
      </c>
      <c r="D59" s="494"/>
      <c r="E59" s="497"/>
    </row>
    <row r="60" spans="1:5" ht="12.75">
      <c r="A60" s="486" t="s">
        <v>224</v>
      </c>
      <c r="B60" s="492"/>
      <c r="C60" s="487" t="s">
        <v>2441</v>
      </c>
      <c r="D60" s="493"/>
      <c r="E60" s="493"/>
    </row>
    <row r="61" spans="1:5" ht="12.75">
      <c r="A61" s="488" t="s">
        <v>315</v>
      </c>
      <c r="B61" s="494"/>
      <c r="C61" s="489" t="s">
        <v>2442</v>
      </c>
      <c r="D61" s="495"/>
      <c r="E61" s="495"/>
    </row>
    <row r="62" spans="1:5" ht="12.75">
      <c r="A62" s="486" t="s">
        <v>249</v>
      </c>
      <c r="B62" s="492"/>
      <c r="C62" s="487" t="s">
        <v>2443</v>
      </c>
      <c r="D62" s="493"/>
      <c r="E62" s="493"/>
    </row>
    <row r="63" spans="1:5" ht="12.75">
      <c r="A63" s="488" t="s">
        <v>421</v>
      </c>
      <c r="B63" s="494"/>
      <c r="C63" s="489" t="s">
        <v>2444</v>
      </c>
      <c r="D63" s="495"/>
      <c r="E63" s="495"/>
    </row>
    <row r="64" spans="1:5" ht="12.75">
      <c r="A64" s="486" t="s">
        <v>187</v>
      </c>
      <c r="B64" s="492"/>
      <c r="C64" s="487" t="s">
        <v>2445</v>
      </c>
      <c r="D64" s="493"/>
      <c r="E64" s="493"/>
    </row>
    <row r="65" spans="1:5" ht="12.75">
      <c r="A65" s="488" t="s">
        <v>545</v>
      </c>
      <c r="B65" s="494"/>
      <c r="C65" s="489" t="s">
        <v>2446</v>
      </c>
      <c r="D65" s="495"/>
      <c r="E65" s="495"/>
    </row>
    <row r="66" spans="1:5" ht="12.75">
      <c r="A66" s="486" t="s">
        <v>103</v>
      </c>
      <c r="B66" s="492"/>
      <c r="C66" s="487" t="s">
        <v>2447</v>
      </c>
      <c r="D66" s="493"/>
      <c r="E66" s="493"/>
    </row>
    <row r="67" spans="1:5" ht="12.75">
      <c r="A67" s="488" t="s">
        <v>548</v>
      </c>
      <c r="B67" s="494"/>
      <c r="C67" s="489" t="s">
        <v>2448</v>
      </c>
      <c r="D67" s="495"/>
      <c r="E67" s="495"/>
    </row>
    <row r="68" spans="1:5" ht="12.75">
      <c r="A68" s="486" t="s">
        <v>550</v>
      </c>
      <c r="B68" s="492"/>
      <c r="C68" s="487" t="s">
        <v>2449</v>
      </c>
      <c r="D68" s="493"/>
      <c r="E68" s="493"/>
    </row>
    <row r="69" spans="1:5" ht="12.75">
      <c r="A69" s="488" t="s">
        <v>422</v>
      </c>
      <c r="B69" s="494"/>
      <c r="C69" s="489" t="s">
        <v>2450</v>
      </c>
      <c r="D69" s="495"/>
      <c r="E69" s="495"/>
    </row>
    <row r="70" spans="1:5" ht="12.75">
      <c r="A70" s="486" t="s">
        <v>250</v>
      </c>
      <c r="B70" s="492"/>
      <c r="C70" s="487" t="s">
        <v>2451</v>
      </c>
      <c r="D70" s="493"/>
      <c r="E70" s="493"/>
    </row>
    <row r="71" spans="1:5" ht="12.75">
      <c r="A71" s="488" t="s">
        <v>251</v>
      </c>
      <c r="B71" s="494"/>
      <c r="C71" s="489" t="s">
        <v>2452</v>
      </c>
      <c r="D71" s="495"/>
      <c r="E71" s="495"/>
    </row>
    <row r="72" spans="1:5" ht="12.75">
      <c r="A72" s="486" t="s">
        <v>423</v>
      </c>
      <c r="B72" s="492"/>
      <c r="C72" s="487" t="s">
        <v>2453</v>
      </c>
      <c r="D72" s="493"/>
      <c r="E72" s="493"/>
    </row>
    <row r="73" spans="1:5" ht="12.75">
      <c r="A73" s="488" t="s">
        <v>188</v>
      </c>
      <c r="B73" s="494"/>
      <c r="C73" s="489" t="s">
        <v>2454</v>
      </c>
      <c r="D73" s="494"/>
      <c r="E73" s="497"/>
    </row>
    <row r="74" spans="1:5" ht="12.75">
      <c r="A74" s="486" t="s">
        <v>424</v>
      </c>
      <c r="B74" s="492"/>
      <c r="C74" s="487" t="s">
        <v>836</v>
      </c>
      <c r="D74" s="493"/>
      <c r="E74" s="493"/>
    </row>
    <row r="75" spans="1:5" ht="12.75">
      <c r="A75" s="488" t="s">
        <v>282</v>
      </c>
      <c r="B75" s="494"/>
      <c r="C75" s="489" t="s">
        <v>2455</v>
      </c>
      <c r="D75" s="494"/>
      <c r="E75" s="497"/>
    </row>
    <row r="76" spans="1:5" ht="12.75">
      <c r="A76" s="486" t="s">
        <v>252</v>
      </c>
      <c r="B76" s="492"/>
      <c r="C76" s="487" t="s">
        <v>2456</v>
      </c>
      <c r="D76" s="493"/>
      <c r="E76" s="493"/>
    </row>
    <row r="77" spans="1:5" ht="12.75">
      <c r="A77" s="488" t="s">
        <v>190</v>
      </c>
      <c r="B77" s="494"/>
      <c r="C77" s="489" t="s">
        <v>2457</v>
      </c>
      <c r="D77" s="495"/>
      <c r="E77" s="495"/>
    </row>
    <row r="78" spans="1:5" ht="12.75">
      <c r="A78" s="486" t="s">
        <v>253</v>
      </c>
      <c r="B78" s="492"/>
      <c r="C78" s="487" t="s">
        <v>2458</v>
      </c>
      <c r="D78" s="492"/>
      <c r="E78" s="496"/>
    </row>
    <row r="79" spans="1:5" ht="12.75">
      <c r="A79" s="488" t="s">
        <v>425</v>
      </c>
      <c r="B79" s="494"/>
      <c r="C79" s="489" t="s">
        <v>2459</v>
      </c>
      <c r="D79" s="495"/>
      <c r="E79" s="495"/>
    </row>
    <row r="80" spans="1:5" ht="12.75">
      <c r="A80" s="486" t="s">
        <v>316</v>
      </c>
      <c r="B80" s="492"/>
      <c r="C80" s="487" t="s">
        <v>2460</v>
      </c>
      <c r="D80" s="493"/>
      <c r="E80" s="493"/>
    </row>
    <row r="81" spans="1:5" ht="12.75">
      <c r="A81" s="488" t="s">
        <v>191</v>
      </c>
      <c r="B81" s="494"/>
      <c r="C81" s="489" t="s">
        <v>2461</v>
      </c>
      <c r="D81" s="494"/>
      <c r="E81" s="497"/>
    </row>
    <row r="82" spans="1:5" ht="12.75">
      <c r="A82" s="486" t="s">
        <v>192</v>
      </c>
      <c r="B82" s="492"/>
      <c r="C82" s="487" t="s">
        <v>626</v>
      </c>
      <c r="D82" s="493"/>
      <c r="E82" s="493"/>
    </row>
    <row r="83" spans="1:5" ht="12.75">
      <c r="A83" s="488" t="s">
        <v>317</v>
      </c>
      <c r="B83" s="494"/>
      <c r="C83" s="489" t="s">
        <v>2462</v>
      </c>
      <c r="D83" s="495"/>
      <c r="E83" s="495"/>
    </row>
    <row r="84" spans="1:5" ht="12.75">
      <c r="A84" s="486" t="s">
        <v>426</v>
      </c>
      <c r="B84" s="492"/>
      <c r="C84" s="487" t="s">
        <v>2463</v>
      </c>
      <c r="D84" s="492"/>
      <c r="E84" s="496"/>
    </row>
    <row r="85" spans="1:5" ht="12.75">
      <c r="A85" s="488" t="s">
        <v>318</v>
      </c>
      <c r="B85" s="494"/>
      <c r="C85" s="489" t="s">
        <v>2464</v>
      </c>
      <c r="D85" s="494"/>
      <c r="E85" s="497"/>
    </row>
    <row r="86" spans="1:5" ht="12.75">
      <c r="A86" s="486" t="s">
        <v>569</v>
      </c>
      <c r="B86" s="492"/>
      <c r="C86" s="487" t="s">
        <v>2465</v>
      </c>
      <c r="D86" s="493"/>
      <c r="E86" s="493"/>
    </row>
    <row r="87" spans="1:5" ht="12.75">
      <c r="A87" s="488" t="s">
        <v>254</v>
      </c>
      <c r="B87" s="494"/>
      <c r="C87" s="489" t="s">
        <v>2466</v>
      </c>
      <c r="D87" s="495"/>
      <c r="E87" s="494"/>
    </row>
    <row r="88" spans="1:5" ht="12.75">
      <c r="A88" s="486" t="s">
        <v>255</v>
      </c>
      <c r="B88" s="492"/>
      <c r="C88" s="487" t="s">
        <v>2467</v>
      </c>
      <c r="D88" s="493"/>
      <c r="E88" s="493"/>
    </row>
    <row r="89" spans="1:5" ht="12.75">
      <c r="A89" s="488" t="s">
        <v>237</v>
      </c>
      <c r="B89" s="494"/>
      <c r="C89" s="489" t="s">
        <v>1444</v>
      </c>
      <c r="D89" s="495"/>
      <c r="E89" s="495"/>
    </row>
    <row r="90" spans="1:5" ht="12.75">
      <c r="A90" s="486" t="s">
        <v>296</v>
      </c>
      <c r="B90" s="492"/>
      <c r="C90" s="487" t="s">
        <v>2466</v>
      </c>
      <c r="D90" s="493"/>
      <c r="E90" s="493"/>
    </row>
    <row r="91" spans="1:5" ht="12.75">
      <c r="A91" s="488" t="s">
        <v>225</v>
      </c>
      <c r="B91" s="494"/>
      <c r="C91" s="489" t="s">
        <v>2468</v>
      </c>
      <c r="D91" s="495"/>
      <c r="E91" s="495"/>
    </row>
    <row r="92" spans="1:5" ht="12.75">
      <c r="A92" s="486" t="s">
        <v>226</v>
      </c>
      <c r="B92" s="492"/>
      <c r="C92" s="487" t="s">
        <v>2469</v>
      </c>
      <c r="D92" s="493"/>
      <c r="E92" s="493"/>
    </row>
    <row r="93" spans="1:5" ht="12.75">
      <c r="A93" s="488" t="s">
        <v>256</v>
      </c>
      <c r="B93" s="494"/>
      <c r="C93" s="489" t="s">
        <v>2470</v>
      </c>
      <c r="D93" s="495"/>
      <c r="E93" s="495"/>
    </row>
    <row r="94" spans="1:5" ht="12.75">
      <c r="A94" s="486" t="s">
        <v>227</v>
      </c>
      <c r="B94" s="492"/>
      <c r="C94" s="487" t="s">
        <v>2471</v>
      </c>
      <c r="D94" s="492"/>
      <c r="E94" s="496"/>
    </row>
    <row r="95" spans="1:5" ht="12.75">
      <c r="A95" s="488" t="s">
        <v>257</v>
      </c>
      <c r="B95" s="494"/>
      <c r="C95" s="489" t="s">
        <v>2472</v>
      </c>
      <c r="D95" s="495"/>
      <c r="E95" s="495"/>
    </row>
    <row r="96" spans="1:5" ht="12.75">
      <c r="A96" s="486" t="s">
        <v>428</v>
      </c>
      <c r="B96" s="492"/>
      <c r="C96" s="487" t="s">
        <v>2473</v>
      </c>
      <c r="D96" s="492"/>
      <c r="E96" s="496"/>
    </row>
    <row r="97" spans="1:5" ht="12.75">
      <c r="A97" s="488" t="s">
        <v>297</v>
      </c>
      <c r="B97" s="494"/>
      <c r="C97" s="489" t="s">
        <v>2474</v>
      </c>
      <c r="D97" s="495"/>
      <c r="E97" s="495"/>
    </row>
    <row r="98" spans="1:5" ht="12.75">
      <c r="A98" s="486" t="s">
        <v>228</v>
      </c>
      <c r="B98" s="492"/>
      <c r="C98" s="487" t="s">
        <v>2475</v>
      </c>
      <c r="D98" s="492"/>
      <c r="E98" s="496"/>
    </row>
    <row r="99" spans="1:5" ht="12.75">
      <c r="A99" s="488" t="s">
        <v>283</v>
      </c>
      <c r="B99" s="494"/>
      <c r="C99" s="489" t="s">
        <v>2476</v>
      </c>
      <c r="D99" s="495"/>
      <c r="E99" s="495"/>
    </row>
    <row r="100" spans="1:5" ht="12.75">
      <c r="A100" s="486" t="s">
        <v>193</v>
      </c>
      <c r="B100" s="492"/>
      <c r="C100" s="487" t="s">
        <v>2477</v>
      </c>
      <c r="D100" s="493"/>
      <c r="E100" s="493"/>
    </row>
    <row r="101" spans="1:5" ht="12.75">
      <c r="A101" s="488" t="s">
        <v>429</v>
      </c>
      <c r="B101" s="494"/>
      <c r="C101" s="489" t="s">
        <v>2478</v>
      </c>
      <c r="D101" s="495"/>
      <c r="E101" s="495"/>
    </row>
    <row r="102" spans="1:5" ht="12.75">
      <c r="A102" s="486" t="s">
        <v>229</v>
      </c>
      <c r="B102" s="492"/>
      <c r="C102" s="487" t="s">
        <v>2479</v>
      </c>
      <c r="D102" s="493"/>
      <c r="E102" s="493"/>
    </row>
    <row r="103" spans="1:5" ht="12.75">
      <c r="A103" s="488" t="s">
        <v>430</v>
      </c>
      <c r="B103" s="494"/>
      <c r="C103" s="489" t="s">
        <v>2480</v>
      </c>
      <c r="D103" s="495"/>
      <c r="E103" s="495"/>
    </row>
    <row r="104" spans="1:5" ht="12.75">
      <c r="A104" s="486" t="s">
        <v>588</v>
      </c>
      <c r="B104" s="492"/>
      <c r="C104" s="487" t="s">
        <v>2481</v>
      </c>
      <c r="D104" s="493"/>
      <c r="E104" s="493"/>
    </row>
    <row r="105" spans="1:5" ht="12.75">
      <c r="A105" s="488" t="s">
        <v>590</v>
      </c>
      <c r="B105" s="494"/>
      <c r="C105" s="489" t="s">
        <v>2482</v>
      </c>
      <c r="D105" s="495"/>
      <c r="E105" s="495"/>
    </row>
    <row r="106" spans="1:5" ht="12.75">
      <c r="A106" s="486" t="s">
        <v>258</v>
      </c>
      <c r="B106" s="492"/>
      <c r="C106" s="487" t="s">
        <v>2483</v>
      </c>
      <c r="D106" s="493"/>
      <c r="E106" s="493"/>
    </row>
    <row r="107" spans="1:5" ht="12.75">
      <c r="A107" s="488" t="s">
        <v>593</v>
      </c>
      <c r="B107" s="494"/>
      <c r="C107" s="489" t="s">
        <v>2484</v>
      </c>
      <c r="D107" s="495"/>
      <c r="E107" s="495"/>
    </row>
    <row r="108" spans="1:5" ht="12.75">
      <c r="A108" s="486" t="s">
        <v>230</v>
      </c>
      <c r="B108" s="492"/>
      <c r="C108" s="487" t="s">
        <v>2485</v>
      </c>
      <c r="D108" s="492"/>
      <c r="E108" s="496"/>
    </row>
    <row r="109" spans="1:5" ht="12.75">
      <c r="A109" s="488" t="s">
        <v>194</v>
      </c>
      <c r="B109" s="494"/>
      <c r="C109" s="489" t="s">
        <v>2486</v>
      </c>
      <c r="D109" s="495"/>
      <c r="E109" s="495"/>
    </row>
    <row r="110" spans="1:5" ht="12.75">
      <c r="A110" s="486" t="s">
        <v>195</v>
      </c>
      <c r="B110" s="492"/>
      <c r="C110" s="487" t="s">
        <v>2487</v>
      </c>
      <c r="D110" s="492"/>
      <c r="E110" s="496"/>
    </row>
    <row r="111" spans="1:5" ht="12.75">
      <c r="A111" s="488" t="s">
        <v>259</v>
      </c>
      <c r="B111" s="494"/>
      <c r="C111" s="489" t="s">
        <v>2488</v>
      </c>
      <c r="D111" s="495"/>
      <c r="E111" s="495"/>
    </row>
    <row r="112" spans="1:5" ht="12.75">
      <c r="A112" s="486" t="s">
        <v>599</v>
      </c>
      <c r="B112" s="492"/>
      <c r="C112" s="487" t="s">
        <v>2489</v>
      </c>
      <c r="D112" s="493"/>
      <c r="E112" s="493"/>
    </row>
    <row r="113" spans="1:5" ht="12.75">
      <c r="A113" s="488" t="s">
        <v>260</v>
      </c>
      <c r="B113" s="494"/>
      <c r="C113" s="489" t="s">
        <v>2490</v>
      </c>
      <c r="D113" s="494"/>
      <c r="E113" s="497"/>
    </row>
    <row r="114" spans="1:5" ht="12.75">
      <c r="A114" s="486" t="s">
        <v>602</v>
      </c>
      <c r="B114" s="492"/>
      <c r="C114" s="487" t="s">
        <v>2491</v>
      </c>
      <c r="D114" s="493"/>
      <c r="E114" s="493"/>
    </row>
    <row r="115" spans="1:5" ht="12.75">
      <c r="A115" s="488" t="s">
        <v>196</v>
      </c>
      <c r="B115" s="494"/>
      <c r="C115" s="489" t="s">
        <v>2492</v>
      </c>
      <c r="D115" s="494"/>
      <c r="E115" s="497"/>
    </row>
    <row r="116" spans="1:5" ht="12.75">
      <c r="A116" s="486" t="s">
        <v>197</v>
      </c>
      <c r="B116" s="492"/>
      <c r="C116" s="487" t="s">
        <v>2493</v>
      </c>
      <c r="D116" s="493"/>
      <c r="E116" s="493"/>
    </row>
    <row r="117" spans="1:5" ht="12.75">
      <c r="A117" s="488" t="s">
        <v>298</v>
      </c>
      <c r="B117" s="494"/>
      <c r="C117" s="489" t="s">
        <v>2494</v>
      </c>
      <c r="D117" s="494"/>
      <c r="E117" s="497"/>
    </row>
    <row r="118" spans="1:5" ht="12.75">
      <c r="A118" s="486" t="s">
        <v>432</v>
      </c>
      <c r="B118" s="492"/>
      <c r="C118" s="487" t="s">
        <v>2495</v>
      </c>
      <c r="D118" s="493"/>
      <c r="E118" s="493"/>
    </row>
    <row r="119" spans="1:5" ht="12.75">
      <c r="A119" s="488" t="s">
        <v>198</v>
      </c>
      <c r="B119" s="494"/>
      <c r="C119" s="489" t="s">
        <v>2496</v>
      </c>
      <c r="D119" s="495"/>
      <c r="E119" s="495"/>
    </row>
    <row r="120" spans="1:5" ht="12.75">
      <c r="A120" s="486" t="s">
        <v>261</v>
      </c>
      <c r="B120" s="492"/>
      <c r="C120" s="487" t="s">
        <v>2497</v>
      </c>
      <c r="D120" s="493"/>
      <c r="E120" s="493"/>
    </row>
    <row r="121" spans="1:5" ht="12.75">
      <c r="A121" s="488" t="s">
        <v>199</v>
      </c>
      <c r="B121" s="494"/>
      <c r="C121" s="489" t="s">
        <v>2498</v>
      </c>
      <c r="D121" s="494"/>
      <c r="E121" s="497"/>
    </row>
    <row r="122" spans="1:5" ht="12.75">
      <c r="A122" s="486" t="s">
        <v>200</v>
      </c>
      <c r="B122" s="492"/>
      <c r="C122" s="487" t="s">
        <v>2499</v>
      </c>
      <c r="D122" s="493"/>
      <c r="E122" s="493"/>
    </row>
    <row r="123" spans="1:5" ht="12.75">
      <c r="A123" s="488" t="s">
        <v>612</v>
      </c>
      <c r="B123" s="494"/>
      <c r="C123" s="489" t="s">
        <v>2500</v>
      </c>
      <c r="D123" s="495"/>
      <c r="E123" s="495"/>
    </row>
    <row r="124" spans="1:5" ht="12.75">
      <c r="A124" s="486" t="s">
        <v>319</v>
      </c>
      <c r="B124" s="492"/>
      <c r="C124" s="487" t="s">
        <v>2501</v>
      </c>
      <c r="D124" s="493"/>
      <c r="E124" s="493"/>
    </row>
    <row r="125" spans="1:5" ht="12.75">
      <c r="A125" s="488" t="s">
        <v>615</v>
      </c>
      <c r="B125" s="494"/>
      <c r="C125" s="489" t="s">
        <v>2478</v>
      </c>
      <c r="D125" s="495"/>
      <c r="E125" s="495"/>
    </row>
    <row r="126" spans="1:5" ht="12.75">
      <c r="A126" s="486" t="s">
        <v>616</v>
      </c>
      <c r="B126" s="492"/>
      <c r="C126" s="487" t="s">
        <v>2502</v>
      </c>
      <c r="D126" s="493"/>
      <c r="E126" s="493"/>
    </row>
    <row r="127" spans="1:5" ht="12.75">
      <c r="A127" s="488" t="s">
        <v>618</v>
      </c>
      <c r="B127" s="494"/>
      <c r="C127" s="489" t="s">
        <v>2503</v>
      </c>
      <c r="D127" s="494"/>
      <c r="E127" s="494"/>
    </row>
    <row r="128" spans="1:5" ht="12.75">
      <c r="A128" s="486" t="s">
        <v>285</v>
      </c>
      <c r="B128" s="492"/>
      <c r="C128" s="487" t="s">
        <v>2504</v>
      </c>
      <c r="D128" s="493"/>
      <c r="E128" s="493"/>
    </row>
    <row r="129" spans="1:5" ht="12.75">
      <c r="A129" s="488" t="s">
        <v>262</v>
      </c>
      <c r="B129" s="494"/>
      <c r="C129" s="489" t="s">
        <v>531</v>
      </c>
      <c r="D129" s="495"/>
      <c r="E129" s="494"/>
    </row>
    <row r="130" spans="1:5" ht="12.75">
      <c r="A130" s="486" t="s">
        <v>220</v>
      </c>
      <c r="B130" s="492"/>
      <c r="C130" s="487" t="s">
        <v>2505</v>
      </c>
      <c r="D130" s="493"/>
      <c r="E130" s="493"/>
    </row>
    <row r="131" spans="1:5" ht="12.75">
      <c r="A131" s="488" t="s">
        <v>201</v>
      </c>
      <c r="B131" s="494"/>
      <c r="C131" s="489" t="s">
        <v>2506</v>
      </c>
      <c r="D131" s="494"/>
      <c r="E131" s="497"/>
    </row>
    <row r="132" spans="1:5" ht="12.75">
      <c r="A132" s="486" t="s">
        <v>299</v>
      </c>
      <c r="B132" s="492"/>
      <c r="C132" s="487" t="s">
        <v>2507</v>
      </c>
      <c r="D132" s="493"/>
      <c r="E132" s="493"/>
    </row>
    <row r="133" spans="1:5" ht="12.75">
      <c r="A133" s="488" t="s">
        <v>202</v>
      </c>
      <c r="B133" s="494"/>
      <c r="C133" s="489" t="s">
        <v>2508</v>
      </c>
      <c r="D133" s="495"/>
      <c r="E133" s="495"/>
    </row>
    <row r="134" spans="1:5" ht="12.75">
      <c r="A134" s="486" t="s">
        <v>238</v>
      </c>
      <c r="B134" s="492"/>
      <c r="C134" s="487" t="s">
        <v>2509</v>
      </c>
      <c r="D134" s="493"/>
      <c r="E134" s="493"/>
    </row>
    <row r="135" spans="1:5" ht="12.75">
      <c r="A135" s="488" t="s">
        <v>627</v>
      </c>
      <c r="B135" s="494"/>
      <c r="C135" s="489" t="s">
        <v>2510</v>
      </c>
      <c r="D135" s="495"/>
      <c r="E135" s="495"/>
    </row>
    <row r="136" spans="1:5" ht="12.75">
      <c r="A136" s="486" t="s">
        <v>263</v>
      </c>
      <c r="B136" s="492"/>
      <c r="C136" s="487" t="s">
        <v>2511</v>
      </c>
      <c r="D136" s="493"/>
      <c r="E136" s="493"/>
    </row>
    <row r="137" spans="1:5" ht="12.75">
      <c r="A137" s="488" t="s">
        <v>630</v>
      </c>
      <c r="B137" s="494"/>
      <c r="C137" s="489" t="s">
        <v>2512</v>
      </c>
      <c r="D137" s="494"/>
      <c r="E137" s="497"/>
    </row>
    <row r="138" spans="1:5" ht="12.75">
      <c r="A138" s="486" t="s">
        <v>433</v>
      </c>
      <c r="B138" s="492"/>
      <c r="C138" s="487" t="s">
        <v>2513</v>
      </c>
      <c r="D138" s="493"/>
      <c r="E138" s="493"/>
    </row>
    <row r="139" spans="1:5" ht="12.75">
      <c r="A139" s="488" t="s">
        <v>300</v>
      </c>
      <c r="B139" s="494"/>
      <c r="C139" s="489" t="s">
        <v>2514</v>
      </c>
      <c r="D139" s="495"/>
      <c r="E139" s="495"/>
    </row>
    <row r="140" spans="1:5" ht="12.75">
      <c r="A140" s="486" t="s">
        <v>320</v>
      </c>
      <c r="B140" s="492"/>
      <c r="C140" s="487" t="s">
        <v>2515</v>
      </c>
      <c r="D140" s="492"/>
      <c r="E140" s="496"/>
    </row>
    <row r="141" spans="1:5" ht="12.75">
      <c r="A141" s="488" t="s">
        <v>203</v>
      </c>
      <c r="B141" s="494"/>
      <c r="C141" s="489" t="s">
        <v>2516</v>
      </c>
      <c r="D141" s="495"/>
      <c r="E141" s="495"/>
    </row>
    <row r="142" spans="1:5" ht="12.75">
      <c r="A142" s="486" t="s">
        <v>204</v>
      </c>
      <c r="B142" s="492"/>
      <c r="C142" s="487" t="s">
        <v>2517</v>
      </c>
      <c r="D142" s="492"/>
      <c r="E142" s="496"/>
    </row>
    <row r="143" spans="1:5" ht="12.75">
      <c r="A143" s="488" t="s">
        <v>301</v>
      </c>
      <c r="B143" s="494"/>
      <c r="C143" s="489" t="s">
        <v>2518</v>
      </c>
      <c r="D143" s="495"/>
      <c r="E143" s="495"/>
    </row>
    <row r="144" spans="1:5" ht="12.75">
      <c r="A144" s="486" t="s">
        <v>264</v>
      </c>
      <c r="B144" s="492"/>
      <c r="C144" s="487" t="s">
        <v>2519</v>
      </c>
      <c r="D144" s="493"/>
      <c r="E144" s="493"/>
    </row>
    <row r="145" spans="1:5" ht="12.75">
      <c r="A145" s="488" t="s">
        <v>639</v>
      </c>
      <c r="B145" s="494"/>
      <c r="C145" s="489" t="s">
        <v>2520</v>
      </c>
      <c r="D145" s="495"/>
      <c r="E145" s="495"/>
    </row>
    <row r="146" spans="1:5" ht="12.75">
      <c r="A146" s="486" t="s">
        <v>641</v>
      </c>
      <c r="B146" s="492"/>
      <c r="C146" s="487" t="s">
        <v>2521</v>
      </c>
      <c r="D146" s="493"/>
      <c r="E146" s="493"/>
    </row>
    <row r="147" spans="1:5" ht="12.75">
      <c r="A147" s="488" t="s">
        <v>643</v>
      </c>
      <c r="B147" s="494"/>
      <c r="C147" s="489" t="s">
        <v>2522</v>
      </c>
      <c r="D147" s="495"/>
      <c r="E147" s="495"/>
    </row>
    <row r="148" spans="1:5" ht="12.75">
      <c r="A148" s="486" t="s">
        <v>265</v>
      </c>
      <c r="B148" s="492"/>
      <c r="C148" s="487" t="s">
        <v>2523</v>
      </c>
      <c r="D148" s="493"/>
      <c r="E148" s="493"/>
    </row>
    <row r="149" spans="1:5" ht="12.75">
      <c r="A149" s="488" t="s">
        <v>646</v>
      </c>
      <c r="B149" s="494"/>
      <c r="C149" s="489" t="s">
        <v>2524</v>
      </c>
      <c r="D149" s="495"/>
      <c r="E149" s="495"/>
    </row>
    <row r="150" spans="1:5" ht="12.75">
      <c r="A150" s="486" t="s">
        <v>231</v>
      </c>
      <c r="B150" s="492"/>
      <c r="C150" s="487" t="s">
        <v>2525</v>
      </c>
      <c r="D150" s="493"/>
      <c r="E150" s="493"/>
    </row>
    <row r="151" spans="1:5" ht="12.75">
      <c r="A151" s="488" t="s">
        <v>239</v>
      </c>
      <c r="B151" s="494"/>
      <c r="C151" s="489" t="s">
        <v>702</v>
      </c>
      <c r="D151" s="495"/>
      <c r="E151" s="495"/>
    </row>
    <row r="152" spans="1:5" ht="12.75">
      <c r="A152" s="486" t="s">
        <v>321</v>
      </c>
      <c r="B152" s="492"/>
      <c r="C152" s="487" t="s">
        <v>2526</v>
      </c>
      <c r="D152" s="492"/>
      <c r="E152" s="496"/>
    </row>
    <row r="153" spans="1:5" ht="12.75">
      <c r="A153" s="488" t="s">
        <v>322</v>
      </c>
      <c r="B153" s="494"/>
      <c r="C153" s="489" t="s">
        <v>2527</v>
      </c>
      <c r="D153" s="494"/>
      <c r="E153" s="497"/>
    </row>
    <row r="154" spans="1:5" ht="12.75">
      <c r="A154" s="486" t="s">
        <v>323</v>
      </c>
      <c r="B154" s="492"/>
      <c r="C154" s="487" t="s">
        <v>2528</v>
      </c>
      <c r="D154" s="493"/>
      <c r="E154" s="493"/>
    </row>
    <row r="155" spans="1:5" ht="12.75">
      <c r="A155" s="488" t="s">
        <v>434</v>
      </c>
      <c r="B155" s="494"/>
      <c r="C155" s="489" t="s">
        <v>2529</v>
      </c>
      <c r="D155" s="495"/>
      <c r="E155" s="495"/>
    </row>
    <row r="156" spans="1:5" ht="12.75">
      <c r="A156" s="486" t="s">
        <v>266</v>
      </c>
      <c r="B156" s="492"/>
      <c r="C156" s="487" t="s">
        <v>2530</v>
      </c>
      <c r="D156" s="493"/>
      <c r="E156" s="493"/>
    </row>
    <row r="157" spans="1:5" ht="12.75">
      <c r="A157" s="488" t="s">
        <v>655</v>
      </c>
      <c r="B157" s="494"/>
      <c r="C157" s="489" t="s">
        <v>2531</v>
      </c>
      <c r="D157" s="495"/>
      <c r="E157" s="495"/>
    </row>
    <row r="158" spans="1:5" ht="12.75">
      <c r="A158" s="486" t="s">
        <v>267</v>
      </c>
      <c r="B158" s="492"/>
      <c r="C158" s="487" t="s">
        <v>2532</v>
      </c>
      <c r="D158" s="493"/>
      <c r="E158" s="493"/>
    </row>
    <row r="159" spans="1:5" ht="12.75">
      <c r="A159" s="488" t="s">
        <v>269</v>
      </c>
      <c r="B159" s="494"/>
      <c r="C159" s="489" t="s">
        <v>2533</v>
      </c>
      <c r="D159" s="495"/>
      <c r="E159" s="495"/>
    </row>
    <row r="160" spans="1:5" ht="12.75">
      <c r="A160" s="486" t="s">
        <v>659</v>
      </c>
      <c r="B160" s="492"/>
      <c r="C160" s="487" t="s">
        <v>2534</v>
      </c>
      <c r="D160" s="493"/>
      <c r="E160" s="493"/>
    </row>
    <row r="161" spans="1:5" ht="12.75">
      <c r="A161" s="488" t="s">
        <v>205</v>
      </c>
      <c r="B161" s="494"/>
      <c r="C161" s="489" t="s">
        <v>2535</v>
      </c>
      <c r="D161" s="494"/>
      <c r="E161" s="497"/>
    </row>
    <row r="162" spans="1:5" ht="12.75">
      <c r="A162" s="486" t="s">
        <v>436</v>
      </c>
      <c r="B162" s="492"/>
      <c r="C162" s="487" t="s">
        <v>2536</v>
      </c>
      <c r="D162" s="493"/>
      <c r="E162" s="493"/>
    </row>
    <row r="163" spans="1:5" ht="12.75">
      <c r="A163" s="488" t="s">
        <v>437</v>
      </c>
      <c r="B163" s="494"/>
      <c r="C163" s="489" t="s">
        <v>2537</v>
      </c>
      <c r="D163" s="494"/>
      <c r="E163" s="497"/>
    </row>
    <row r="164" spans="1:5" ht="12.75">
      <c r="A164" s="486" t="s">
        <v>438</v>
      </c>
      <c r="B164" s="492"/>
      <c r="C164" s="487" t="s">
        <v>2538</v>
      </c>
      <c r="D164" s="493"/>
      <c r="E164" s="493"/>
    </row>
    <row r="165" spans="1:5" ht="12.75">
      <c r="A165" s="488" t="s">
        <v>439</v>
      </c>
      <c r="B165" s="494"/>
      <c r="C165" s="489" t="s">
        <v>2539</v>
      </c>
      <c r="D165" s="495"/>
      <c r="E165" s="495"/>
    </row>
    <row r="166" spans="1:5" ht="12.75">
      <c r="A166" s="486" t="s">
        <v>206</v>
      </c>
      <c r="B166" s="492"/>
      <c r="C166" s="487" t="s">
        <v>2540</v>
      </c>
      <c r="D166" s="493"/>
      <c r="E166" s="493"/>
    </row>
    <row r="167" spans="1:5" ht="12.75">
      <c r="A167" s="488" t="s">
        <v>232</v>
      </c>
      <c r="B167" s="494"/>
      <c r="C167" s="489" t="s">
        <v>2541</v>
      </c>
      <c r="D167" s="495"/>
      <c r="E167" s="495"/>
    </row>
    <row r="168" spans="1:5" ht="12.75">
      <c r="A168" s="486" t="s">
        <v>207</v>
      </c>
      <c r="B168" s="492"/>
      <c r="C168" s="487" t="s">
        <v>2542</v>
      </c>
      <c r="D168" s="493"/>
      <c r="E168" s="493"/>
    </row>
    <row r="169" spans="1:5" ht="12.75">
      <c r="A169" s="488" t="s">
        <v>271</v>
      </c>
      <c r="B169" s="494"/>
      <c r="C169" s="489" t="s">
        <v>2543</v>
      </c>
      <c r="D169" s="495"/>
      <c r="E169" s="495"/>
    </row>
    <row r="170" spans="1:5" ht="12.75">
      <c r="A170" s="486" t="s">
        <v>670</v>
      </c>
      <c r="B170" s="492"/>
      <c r="C170" s="487" t="s">
        <v>2544</v>
      </c>
      <c r="D170" s="492"/>
      <c r="E170" s="496"/>
    </row>
    <row r="171" spans="1:5" ht="12.75">
      <c r="A171" s="488" t="s">
        <v>208</v>
      </c>
      <c r="B171" s="494"/>
      <c r="C171" s="489" t="s">
        <v>2545</v>
      </c>
      <c r="D171" s="495"/>
      <c r="E171" s="495"/>
    </row>
    <row r="172" spans="1:5" ht="12.75">
      <c r="A172" s="486" t="s">
        <v>272</v>
      </c>
      <c r="B172" s="492"/>
      <c r="C172" s="487" t="s">
        <v>2546</v>
      </c>
      <c r="D172" s="493"/>
      <c r="E172" s="493"/>
    </row>
    <row r="173" spans="1:5" ht="12.75">
      <c r="A173" s="488" t="s">
        <v>273</v>
      </c>
      <c r="B173" s="494"/>
      <c r="C173" s="489" t="s">
        <v>2547</v>
      </c>
      <c r="D173" s="495"/>
      <c r="E173" s="495"/>
    </row>
    <row r="174" spans="1:5" ht="12.75">
      <c r="A174" s="486" t="s">
        <v>675</v>
      </c>
      <c r="B174" s="492"/>
      <c r="C174" s="487" t="s">
        <v>2548</v>
      </c>
      <c r="D174" s="493"/>
      <c r="E174" s="493"/>
    </row>
    <row r="175" spans="1:5" ht="12.75">
      <c r="A175" s="488" t="s">
        <v>440</v>
      </c>
      <c r="B175" s="494"/>
      <c r="C175" s="489" t="s">
        <v>2549</v>
      </c>
      <c r="D175" s="494"/>
      <c r="E175" s="497"/>
    </row>
    <row r="176" spans="1:5" ht="12.75">
      <c r="A176" s="486" t="s">
        <v>210</v>
      </c>
      <c r="B176" s="492"/>
      <c r="C176" s="487" t="s">
        <v>2550</v>
      </c>
      <c r="D176" s="493"/>
      <c r="E176" s="493"/>
    </row>
    <row r="177" spans="1:5" ht="12.75">
      <c r="A177" s="488" t="s">
        <v>679</v>
      </c>
      <c r="B177" s="494"/>
      <c r="C177" s="489" t="s">
        <v>2551</v>
      </c>
      <c r="D177" s="495"/>
      <c r="E177" s="495"/>
    </row>
    <row r="178" spans="1:5" ht="12.75">
      <c r="A178" s="486" t="s">
        <v>681</v>
      </c>
      <c r="B178" s="492"/>
      <c r="C178" s="487" t="s">
        <v>2552</v>
      </c>
      <c r="D178" s="493"/>
      <c r="E178" s="493"/>
    </row>
    <row r="179" spans="1:5" ht="12.75">
      <c r="A179" s="488" t="s">
        <v>304</v>
      </c>
      <c r="B179" s="494"/>
      <c r="C179" s="489" t="s">
        <v>2553</v>
      </c>
      <c r="D179" s="495"/>
      <c r="E179" s="495"/>
    </row>
    <row r="180" spans="1:5" ht="12.75">
      <c r="A180" s="486" t="s">
        <v>684</v>
      </c>
      <c r="B180" s="492"/>
      <c r="C180" s="487" t="s">
        <v>2554</v>
      </c>
      <c r="D180" s="493"/>
      <c r="E180" s="493"/>
    </row>
    <row r="181" spans="1:5" ht="12.75">
      <c r="A181" s="488" t="s">
        <v>686</v>
      </c>
      <c r="B181" s="494"/>
      <c r="C181" s="489" t="s">
        <v>2555</v>
      </c>
      <c r="D181" s="495"/>
      <c r="E181" s="495"/>
    </row>
    <row r="182" spans="1:5" ht="12.75">
      <c r="A182" s="486" t="s">
        <v>688</v>
      </c>
      <c r="B182" s="492"/>
      <c r="C182" s="487" t="s">
        <v>2556</v>
      </c>
      <c r="D182" s="493"/>
      <c r="E182" s="493"/>
    </row>
    <row r="183" spans="1:5" ht="12.75">
      <c r="A183" s="488" t="s">
        <v>274</v>
      </c>
      <c r="B183" s="494"/>
      <c r="C183" s="489" t="s">
        <v>2557</v>
      </c>
      <c r="D183" s="495"/>
      <c r="E183" s="495"/>
    </row>
    <row r="184" spans="1:5" ht="12.75">
      <c r="A184" s="486" t="s">
        <v>441</v>
      </c>
      <c r="B184" s="492"/>
      <c r="C184" s="487" t="s">
        <v>2558</v>
      </c>
      <c r="D184" s="492"/>
      <c r="E184" s="496"/>
    </row>
    <row r="185" spans="1:5" ht="12.75">
      <c r="A185" s="488" t="s">
        <v>221</v>
      </c>
      <c r="B185" s="494"/>
      <c r="C185" s="489" t="s">
        <v>2559</v>
      </c>
      <c r="D185" s="494"/>
      <c r="E185" s="497"/>
    </row>
    <row r="186" spans="1:5" ht="12.75">
      <c r="A186" s="486" t="s">
        <v>693</v>
      </c>
      <c r="B186" s="492"/>
      <c r="C186" s="487" t="s">
        <v>2560</v>
      </c>
      <c r="D186" s="493"/>
      <c r="E186" s="493"/>
    </row>
    <row r="187" spans="1:5" ht="12.75">
      <c r="A187" s="488" t="s">
        <v>324</v>
      </c>
      <c r="B187" s="494"/>
      <c r="C187" s="489" t="s">
        <v>2561</v>
      </c>
      <c r="D187" s="495"/>
      <c r="E187" s="495"/>
    </row>
    <row r="188" spans="1:5" ht="12.75">
      <c r="A188" s="486" t="s">
        <v>275</v>
      </c>
      <c r="B188" s="492"/>
      <c r="C188" s="487" t="s">
        <v>2562</v>
      </c>
      <c r="D188" s="493"/>
      <c r="E188" s="493"/>
    </row>
    <row r="189" spans="1:5" ht="12.75">
      <c r="A189" s="488" t="s">
        <v>276</v>
      </c>
      <c r="B189" s="494"/>
      <c r="C189" s="489" t="s">
        <v>2563</v>
      </c>
      <c r="D189" s="494"/>
      <c r="E189" s="497"/>
    </row>
    <row r="190" spans="1:5" ht="12.75">
      <c r="A190" s="486" t="s">
        <v>698</v>
      </c>
      <c r="B190" s="492"/>
      <c r="C190" s="487" t="s">
        <v>2564</v>
      </c>
      <c r="D190" s="493"/>
      <c r="E190" s="493"/>
    </row>
    <row r="191" spans="1:5" ht="12.75">
      <c r="A191" s="488" t="s">
        <v>286</v>
      </c>
      <c r="B191" s="494"/>
      <c r="C191" s="489" t="s">
        <v>2565</v>
      </c>
      <c r="D191" s="495"/>
      <c r="E191" s="495"/>
    </row>
    <row r="192" spans="1:5" ht="12.75">
      <c r="A192" s="486" t="s">
        <v>212</v>
      </c>
      <c r="B192" s="492"/>
      <c r="C192" s="487" t="s">
        <v>2566</v>
      </c>
      <c r="D192" s="493"/>
      <c r="E192" s="493"/>
    </row>
    <row r="193" spans="1:5" ht="12.75">
      <c r="A193" s="488" t="s">
        <v>305</v>
      </c>
      <c r="B193" s="494"/>
      <c r="C193" s="489" t="s">
        <v>2567</v>
      </c>
      <c r="D193" s="495"/>
      <c r="E193" s="495"/>
    </row>
    <row r="194" spans="1:5" ht="12.75">
      <c r="A194" s="486" t="s">
        <v>703</v>
      </c>
      <c r="B194" s="492"/>
      <c r="C194" s="487" t="s">
        <v>2568</v>
      </c>
      <c r="D194" s="492"/>
      <c r="E194" s="496"/>
    </row>
    <row r="195" spans="1:5" ht="12.75">
      <c r="A195" s="488" t="s">
        <v>213</v>
      </c>
      <c r="B195" s="494"/>
      <c r="C195" s="489" t="s">
        <v>2569</v>
      </c>
      <c r="D195" s="494"/>
      <c r="E195" s="497"/>
    </row>
    <row r="196" spans="1:5" ht="12.75">
      <c r="A196" s="486" t="s">
        <v>443</v>
      </c>
      <c r="B196" s="492"/>
      <c r="C196" s="487" t="s">
        <v>2570</v>
      </c>
      <c r="D196" s="493"/>
      <c r="E196" s="493"/>
    </row>
    <row r="197" spans="1:5" ht="12.75">
      <c r="A197" s="488" t="s">
        <v>222</v>
      </c>
      <c r="B197" s="494"/>
      <c r="C197" s="489" t="s">
        <v>2571</v>
      </c>
      <c r="D197" s="495"/>
      <c r="E197" s="495"/>
    </row>
    <row r="198" spans="1:5" ht="12.75">
      <c r="A198" s="486" t="s">
        <v>288</v>
      </c>
      <c r="B198" s="492"/>
      <c r="C198" s="487" t="s">
        <v>2572</v>
      </c>
      <c r="D198" s="492"/>
      <c r="E198" s="496"/>
    </row>
    <row r="199" spans="1:5" ht="12.75">
      <c r="A199" s="488" t="s">
        <v>289</v>
      </c>
      <c r="B199" s="494"/>
      <c r="C199" s="489" t="s">
        <v>2573</v>
      </c>
      <c r="D199" s="495"/>
      <c r="E199" s="495"/>
    </row>
    <row r="200" spans="1:5" ht="12.75">
      <c r="A200" s="486" t="s">
        <v>710</v>
      </c>
      <c r="B200" s="492"/>
      <c r="C200" s="487" t="s">
        <v>2574</v>
      </c>
      <c r="D200" s="493"/>
      <c r="E200" s="493"/>
    </row>
    <row r="201" spans="1:5" ht="12.75">
      <c r="A201" s="488" t="s">
        <v>214</v>
      </c>
      <c r="B201" s="494"/>
      <c r="C201" s="489" t="s">
        <v>2575</v>
      </c>
      <c r="D201" s="494"/>
      <c r="E201" s="497"/>
    </row>
    <row r="202" spans="1:5" ht="12.75">
      <c r="A202" s="486" t="s">
        <v>277</v>
      </c>
      <c r="B202" s="492"/>
      <c r="C202" s="487" t="s">
        <v>2576</v>
      </c>
      <c r="D202" s="493"/>
      <c r="E202" s="493"/>
    </row>
    <row r="203" spans="1:5" ht="12.75">
      <c r="A203" s="488" t="s">
        <v>444</v>
      </c>
      <c r="B203" s="494"/>
      <c r="C203" s="489" t="s">
        <v>2577</v>
      </c>
      <c r="D203" s="495"/>
      <c r="E203" s="495"/>
    </row>
    <row r="204" spans="1:5" ht="12.75">
      <c r="A204" s="486" t="s">
        <v>715</v>
      </c>
      <c r="B204" s="492"/>
      <c r="C204" s="487" t="s">
        <v>2578</v>
      </c>
      <c r="D204" s="493"/>
      <c r="E204" s="493"/>
    </row>
    <row r="205" spans="1:5" ht="12.75">
      <c r="A205" s="488" t="s">
        <v>717</v>
      </c>
      <c r="B205" s="494"/>
      <c r="C205" s="489" t="s">
        <v>2579</v>
      </c>
      <c r="D205" s="495"/>
      <c r="E205" s="495"/>
    </row>
    <row r="206" spans="1:5" ht="12.75">
      <c r="A206" s="486" t="s">
        <v>325</v>
      </c>
      <c r="B206" s="492"/>
      <c r="C206" s="487" t="s">
        <v>2580</v>
      </c>
      <c r="D206" s="493"/>
      <c r="E206" s="493"/>
    </row>
    <row r="207" spans="1:5" ht="12.75">
      <c r="A207" s="488" t="s">
        <v>287</v>
      </c>
      <c r="B207" s="494"/>
      <c r="C207" s="489" t="s">
        <v>2581</v>
      </c>
      <c r="D207" s="495"/>
      <c r="E207" s="495"/>
    </row>
    <row r="208" spans="1:5" ht="12.75">
      <c r="A208" s="486" t="s">
        <v>448</v>
      </c>
      <c r="B208" s="492"/>
      <c r="C208" s="487" t="s">
        <v>2417</v>
      </c>
      <c r="D208" s="493"/>
      <c r="E208" s="493"/>
    </row>
    <row r="209" spans="1:5" ht="12.75">
      <c r="A209" s="488" t="s">
        <v>326</v>
      </c>
      <c r="B209" s="494"/>
      <c r="C209" s="489" t="s">
        <v>2582</v>
      </c>
      <c r="D209" s="494"/>
      <c r="E209" s="497"/>
    </row>
    <row r="210" spans="1:5" ht="12.75">
      <c r="A210" s="486" t="s">
        <v>306</v>
      </c>
      <c r="B210" s="492"/>
      <c r="C210" s="487" t="s">
        <v>2583</v>
      </c>
      <c r="D210" s="493"/>
      <c r="E210" s="493"/>
    </row>
    <row r="211" spans="1:5" ht="12.75">
      <c r="A211" s="488" t="s">
        <v>724</v>
      </c>
      <c r="B211" s="494"/>
      <c r="C211" s="489" t="s">
        <v>2584</v>
      </c>
      <c r="D211" s="495"/>
      <c r="E211" s="495"/>
    </row>
    <row r="212" spans="1:5" ht="12.75">
      <c r="A212" s="486" t="s">
        <v>726</v>
      </c>
      <c r="B212" s="492"/>
      <c r="C212" s="487" t="s">
        <v>2585</v>
      </c>
      <c r="D212" s="492"/>
      <c r="E212" s="496"/>
    </row>
    <row r="213" spans="1:5" ht="12.75">
      <c r="A213" s="488" t="s">
        <v>728</v>
      </c>
      <c r="B213" s="494"/>
      <c r="C213" s="489" t="s">
        <v>2586</v>
      </c>
      <c r="D213" s="495"/>
      <c r="E213" s="495"/>
    </row>
    <row r="214" spans="1:5" ht="12.75">
      <c r="A214" s="486" t="s">
        <v>235</v>
      </c>
      <c r="B214" s="492"/>
      <c r="C214" s="487" t="s">
        <v>2587</v>
      </c>
      <c r="D214" s="493"/>
      <c r="E214" s="493"/>
    </row>
    <row r="215" spans="1:5" ht="12.75">
      <c r="A215" s="488" t="s">
        <v>731</v>
      </c>
      <c r="B215" s="494"/>
      <c r="C215" s="489" t="s">
        <v>2588</v>
      </c>
      <c r="D215" s="494"/>
      <c r="E215" s="497"/>
    </row>
    <row r="216" spans="1:5" ht="12.75">
      <c r="A216" s="486" t="s">
        <v>215</v>
      </c>
      <c r="B216" s="492"/>
      <c r="C216" s="487" t="s">
        <v>2589</v>
      </c>
      <c r="D216" s="492"/>
      <c r="E216" s="496"/>
    </row>
    <row r="217" spans="1:5" ht="12.75">
      <c r="A217" s="488" t="s">
        <v>216</v>
      </c>
      <c r="B217" s="494"/>
      <c r="C217" s="489" t="s">
        <v>2590</v>
      </c>
      <c r="D217" s="495"/>
      <c r="E217" s="495"/>
    </row>
    <row r="218" spans="1:5" ht="12.75">
      <c r="A218" s="498">
        <v>1961</v>
      </c>
      <c r="C218" s="185"/>
    </row>
    <row r="219" spans="1:5" ht="12.75">
      <c r="A219" s="498">
        <v>2017</v>
      </c>
      <c r="C219" s="185"/>
    </row>
    <row r="220" spans="1:5" ht="12.75">
      <c r="A220" s="499" t="s">
        <v>1145</v>
      </c>
      <c r="C220" s="185"/>
    </row>
    <row r="221" spans="1:5" ht="12.75">
      <c r="A221" s="499" t="s">
        <v>1146</v>
      </c>
      <c r="C221" s="185"/>
    </row>
    <row r="222" spans="1:5" ht="12.75">
      <c r="A222" s="500" t="s">
        <v>1147</v>
      </c>
      <c r="C222" s="185"/>
    </row>
    <row r="223" spans="1:5" ht="12.75">
      <c r="A223" s="499" t="s">
        <v>1148</v>
      </c>
      <c r="C223" s="185"/>
    </row>
    <row r="224" spans="1:5" ht="12.75">
      <c r="A224" s="499" t="s">
        <v>1149</v>
      </c>
      <c r="C224" s="185"/>
    </row>
    <row r="225" spans="1:3" ht="15.75" customHeight="1">
      <c r="A225" s="548" t="s">
        <v>2591</v>
      </c>
      <c r="C225" s="185"/>
    </row>
    <row r="226" spans="1:3" ht="15.75" customHeight="1">
      <c r="A226" s="549" t="s">
        <v>2592</v>
      </c>
      <c r="C226" s="185"/>
    </row>
    <row r="227" spans="1:3" ht="12.75">
      <c r="C227" s="185"/>
    </row>
    <row r="228" spans="1:3" ht="12.75">
      <c r="C228" s="185"/>
    </row>
    <row r="229" spans="1:3" ht="12.75">
      <c r="C229" s="185"/>
    </row>
    <row r="230" spans="1:3" ht="12.75">
      <c r="C230" s="185"/>
    </row>
    <row r="231" spans="1:3" ht="12.75">
      <c r="C231" s="185"/>
    </row>
    <row r="232" spans="1:3" ht="12.75">
      <c r="C232" s="185"/>
    </row>
    <row r="233" spans="1:3" ht="12.75">
      <c r="C233" s="185"/>
    </row>
    <row r="234" spans="1:3" ht="12.75">
      <c r="C234" s="185"/>
    </row>
    <row r="235" spans="1:3" ht="12.75">
      <c r="C235" s="185"/>
    </row>
    <row r="236" spans="1:3" ht="12.75">
      <c r="C236" s="185"/>
    </row>
    <row r="237" spans="1:3" ht="12.75">
      <c r="C237" s="185"/>
    </row>
    <row r="238" spans="1:3" ht="12.75">
      <c r="C238" s="185"/>
    </row>
    <row r="239" spans="1:3" ht="12.75">
      <c r="C239" s="185"/>
    </row>
    <row r="240" spans="1:3" ht="12.75">
      <c r="C240" s="185"/>
    </row>
    <row r="241" spans="3:3" ht="12.75">
      <c r="C241" s="185"/>
    </row>
    <row r="242" spans="3:3" ht="12.75">
      <c r="C242" s="185"/>
    </row>
    <row r="243" spans="3:3" ht="12.75">
      <c r="C243" s="185"/>
    </row>
    <row r="244" spans="3:3" ht="12.75">
      <c r="C244" s="185"/>
    </row>
    <row r="245" spans="3:3" ht="12.75">
      <c r="C245" s="185"/>
    </row>
    <row r="246" spans="3:3" ht="12.75">
      <c r="C246" s="185"/>
    </row>
    <row r="247" spans="3:3" ht="12.75">
      <c r="C247" s="185"/>
    </row>
    <row r="248" spans="3:3" ht="12.75">
      <c r="C248" s="185"/>
    </row>
    <row r="249" spans="3:3" ht="12.75">
      <c r="C249" s="185"/>
    </row>
    <row r="250" spans="3:3" ht="12.75">
      <c r="C250" s="185"/>
    </row>
    <row r="251" spans="3:3" ht="12.75">
      <c r="C251" s="185"/>
    </row>
    <row r="252" spans="3:3" ht="12.75">
      <c r="C252" s="185"/>
    </row>
    <row r="253" spans="3:3" ht="12.75">
      <c r="C253" s="185"/>
    </row>
    <row r="254" spans="3:3" ht="12.75">
      <c r="C254" s="185"/>
    </row>
    <row r="255" spans="3:3" ht="12.75">
      <c r="C255" s="185"/>
    </row>
    <row r="256" spans="3:3" ht="12.75">
      <c r="C256" s="185"/>
    </row>
    <row r="257" spans="3:3" ht="12.75">
      <c r="C257" s="185"/>
    </row>
    <row r="258" spans="3:3" ht="12.75">
      <c r="C258" s="185"/>
    </row>
    <row r="259" spans="3:3" ht="12.75">
      <c r="C259" s="185"/>
    </row>
    <row r="260" spans="3:3" ht="12.75">
      <c r="C260" s="185"/>
    </row>
    <row r="261" spans="3:3" ht="12.75">
      <c r="C261" s="185"/>
    </row>
    <row r="262" spans="3:3" ht="12.75">
      <c r="C262" s="185"/>
    </row>
    <row r="263" spans="3:3" ht="12.75">
      <c r="C263" s="185"/>
    </row>
    <row r="264" spans="3:3" ht="12.75">
      <c r="C264" s="185"/>
    </row>
    <row r="265" spans="3:3" ht="12.75">
      <c r="C265" s="185"/>
    </row>
    <row r="266" spans="3:3" ht="12.75">
      <c r="C266" s="185"/>
    </row>
    <row r="267" spans="3:3" ht="12.75">
      <c r="C267" s="185"/>
    </row>
    <row r="268" spans="3:3" ht="12.75">
      <c r="C268" s="185"/>
    </row>
    <row r="269" spans="3:3" ht="12.75">
      <c r="C269" s="185"/>
    </row>
    <row r="270" spans="3:3" ht="12.75">
      <c r="C270" s="185"/>
    </row>
    <row r="271" spans="3:3" ht="12.75">
      <c r="C271" s="185"/>
    </row>
    <row r="272" spans="3:3" ht="12.75">
      <c r="C272" s="185"/>
    </row>
    <row r="273" spans="3:3" ht="12.75">
      <c r="C273" s="185"/>
    </row>
    <row r="274" spans="3:3" ht="12.75">
      <c r="C274" s="185"/>
    </row>
    <row r="275" spans="3:3" ht="12.75">
      <c r="C275" s="185"/>
    </row>
    <row r="276" spans="3:3" ht="12.75">
      <c r="C276" s="185"/>
    </row>
    <row r="277" spans="3:3" ht="12.75">
      <c r="C277" s="185"/>
    </row>
    <row r="278" spans="3:3" ht="12.75">
      <c r="C278" s="185"/>
    </row>
    <row r="279" spans="3:3" ht="12.75">
      <c r="C279" s="185"/>
    </row>
    <row r="280" spans="3:3" ht="12.75">
      <c r="C280" s="185"/>
    </row>
    <row r="281" spans="3:3" ht="12.75">
      <c r="C281" s="185"/>
    </row>
    <row r="282" spans="3:3" ht="12.75">
      <c r="C282" s="185"/>
    </row>
    <row r="283" spans="3:3" ht="12.75">
      <c r="C283" s="185"/>
    </row>
    <row r="284" spans="3:3" ht="12.75">
      <c r="C284" s="185"/>
    </row>
    <row r="285" spans="3:3" ht="12.75">
      <c r="C285" s="185"/>
    </row>
    <row r="286" spans="3:3" ht="12.75">
      <c r="C286" s="185"/>
    </row>
    <row r="287" spans="3:3" ht="12.75">
      <c r="C287" s="185"/>
    </row>
    <row r="288" spans="3:3" ht="12.75">
      <c r="C288" s="185"/>
    </row>
    <row r="289" spans="3:3" ht="12.75">
      <c r="C289" s="185"/>
    </row>
    <row r="290" spans="3:3" ht="12.75">
      <c r="C290" s="185"/>
    </row>
    <row r="291" spans="3:3" ht="12.75">
      <c r="C291" s="185"/>
    </row>
    <row r="292" spans="3:3" ht="12.75">
      <c r="C292" s="185"/>
    </row>
    <row r="293" spans="3:3" ht="12.75">
      <c r="C293" s="185"/>
    </row>
    <row r="294" spans="3:3" ht="12.75">
      <c r="C294" s="185"/>
    </row>
    <row r="295" spans="3:3" ht="12.75">
      <c r="C295" s="185"/>
    </row>
    <row r="296" spans="3:3" ht="12.75">
      <c r="C296" s="185"/>
    </row>
    <row r="297" spans="3:3" ht="12.75">
      <c r="C297" s="185"/>
    </row>
    <row r="298" spans="3:3" ht="12.75">
      <c r="C298" s="185"/>
    </row>
    <row r="299" spans="3:3" ht="12.75">
      <c r="C299" s="185"/>
    </row>
    <row r="300" spans="3:3" ht="12.75">
      <c r="C300" s="185"/>
    </row>
    <row r="301" spans="3:3" ht="12.75">
      <c r="C301" s="185"/>
    </row>
    <row r="302" spans="3:3" ht="12.75">
      <c r="C302" s="185"/>
    </row>
    <row r="303" spans="3:3" ht="12.75">
      <c r="C303" s="185"/>
    </row>
    <row r="304" spans="3:3" ht="12.75">
      <c r="C304" s="185"/>
    </row>
    <row r="305" spans="3:3" ht="12.75">
      <c r="C305" s="185"/>
    </row>
    <row r="306" spans="3:3" ht="12.75">
      <c r="C306" s="185"/>
    </row>
    <row r="307" spans="3:3" ht="12.75">
      <c r="C307" s="185"/>
    </row>
    <row r="308" spans="3:3" ht="12.75">
      <c r="C308" s="185"/>
    </row>
    <row r="309" spans="3:3" ht="12.75">
      <c r="C309" s="185"/>
    </row>
    <row r="310" spans="3:3" ht="12.75">
      <c r="C310" s="185"/>
    </row>
    <row r="311" spans="3:3" ht="12.75">
      <c r="C311" s="185"/>
    </row>
    <row r="312" spans="3:3" ht="12.75">
      <c r="C312" s="185"/>
    </row>
    <row r="313" spans="3:3" ht="12.75">
      <c r="C313" s="185"/>
    </row>
    <row r="314" spans="3:3" ht="12.75">
      <c r="C314" s="185"/>
    </row>
    <row r="315" spans="3:3" ht="12.75">
      <c r="C315" s="185"/>
    </row>
    <row r="316" spans="3:3" ht="12.75">
      <c r="C316" s="185"/>
    </row>
    <row r="317" spans="3:3" ht="12.75">
      <c r="C317" s="185"/>
    </row>
    <row r="318" spans="3:3" ht="12.75">
      <c r="C318" s="185"/>
    </row>
    <row r="319" spans="3:3" ht="12.75">
      <c r="C319" s="185"/>
    </row>
    <row r="320" spans="3:3" ht="12.75">
      <c r="C320" s="185"/>
    </row>
    <row r="321" spans="3:3" ht="12.75">
      <c r="C321" s="185"/>
    </row>
    <row r="322" spans="3:3" ht="12.75">
      <c r="C322" s="185"/>
    </row>
    <row r="323" spans="3:3" ht="12.75">
      <c r="C323" s="185"/>
    </row>
    <row r="324" spans="3:3" ht="12.75">
      <c r="C324" s="185"/>
    </row>
    <row r="325" spans="3:3" ht="12.75">
      <c r="C325" s="185"/>
    </row>
    <row r="326" spans="3:3" ht="12.75">
      <c r="C326" s="185"/>
    </row>
    <row r="327" spans="3:3" ht="12.75">
      <c r="C327" s="185"/>
    </row>
    <row r="328" spans="3:3" ht="12.75">
      <c r="C328" s="185"/>
    </row>
    <row r="329" spans="3:3" ht="12.75">
      <c r="C329" s="185"/>
    </row>
    <row r="330" spans="3:3" ht="12.75">
      <c r="C330" s="185"/>
    </row>
    <row r="331" spans="3:3" ht="12.75">
      <c r="C331" s="185"/>
    </row>
    <row r="332" spans="3:3" ht="12.75">
      <c r="C332" s="185"/>
    </row>
    <row r="333" spans="3:3" ht="12.75">
      <c r="C333" s="185"/>
    </row>
    <row r="334" spans="3:3" ht="12.75">
      <c r="C334" s="185"/>
    </row>
    <row r="335" spans="3:3" ht="12.75">
      <c r="C335" s="185"/>
    </row>
    <row r="336" spans="3:3" ht="12.75">
      <c r="C336" s="185"/>
    </row>
    <row r="337" spans="3:3" ht="12.75">
      <c r="C337" s="185"/>
    </row>
    <row r="338" spans="3:3" ht="12.75">
      <c r="C338" s="185"/>
    </row>
    <row r="339" spans="3:3" ht="12.75">
      <c r="C339" s="185"/>
    </row>
    <row r="340" spans="3:3" ht="12.75">
      <c r="C340" s="185"/>
    </row>
    <row r="341" spans="3:3" ht="12.75">
      <c r="C341" s="185"/>
    </row>
    <row r="342" spans="3:3" ht="12.75">
      <c r="C342" s="185"/>
    </row>
    <row r="343" spans="3:3" ht="12.75">
      <c r="C343" s="185"/>
    </row>
    <row r="344" spans="3:3" ht="12.75">
      <c r="C344" s="185"/>
    </row>
    <row r="345" spans="3:3" ht="12.75">
      <c r="C345" s="185"/>
    </row>
    <row r="346" spans="3:3" ht="12.75">
      <c r="C346" s="185"/>
    </row>
    <row r="347" spans="3:3" ht="12.75">
      <c r="C347" s="185"/>
    </row>
    <row r="348" spans="3:3" ht="12.75">
      <c r="C348" s="185"/>
    </row>
    <row r="349" spans="3:3" ht="12.75">
      <c r="C349" s="185"/>
    </row>
    <row r="350" spans="3:3" ht="12.75">
      <c r="C350" s="185"/>
    </row>
    <row r="351" spans="3:3" ht="12.75">
      <c r="C351" s="185"/>
    </row>
    <row r="352" spans="3:3" ht="12.75">
      <c r="C352" s="185"/>
    </row>
    <row r="353" spans="3:3" ht="12.75">
      <c r="C353" s="185"/>
    </row>
    <row r="354" spans="3:3" ht="12.75">
      <c r="C354" s="185"/>
    </row>
    <row r="355" spans="3:3" ht="12.75">
      <c r="C355" s="185"/>
    </row>
    <row r="356" spans="3:3" ht="12.75">
      <c r="C356" s="185"/>
    </row>
    <row r="357" spans="3:3" ht="12.75">
      <c r="C357" s="185"/>
    </row>
    <row r="358" spans="3:3" ht="12.75">
      <c r="C358" s="185"/>
    </row>
    <row r="359" spans="3:3" ht="12.75">
      <c r="C359" s="185"/>
    </row>
    <row r="360" spans="3:3" ht="12.75">
      <c r="C360" s="185"/>
    </row>
    <row r="361" spans="3:3" ht="12.75">
      <c r="C361" s="185"/>
    </row>
    <row r="362" spans="3:3" ht="12.75">
      <c r="C362" s="185"/>
    </row>
    <row r="363" spans="3:3" ht="12.75">
      <c r="C363" s="185"/>
    </row>
    <row r="364" spans="3:3" ht="12.75">
      <c r="C364" s="185"/>
    </row>
    <row r="365" spans="3:3" ht="12.75">
      <c r="C365" s="185"/>
    </row>
    <row r="366" spans="3:3" ht="12.75">
      <c r="C366" s="185"/>
    </row>
    <row r="367" spans="3:3" ht="12.75">
      <c r="C367" s="185"/>
    </row>
    <row r="368" spans="3:3" ht="12.75">
      <c r="C368" s="185"/>
    </row>
    <row r="369" spans="3:3" ht="12.75">
      <c r="C369" s="185"/>
    </row>
    <row r="370" spans="3:3" ht="12.75">
      <c r="C370" s="185"/>
    </row>
    <row r="371" spans="3:3" ht="12.75">
      <c r="C371" s="185"/>
    </row>
    <row r="372" spans="3:3" ht="12.75">
      <c r="C372" s="185"/>
    </row>
    <row r="373" spans="3:3" ht="12.75">
      <c r="C373" s="185"/>
    </row>
    <row r="374" spans="3:3" ht="12.75">
      <c r="C374" s="185"/>
    </row>
    <row r="375" spans="3:3" ht="12.75">
      <c r="C375" s="185"/>
    </row>
    <row r="376" spans="3:3" ht="12.75">
      <c r="C376" s="185"/>
    </row>
    <row r="377" spans="3:3" ht="12.75">
      <c r="C377" s="185"/>
    </row>
    <row r="378" spans="3:3" ht="12.75">
      <c r="C378" s="185"/>
    </row>
    <row r="379" spans="3:3" ht="12.75">
      <c r="C379" s="185"/>
    </row>
    <row r="380" spans="3:3" ht="12.75">
      <c r="C380" s="185"/>
    </row>
    <row r="381" spans="3:3" ht="12.75">
      <c r="C381" s="185"/>
    </row>
    <row r="382" spans="3:3" ht="12.75">
      <c r="C382" s="185"/>
    </row>
    <row r="383" spans="3:3" ht="12.75">
      <c r="C383" s="185"/>
    </row>
    <row r="384" spans="3:3" ht="12.75">
      <c r="C384" s="185"/>
    </row>
    <row r="385" spans="3:3" ht="12.75">
      <c r="C385" s="185"/>
    </row>
    <row r="386" spans="3:3" ht="12.75">
      <c r="C386" s="185"/>
    </row>
    <row r="387" spans="3:3" ht="12.75">
      <c r="C387" s="185"/>
    </row>
    <row r="388" spans="3:3" ht="12.75">
      <c r="C388" s="185"/>
    </row>
    <row r="389" spans="3:3" ht="12.75">
      <c r="C389" s="185"/>
    </row>
    <row r="390" spans="3:3" ht="12.75">
      <c r="C390" s="185"/>
    </row>
    <row r="391" spans="3:3" ht="12.75">
      <c r="C391" s="185"/>
    </row>
    <row r="392" spans="3:3" ht="12.75">
      <c r="C392" s="185"/>
    </row>
    <row r="393" spans="3:3" ht="12.75">
      <c r="C393" s="185"/>
    </row>
    <row r="394" spans="3:3" ht="12.75">
      <c r="C394" s="185"/>
    </row>
    <row r="395" spans="3:3" ht="12.75">
      <c r="C395" s="185"/>
    </row>
    <row r="396" spans="3:3" ht="12.75">
      <c r="C396" s="185"/>
    </row>
    <row r="397" spans="3:3" ht="12.75">
      <c r="C397" s="185"/>
    </row>
    <row r="398" spans="3:3" ht="12.75">
      <c r="C398" s="185"/>
    </row>
    <row r="399" spans="3:3" ht="12.75">
      <c r="C399" s="185"/>
    </row>
    <row r="400" spans="3:3" ht="12.75">
      <c r="C400" s="185"/>
    </row>
    <row r="401" spans="3:3" ht="12.75">
      <c r="C401" s="185"/>
    </row>
    <row r="402" spans="3:3" ht="12.75">
      <c r="C402" s="185"/>
    </row>
    <row r="403" spans="3:3" ht="12.75">
      <c r="C403" s="185"/>
    </row>
    <row r="404" spans="3:3" ht="12.75">
      <c r="C404" s="185"/>
    </row>
    <row r="405" spans="3:3" ht="12.75">
      <c r="C405" s="185"/>
    </row>
    <row r="406" spans="3:3" ht="12.75">
      <c r="C406" s="185"/>
    </row>
    <row r="407" spans="3:3" ht="12.75">
      <c r="C407" s="185"/>
    </row>
    <row r="408" spans="3:3" ht="12.75">
      <c r="C408" s="185"/>
    </row>
    <row r="409" spans="3:3" ht="12.75">
      <c r="C409" s="185"/>
    </row>
    <row r="410" spans="3:3" ht="12.75">
      <c r="C410" s="185"/>
    </row>
    <row r="411" spans="3:3" ht="12.75">
      <c r="C411" s="185"/>
    </row>
    <row r="412" spans="3:3" ht="12.75">
      <c r="C412" s="185"/>
    </row>
    <row r="413" spans="3:3" ht="12.75">
      <c r="C413" s="185"/>
    </row>
    <row r="414" spans="3:3" ht="12.75">
      <c r="C414" s="185"/>
    </row>
    <row r="415" spans="3:3" ht="12.75">
      <c r="C415" s="185"/>
    </row>
    <row r="416" spans="3:3" ht="12.75">
      <c r="C416" s="185"/>
    </row>
    <row r="417" spans="3:3" ht="12.75">
      <c r="C417" s="185"/>
    </row>
    <row r="418" spans="3:3" ht="12.75">
      <c r="C418" s="185"/>
    </row>
    <row r="419" spans="3:3" ht="12.75">
      <c r="C419" s="185"/>
    </row>
    <row r="420" spans="3:3" ht="12.75">
      <c r="C420" s="185"/>
    </row>
    <row r="421" spans="3:3" ht="12.75">
      <c r="C421" s="185"/>
    </row>
    <row r="422" spans="3:3" ht="12.75">
      <c r="C422" s="185"/>
    </row>
    <row r="423" spans="3:3" ht="12.75">
      <c r="C423" s="185"/>
    </row>
    <row r="424" spans="3:3" ht="12.75">
      <c r="C424" s="185"/>
    </row>
    <row r="425" spans="3:3" ht="12.75">
      <c r="C425" s="185"/>
    </row>
    <row r="426" spans="3:3" ht="12.75">
      <c r="C426" s="185"/>
    </row>
    <row r="427" spans="3:3" ht="12.75">
      <c r="C427" s="185"/>
    </row>
    <row r="428" spans="3:3" ht="12.75">
      <c r="C428" s="185"/>
    </row>
    <row r="429" spans="3:3" ht="12.75">
      <c r="C429" s="185"/>
    </row>
    <row r="430" spans="3:3" ht="12.75">
      <c r="C430" s="185"/>
    </row>
    <row r="431" spans="3:3" ht="12.75">
      <c r="C431" s="185"/>
    </row>
    <row r="432" spans="3:3" ht="12.75">
      <c r="C432" s="185"/>
    </row>
    <row r="433" spans="3:3" ht="12.75">
      <c r="C433" s="185"/>
    </row>
    <row r="434" spans="3:3" ht="12.75">
      <c r="C434" s="185"/>
    </row>
    <row r="435" spans="3:3" ht="12.75">
      <c r="C435" s="185"/>
    </row>
    <row r="436" spans="3:3" ht="12.75">
      <c r="C436" s="185"/>
    </row>
    <row r="437" spans="3:3" ht="12.75">
      <c r="C437" s="185"/>
    </row>
    <row r="438" spans="3:3" ht="12.75">
      <c r="C438" s="185"/>
    </row>
    <row r="439" spans="3:3" ht="12.75">
      <c r="C439" s="185"/>
    </row>
    <row r="440" spans="3:3" ht="12.75">
      <c r="C440" s="185"/>
    </row>
    <row r="441" spans="3:3" ht="12.75">
      <c r="C441" s="185"/>
    </row>
    <row r="442" spans="3:3" ht="12.75">
      <c r="C442" s="185"/>
    </row>
    <row r="443" spans="3:3" ht="12.75">
      <c r="C443" s="185"/>
    </row>
    <row r="444" spans="3:3" ht="12.75">
      <c r="C444" s="185"/>
    </row>
    <row r="445" spans="3:3" ht="12.75">
      <c r="C445" s="185"/>
    </row>
    <row r="446" spans="3:3" ht="12.75">
      <c r="C446" s="185"/>
    </row>
    <row r="447" spans="3:3" ht="12.75">
      <c r="C447" s="185"/>
    </row>
    <row r="448" spans="3:3" ht="12.75">
      <c r="C448" s="185"/>
    </row>
    <row r="449" spans="3:3" ht="12.75">
      <c r="C449" s="185"/>
    </row>
    <row r="450" spans="3:3" ht="12.75">
      <c r="C450" s="185"/>
    </row>
    <row r="451" spans="3:3" ht="12.75">
      <c r="C451" s="185"/>
    </row>
    <row r="452" spans="3:3" ht="12.75">
      <c r="C452" s="185"/>
    </row>
    <row r="453" spans="3:3" ht="12.75">
      <c r="C453" s="185"/>
    </row>
    <row r="454" spans="3:3" ht="12.75">
      <c r="C454" s="185"/>
    </row>
    <row r="455" spans="3:3" ht="12.75">
      <c r="C455" s="185"/>
    </row>
    <row r="456" spans="3:3" ht="12.75">
      <c r="C456" s="185"/>
    </row>
    <row r="457" spans="3:3" ht="12.75">
      <c r="C457" s="185"/>
    </row>
    <row r="458" spans="3:3" ht="12.75">
      <c r="C458" s="185"/>
    </row>
    <row r="459" spans="3:3" ht="12.75">
      <c r="C459" s="185"/>
    </row>
    <row r="460" spans="3:3" ht="12.75">
      <c r="C460" s="185"/>
    </row>
    <row r="461" spans="3:3" ht="12.75">
      <c r="C461" s="185"/>
    </row>
    <row r="462" spans="3:3" ht="12.75">
      <c r="C462" s="185"/>
    </row>
    <row r="463" spans="3:3" ht="12.75">
      <c r="C463" s="185"/>
    </row>
    <row r="464" spans="3:3" ht="12.75">
      <c r="C464" s="185"/>
    </row>
    <row r="465" spans="3:3" ht="12.75">
      <c r="C465" s="185"/>
    </row>
    <row r="466" spans="3:3" ht="12.75">
      <c r="C466" s="185"/>
    </row>
    <row r="467" spans="3:3" ht="12.75">
      <c r="C467" s="185"/>
    </row>
    <row r="468" spans="3:3" ht="12.75">
      <c r="C468" s="185"/>
    </row>
    <row r="469" spans="3:3" ht="12.75">
      <c r="C469" s="185"/>
    </row>
    <row r="470" spans="3:3" ht="12.75">
      <c r="C470" s="185"/>
    </row>
    <row r="471" spans="3:3" ht="12.75">
      <c r="C471" s="185"/>
    </row>
    <row r="472" spans="3:3" ht="12.75">
      <c r="C472" s="185"/>
    </row>
    <row r="473" spans="3:3" ht="12.75">
      <c r="C473" s="185"/>
    </row>
    <row r="474" spans="3:3" ht="12.75">
      <c r="C474" s="185"/>
    </row>
    <row r="475" spans="3:3" ht="12.75">
      <c r="C475" s="185"/>
    </row>
    <row r="476" spans="3:3" ht="12.75">
      <c r="C476" s="185"/>
    </row>
    <row r="477" spans="3:3" ht="12.75">
      <c r="C477" s="185"/>
    </row>
    <row r="478" spans="3:3" ht="12.75">
      <c r="C478" s="185"/>
    </row>
    <row r="479" spans="3:3" ht="12.75">
      <c r="C479" s="185"/>
    </row>
    <row r="480" spans="3:3" ht="12.75">
      <c r="C480" s="185"/>
    </row>
    <row r="481" spans="3:3" ht="12.75">
      <c r="C481" s="185"/>
    </row>
    <row r="482" spans="3:3" ht="12.75">
      <c r="C482" s="185"/>
    </row>
    <row r="483" spans="3:3" ht="12.75">
      <c r="C483" s="185"/>
    </row>
    <row r="484" spans="3:3" ht="12.75">
      <c r="C484" s="185"/>
    </row>
    <row r="485" spans="3:3" ht="12.75">
      <c r="C485" s="185"/>
    </row>
    <row r="486" spans="3:3" ht="12.75">
      <c r="C486" s="185"/>
    </row>
    <row r="487" spans="3:3" ht="12.75">
      <c r="C487" s="185"/>
    </row>
    <row r="488" spans="3:3" ht="12.75">
      <c r="C488" s="185"/>
    </row>
    <row r="489" spans="3:3" ht="12.75">
      <c r="C489" s="185"/>
    </row>
    <row r="490" spans="3:3" ht="12.75">
      <c r="C490" s="185"/>
    </row>
    <row r="491" spans="3:3" ht="12.75">
      <c r="C491" s="185"/>
    </row>
    <row r="492" spans="3:3" ht="12.75">
      <c r="C492" s="185"/>
    </row>
    <row r="493" spans="3:3" ht="12.75">
      <c r="C493" s="185"/>
    </row>
    <row r="494" spans="3:3" ht="12.75">
      <c r="C494" s="185"/>
    </row>
    <row r="495" spans="3:3" ht="12.75">
      <c r="C495" s="185"/>
    </row>
    <row r="496" spans="3:3" ht="12.75">
      <c r="C496" s="185"/>
    </row>
    <row r="497" spans="3:3" ht="12.75">
      <c r="C497" s="185"/>
    </row>
    <row r="498" spans="3:3" ht="12.75">
      <c r="C498" s="185"/>
    </row>
    <row r="499" spans="3:3" ht="12.75">
      <c r="C499" s="185"/>
    </row>
    <row r="500" spans="3:3" ht="12.75">
      <c r="C500" s="185"/>
    </row>
    <row r="501" spans="3:3" ht="12.75">
      <c r="C501" s="185"/>
    </row>
    <row r="502" spans="3:3" ht="12.75">
      <c r="C502" s="185"/>
    </row>
    <row r="503" spans="3:3" ht="12.75">
      <c r="C503" s="185"/>
    </row>
    <row r="504" spans="3:3" ht="12.75">
      <c r="C504" s="185"/>
    </row>
    <row r="505" spans="3:3" ht="12.75">
      <c r="C505" s="185"/>
    </row>
    <row r="506" spans="3:3" ht="12.75">
      <c r="C506" s="185"/>
    </row>
    <row r="507" spans="3:3" ht="12.75">
      <c r="C507" s="185"/>
    </row>
    <row r="508" spans="3:3" ht="12.75">
      <c r="C508" s="185"/>
    </row>
    <row r="509" spans="3:3" ht="12.75">
      <c r="C509" s="185"/>
    </row>
    <row r="510" spans="3:3" ht="12.75">
      <c r="C510" s="185"/>
    </row>
    <row r="511" spans="3:3" ht="12.75">
      <c r="C511" s="185"/>
    </row>
    <row r="512" spans="3:3" ht="12.75">
      <c r="C512" s="185"/>
    </row>
    <row r="513" spans="3:3" ht="12.75">
      <c r="C513" s="185"/>
    </row>
    <row r="514" spans="3:3" ht="12.75">
      <c r="C514" s="185"/>
    </row>
    <row r="515" spans="3:3" ht="12.75">
      <c r="C515" s="185"/>
    </row>
    <row r="516" spans="3:3" ht="12.75">
      <c r="C516" s="185"/>
    </row>
    <row r="517" spans="3:3" ht="12.75">
      <c r="C517" s="185"/>
    </row>
    <row r="518" spans="3:3" ht="12.75">
      <c r="C518" s="185"/>
    </row>
    <row r="519" spans="3:3" ht="12.75">
      <c r="C519" s="185"/>
    </row>
    <row r="520" spans="3:3" ht="12.75">
      <c r="C520" s="185"/>
    </row>
    <row r="521" spans="3:3" ht="12.75">
      <c r="C521" s="185"/>
    </row>
    <row r="522" spans="3:3" ht="12.75">
      <c r="C522" s="185"/>
    </row>
    <row r="523" spans="3:3" ht="12.75">
      <c r="C523" s="185"/>
    </row>
    <row r="524" spans="3:3" ht="12.75">
      <c r="C524" s="185"/>
    </row>
    <row r="525" spans="3:3" ht="12.75">
      <c r="C525" s="185"/>
    </row>
    <row r="526" spans="3:3" ht="12.75">
      <c r="C526" s="185"/>
    </row>
    <row r="527" spans="3:3" ht="12.75">
      <c r="C527" s="185"/>
    </row>
    <row r="528" spans="3:3" ht="12.75">
      <c r="C528" s="185"/>
    </row>
    <row r="529" spans="3:3" ht="12.75">
      <c r="C529" s="185"/>
    </row>
    <row r="530" spans="3:3" ht="12.75">
      <c r="C530" s="185"/>
    </row>
    <row r="531" spans="3:3" ht="12.75">
      <c r="C531" s="185"/>
    </row>
    <row r="532" spans="3:3" ht="12.75">
      <c r="C532" s="185"/>
    </row>
    <row r="533" spans="3:3" ht="12.75">
      <c r="C533" s="185"/>
    </row>
    <row r="534" spans="3:3" ht="12.75">
      <c r="C534" s="185"/>
    </row>
    <row r="535" spans="3:3" ht="12.75">
      <c r="C535" s="185"/>
    </row>
    <row r="536" spans="3:3" ht="12.75">
      <c r="C536" s="185"/>
    </row>
    <row r="537" spans="3:3" ht="12.75">
      <c r="C537" s="185"/>
    </row>
    <row r="538" spans="3:3" ht="12.75">
      <c r="C538" s="185"/>
    </row>
    <row r="539" spans="3:3" ht="12.75">
      <c r="C539" s="185"/>
    </row>
    <row r="540" spans="3:3" ht="12.75">
      <c r="C540" s="185"/>
    </row>
    <row r="541" spans="3:3" ht="12.75">
      <c r="C541" s="185"/>
    </row>
    <row r="542" spans="3:3" ht="12.75">
      <c r="C542" s="185"/>
    </row>
    <row r="543" spans="3:3" ht="12.75">
      <c r="C543" s="185"/>
    </row>
    <row r="544" spans="3:3" ht="12.75">
      <c r="C544" s="185"/>
    </row>
    <row r="545" spans="3:3" ht="12.75">
      <c r="C545" s="185"/>
    </row>
    <row r="546" spans="3:3" ht="12.75">
      <c r="C546" s="185"/>
    </row>
    <row r="547" spans="3:3" ht="12.75">
      <c r="C547" s="185"/>
    </row>
    <row r="548" spans="3:3" ht="12.75">
      <c r="C548" s="185"/>
    </row>
    <row r="549" spans="3:3" ht="12.75">
      <c r="C549" s="185"/>
    </row>
    <row r="550" spans="3:3" ht="12.75">
      <c r="C550" s="185"/>
    </row>
    <row r="551" spans="3:3" ht="12.75">
      <c r="C551" s="185"/>
    </row>
    <row r="552" spans="3:3" ht="12.75">
      <c r="C552" s="185"/>
    </row>
    <row r="553" spans="3:3" ht="12.75">
      <c r="C553" s="185"/>
    </row>
    <row r="554" spans="3:3" ht="12.75">
      <c r="C554" s="185"/>
    </row>
    <row r="555" spans="3:3" ht="12.75">
      <c r="C555" s="185"/>
    </row>
    <row r="556" spans="3:3" ht="12.75">
      <c r="C556" s="185"/>
    </row>
    <row r="557" spans="3:3" ht="12.75">
      <c r="C557" s="185"/>
    </row>
    <row r="558" spans="3:3" ht="12.75">
      <c r="C558" s="185"/>
    </row>
    <row r="559" spans="3:3" ht="12.75">
      <c r="C559" s="185"/>
    </row>
    <row r="560" spans="3:3" ht="12.75">
      <c r="C560" s="185"/>
    </row>
    <row r="561" spans="3:3" ht="12.75">
      <c r="C561" s="185"/>
    </row>
    <row r="562" spans="3:3" ht="12.75">
      <c r="C562" s="185"/>
    </row>
    <row r="563" spans="3:3" ht="12.75">
      <c r="C563" s="185"/>
    </row>
    <row r="564" spans="3:3" ht="12.75">
      <c r="C564" s="185"/>
    </row>
    <row r="565" spans="3:3" ht="12.75">
      <c r="C565" s="185"/>
    </row>
    <row r="566" spans="3:3" ht="12.75">
      <c r="C566" s="185"/>
    </row>
    <row r="567" spans="3:3" ht="12.75">
      <c r="C567" s="185"/>
    </row>
    <row r="568" spans="3:3" ht="12.75">
      <c r="C568" s="185"/>
    </row>
    <row r="569" spans="3:3" ht="12.75">
      <c r="C569" s="185"/>
    </row>
    <row r="570" spans="3:3" ht="12.75">
      <c r="C570" s="185"/>
    </row>
    <row r="571" spans="3:3" ht="12.75">
      <c r="C571" s="185"/>
    </row>
    <row r="572" spans="3:3" ht="12.75">
      <c r="C572" s="185"/>
    </row>
    <row r="573" spans="3:3" ht="12.75">
      <c r="C573" s="185"/>
    </row>
    <row r="574" spans="3:3" ht="12.75">
      <c r="C574" s="185"/>
    </row>
    <row r="575" spans="3:3" ht="12.75">
      <c r="C575" s="185"/>
    </row>
    <row r="576" spans="3:3" ht="12.75">
      <c r="C576" s="185"/>
    </row>
    <row r="577" spans="3:3" ht="12.75">
      <c r="C577" s="185"/>
    </row>
    <row r="578" spans="3:3" ht="12.75">
      <c r="C578" s="185"/>
    </row>
    <row r="579" spans="3:3" ht="12.75">
      <c r="C579" s="185"/>
    </row>
    <row r="580" spans="3:3" ht="12.75">
      <c r="C580" s="185"/>
    </row>
    <row r="581" spans="3:3" ht="12.75">
      <c r="C581" s="185"/>
    </row>
    <row r="582" spans="3:3" ht="12.75">
      <c r="C582" s="185"/>
    </row>
    <row r="583" spans="3:3" ht="12.75">
      <c r="C583" s="185"/>
    </row>
    <row r="584" spans="3:3" ht="12.75">
      <c r="C584" s="185"/>
    </row>
    <row r="585" spans="3:3" ht="12.75">
      <c r="C585" s="185"/>
    </row>
    <row r="586" spans="3:3" ht="12.75">
      <c r="C586" s="185"/>
    </row>
    <row r="587" spans="3:3" ht="12.75">
      <c r="C587" s="185"/>
    </row>
    <row r="588" spans="3:3" ht="12.75">
      <c r="C588" s="185"/>
    </row>
    <row r="589" spans="3:3" ht="12.75">
      <c r="C589" s="185"/>
    </row>
    <row r="590" spans="3:3" ht="12.75">
      <c r="C590" s="185"/>
    </row>
    <row r="591" spans="3:3" ht="12.75">
      <c r="C591" s="185"/>
    </row>
    <row r="592" spans="3:3" ht="12.75">
      <c r="C592" s="185"/>
    </row>
    <row r="593" spans="3:3" ht="12.75">
      <c r="C593" s="185"/>
    </row>
    <row r="594" spans="3:3" ht="12.75">
      <c r="C594" s="185"/>
    </row>
    <row r="595" spans="3:3" ht="12.75">
      <c r="C595" s="185"/>
    </row>
    <row r="596" spans="3:3" ht="12.75">
      <c r="C596" s="185"/>
    </row>
    <row r="597" spans="3:3" ht="12.75">
      <c r="C597" s="185"/>
    </row>
    <row r="598" spans="3:3" ht="12.75">
      <c r="C598" s="185"/>
    </row>
    <row r="599" spans="3:3" ht="12.75">
      <c r="C599" s="185"/>
    </row>
    <row r="600" spans="3:3" ht="12.75">
      <c r="C600" s="185"/>
    </row>
    <row r="601" spans="3:3" ht="12.75">
      <c r="C601" s="185"/>
    </row>
    <row r="602" spans="3:3" ht="12.75">
      <c r="C602" s="185"/>
    </row>
    <row r="603" spans="3:3" ht="12.75">
      <c r="C603" s="185"/>
    </row>
    <row r="604" spans="3:3" ht="12.75">
      <c r="C604" s="185"/>
    </row>
    <row r="605" spans="3:3" ht="12.75">
      <c r="C605" s="185"/>
    </row>
    <row r="606" spans="3:3" ht="12.75">
      <c r="C606" s="185"/>
    </row>
    <row r="607" spans="3:3" ht="12.75">
      <c r="C607" s="185"/>
    </row>
    <row r="608" spans="3:3" ht="12.75">
      <c r="C608" s="185"/>
    </row>
    <row r="609" spans="3:3" ht="12.75">
      <c r="C609" s="185"/>
    </row>
    <row r="610" spans="3:3" ht="12.75">
      <c r="C610" s="185"/>
    </row>
    <row r="611" spans="3:3" ht="12.75">
      <c r="C611" s="185"/>
    </row>
    <row r="612" spans="3:3" ht="12.75">
      <c r="C612" s="185"/>
    </row>
    <row r="613" spans="3:3" ht="12.75">
      <c r="C613" s="185"/>
    </row>
    <row r="614" spans="3:3" ht="12.75">
      <c r="C614" s="185"/>
    </row>
    <row r="615" spans="3:3" ht="12.75">
      <c r="C615" s="185"/>
    </row>
    <row r="616" spans="3:3" ht="12.75">
      <c r="C616" s="185"/>
    </row>
    <row r="617" spans="3:3" ht="12.75">
      <c r="C617" s="185"/>
    </row>
    <row r="618" spans="3:3" ht="12.75">
      <c r="C618" s="185"/>
    </row>
    <row r="619" spans="3:3" ht="12.75">
      <c r="C619" s="185"/>
    </row>
    <row r="620" spans="3:3" ht="12.75">
      <c r="C620" s="185"/>
    </row>
    <row r="621" spans="3:3" ht="12.75">
      <c r="C621" s="185"/>
    </row>
    <row r="622" spans="3:3" ht="12.75">
      <c r="C622" s="185"/>
    </row>
    <row r="623" spans="3:3" ht="12.75">
      <c r="C623" s="185"/>
    </row>
    <row r="624" spans="3:3" ht="12.75">
      <c r="C624" s="185"/>
    </row>
    <row r="625" spans="3:3" ht="12.75">
      <c r="C625" s="185"/>
    </row>
    <row r="626" spans="3:3" ht="12.75">
      <c r="C626" s="185"/>
    </row>
    <row r="627" spans="3:3" ht="12.75">
      <c r="C627" s="185"/>
    </row>
    <row r="628" spans="3:3" ht="12.75">
      <c r="C628" s="185"/>
    </row>
    <row r="629" spans="3:3" ht="12.75">
      <c r="C629" s="185"/>
    </row>
    <row r="630" spans="3:3" ht="12.75">
      <c r="C630" s="185"/>
    </row>
    <row r="631" spans="3:3" ht="12.75">
      <c r="C631" s="185"/>
    </row>
    <row r="632" spans="3:3" ht="12.75">
      <c r="C632" s="185"/>
    </row>
    <row r="633" spans="3:3" ht="12.75">
      <c r="C633" s="185"/>
    </row>
    <row r="634" spans="3:3" ht="12.75">
      <c r="C634" s="185"/>
    </row>
    <row r="635" spans="3:3" ht="12.75">
      <c r="C635" s="185"/>
    </row>
    <row r="636" spans="3:3" ht="12.75">
      <c r="C636" s="185"/>
    </row>
    <row r="637" spans="3:3" ht="12.75">
      <c r="C637" s="185"/>
    </row>
    <row r="638" spans="3:3" ht="12.75">
      <c r="C638" s="185"/>
    </row>
    <row r="639" spans="3:3" ht="12.75">
      <c r="C639" s="185"/>
    </row>
    <row r="640" spans="3:3" ht="12.75">
      <c r="C640" s="185"/>
    </row>
    <row r="641" spans="3:3" ht="12.75">
      <c r="C641" s="185"/>
    </row>
    <row r="642" spans="3:3" ht="12.75">
      <c r="C642" s="185"/>
    </row>
    <row r="643" spans="3:3" ht="12.75">
      <c r="C643" s="185"/>
    </row>
    <row r="644" spans="3:3" ht="12.75">
      <c r="C644" s="185"/>
    </row>
    <row r="645" spans="3:3" ht="12.75">
      <c r="C645" s="185"/>
    </row>
    <row r="646" spans="3:3" ht="12.75">
      <c r="C646" s="185"/>
    </row>
    <row r="647" spans="3:3" ht="12.75">
      <c r="C647" s="185"/>
    </row>
    <row r="648" spans="3:3" ht="12.75">
      <c r="C648" s="185"/>
    </row>
    <row r="649" spans="3:3" ht="12.75">
      <c r="C649" s="185"/>
    </row>
    <row r="650" spans="3:3" ht="12.75">
      <c r="C650" s="185"/>
    </row>
    <row r="651" spans="3:3" ht="12.75">
      <c r="C651" s="185"/>
    </row>
    <row r="652" spans="3:3" ht="12.75">
      <c r="C652" s="185"/>
    </row>
    <row r="653" spans="3:3" ht="12.75">
      <c r="C653" s="185"/>
    </row>
    <row r="654" spans="3:3" ht="12.75">
      <c r="C654" s="185"/>
    </row>
    <row r="655" spans="3:3" ht="12.75">
      <c r="C655" s="185"/>
    </row>
    <row r="656" spans="3:3" ht="12.75">
      <c r="C656" s="185"/>
    </row>
    <row r="657" spans="3:3" ht="12.75">
      <c r="C657" s="185"/>
    </row>
    <row r="658" spans="3:3" ht="12.75">
      <c r="C658" s="185"/>
    </row>
    <row r="659" spans="3:3" ht="12.75">
      <c r="C659" s="185"/>
    </row>
    <row r="660" spans="3:3" ht="12.75">
      <c r="C660" s="185"/>
    </row>
    <row r="661" spans="3:3" ht="12.75">
      <c r="C661" s="185"/>
    </row>
    <row r="662" spans="3:3" ht="12.75">
      <c r="C662" s="185"/>
    </row>
    <row r="663" spans="3:3" ht="12.75">
      <c r="C663" s="185"/>
    </row>
    <row r="664" spans="3:3" ht="12.75">
      <c r="C664" s="185"/>
    </row>
    <row r="665" spans="3:3" ht="12.75">
      <c r="C665" s="185"/>
    </row>
    <row r="666" spans="3:3" ht="12.75">
      <c r="C666" s="185"/>
    </row>
    <row r="667" spans="3:3" ht="12.75">
      <c r="C667" s="185"/>
    </row>
    <row r="668" spans="3:3" ht="12.75">
      <c r="C668" s="185"/>
    </row>
    <row r="669" spans="3:3" ht="12.75">
      <c r="C669" s="185"/>
    </row>
    <row r="670" spans="3:3" ht="12.75">
      <c r="C670" s="185"/>
    </row>
    <row r="671" spans="3:3" ht="12.75">
      <c r="C671" s="185"/>
    </row>
    <row r="672" spans="3:3" ht="12.75">
      <c r="C672" s="185"/>
    </row>
    <row r="673" spans="3:3" ht="12.75">
      <c r="C673" s="185"/>
    </row>
    <row r="674" spans="3:3" ht="12.75">
      <c r="C674" s="185"/>
    </row>
    <row r="675" spans="3:3" ht="12.75">
      <c r="C675" s="185"/>
    </row>
    <row r="676" spans="3:3" ht="12.75">
      <c r="C676" s="185"/>
    </row>
    <row r="677" spans="3:3" ht="12.75">
      <c r="C677" s="185"/>
    </row>
    <row r="678" spans="3:3" ht="12.75">
      <c r="C678" s="185"/>
    </row>
    <row r="679" spans="3:3" ht="12.75">
      <c r="C679" s="185"/>
    </row>
    <row r="680" spans="3:3" ht="12.75">
      <c r="C680" s="185"/>
    </row>
    <row r="681" spans="3:3" ht="12.75">
      <c r="C681" s="185"/>
    </row>
    <row r="682" spans="3:3" ht="12.75">
      <c r="C682" s="185"/>
    </row>
    <row r="683" spans="3:3" ht="12.75">
      <c r="C683" s="185"/>
    </row>
    <row r="684" spans="3:3" ht="12.75">
      <c r="C684" s="185"/>
    </row>
    <row r="685" spans="3:3" ht="12.75">
      <c r="C685" s="185"/>
    </row>
    <row r="686" spans="3:3" ht="12.75">
      <c r="C686" s="185"/>
    </row>
    <row r="687" spans="3:3" ht="12.75">
      <c r="C687" s="185"/>
    </row>
    <row r="688" spans="3:3" ht="12.75">
      <c r="C688" s="185"/>
    </row>
    <row r="689" spans="3:3" ht="12.75">
      <c r="C689" s="185"/>
    </row>
    <row r="690" spans="3:3" ht="12.75">
      <c r="C690" s="185"/>
    </row>
    <row r="691" spans="3:3" ht="12.75">
      <c r="C691" s="185"/>
    </row>
    <row r="692" spans="3:3" ht="12.75">
      <c r="C692" s="185"/>
    </row>
    <row r="693" spans="3:3" ht="12.75">
      <c r="C693" s="185"/>
    </row>
    <row r="694" spans="3:3" ht="12.75">
      <c r="C694" s="185"/>
    </row>
    <row r="695" spans="3:3" ht="12.75">
      <c r="C695" s="185"/>
    </row>
    <row r="696" spans="3:3" ht="12.75">
      <c r="C696" s="185"/>
    </row>
    <row r="697" spans="3:3" ht="12.75">
      <c r="C697" s="185"/>
    </row>
    <row r="698" spans="3:3" ht="12.75">
      <c r="C698" s="185"/>
    </row>
    <row r="699" spans="3:3" ht="12.75">
      <c r="C699" s="185"/>
    </row>
    <row r="700" spans="3:3" ht="12.75">
      <c r="C700" s="185"/>
    </row>
    <row r="701" spans="3:3" ht="12.75">
      <c r="C701" s="185"/>
    </row>
    <row r="702" spans="3:3" ht="12.75">
      <c r="C702" s="185"/>
    </row>
    <row r="703" spans="3:3" ht="12.75">
      <c r="C703" s="185"/>
    </row>
    <row r="704" spans="3:3" ht="12.75">
      <c r="C704" s="185"/>
    </row>
    <row r="705" spans="3:3" ht="12.75">
      <c r="C705" s="185"/>
    </row>
    <row r="706" spans="3:3" ht="12.75">
      <c r="C706" s="185"/>
    </row>
    <row r="707" spans="3:3" ht="12.75">
      <c r="C707" s="185"/>
    </row>
    <row r="708" spans="3:3" ht="12.75">
      <c r="C708" s="185"/>
    </row>
    <row r="709" spans="3:3" ht="12.75">
      <c r="C709" s="185"/>
    </row>
    <row r="710" spans="3:3" ht="12.75">
      <c r="C710" s="185"/>
    </row>
    <row r="711" spans="3:3" ht="12.75">
      <c r="C711" s="185"/>
    </row>
    <row r="712" spans="3:3" ht="12.75">
      <c r="C712" s="185"/>
    </row>
    <row r="713" spans="3:3" ht="12.75">
      <c r="C713" s="185"/>
    </row>
    <row r="714" spans="3:3" ht="12.75">
      <c r="C714" s="185"/>
    </row>
    <row r="715" spans="3:3" ht="12.75">
      <c r="C715" s="185"/>
    </row>
    <row r="716" spans="3:3" ht="12.75">
      <c r="C716" s="185"/>
    </row>
    <row r="717" spans="3:3" ht="12.75">
      <c r="C717" s="185"/>
    </row>
    <row r="718" spans="3:3" ht="12.75">
      <c r="C718" s="185"/>
    </row>
    <row r="719" spans="3:3" ht="12.75">
      <c r="C719" s="185"/>
    </row>
    <row r="720" spans="3:3" ht="12.75">
      <c r="C720" s="185"/>
    </row>
    <row r="721" spans="3:3" ht="12.75">
      <c r="C721" s="185"/>
    </row>
    <row r="722" spans="3:3" ht="12.75">
      <c r="C722" s="185"/>
    </row>
    <row r="723" spans="3:3" ht="12.75">
      <c r="C723" s="185"/>
    </row>
    <row r="724" spans="3:3" ht="12.75">
      <c r="C724" s="185"/>
    </row>
    <row r="725" spans="3:3" ht="12.75">
      <c r="C725" s="185"/>
    </row>
    <row r="726" spans="3:3" ht="12.75">
      <c r="C726" s="185"/>
    </row>
    <row r="727" spans="3:3" ht="12.75">
      <c r="C727" s="185"/>
    </row>
    <row r="728" spans="3:3" ht="12.75">
      <c r="C728" s="185"/>
    </row>
    <row r="729" spans="3:3" ht="12.75">
      <c r="C729" s="185"/>
    </row>
    <row r="730" spans="3:3" ht="12.75">
      <c r="C730" s="185"/>
    </row>
    <row r="731" spans="3:3" ht="12.75">
      <c r="C731" s="185"/>
    </row>
    <row r="732" spans="3:3" ht="12.75">
      <c r="C732" s="185"/>
    </row>
    <row r="733" spans="3:3" ht="12.75">
      <c r="C733" s="185"/>
    </row>
    <row r="734" spans="3:3" ht="12.75">
      <c r="C734" s="185"/>
    </row>
    <row r="735" spans="3:3" ht="12.75">
      <c r="C735" s="185"/>
    </row>
    <row r="736" spans="3:3" ht="12.75">
      <c r="C736" s="185"/>
    </row>
    <row r="737" spans="3:3" ht="12.75">
      <c r="C737" s="185"/>
    </row>
    <row r="738" spans="3:3" ht="12.75">
      <c r="C738" s="185"/>
    </row>
    <row r="739" spans="3:3" ht="12.75">
      <c r="C739" s="185"/>
    </row>
    <row r="740" spans="3:3" ht="12.75">
      <c r="C740" s="185"/>
    </row>
    <row r="741" spans="3:3" ht="12.75">
      <c r="C741" s="185"/>
    </row>
    <row r="742" spans="3:3" ht="12.75">
      <c r="C742" s="185"/>
    </row>
    <row r="743" spans="3:3" ht="12.75">
      <c r="C743" s="185"/>
    </row>
    <row r="744" spans="3:3" ht="12.75">
      <c r="C744" s="185"/>
    </row>
    <row r="745" spans="3:3" ht="12.75">
      <c r="C745" s="185"/>
    </row>
    <row r="746" spans="3:3" ht="12.75">
      <c r="C746" s="185"/>
    </row>
    <row r="747" spans="3:3" ht="12.75">
      <c r="C747" s="185"/>
    </row>
    <row r="748" spans="3:3" ht="12.75">
      <c r="C748" s="185"/>
    </row>
    <row r="749" spans="3:3" ht="12.75">
      <c r="C749" s="185"/>
    </row>
    <row r="750" spans="3:3" ht="12.75">
      <c r="C750" s="185"/>
    </row>
    <row r="751" spans="3:3" ht="12.75">
      <c r="C751" s="185"/>
    </row>
    <row r="752" spans="3:3" ht="12.75">
      <c r="C752" s="185"/>
    </row>
    <row r="753" spans="3:3" ht="12.75">
      <c r="C753" s="185"/>
    </row>
    <row r="754" spans="3:3" ht="12.75">
      <c r="C754" s="185"/>
    </row>
    <row r="755" spans="3:3" ht="12.75">
      <c r="C755" s="185"/>
    </row>
    <row r="756" spans="3:3" ht="12.75">
      <c r="C756" s="185"/>
    </row>
    <row r="757" spans="3:3" ht="12.75">
      <c r="C757" s="185"/>
    </row>
    <row r="758" spans="3:3" ht="12.75">
      <c r="C758" s="185"/>
    </row>
    <row r="759" spans="3:3" ht="12.75">
      <c r="C759" s="185"/>
    </row>
    <row r="760" spans="3:3" ht="12.75">
      <c r="C760" s="185"/>
    </row>
    <row r="761" spans="3:3" ht="12.75">
      <c r="C761" s="185"/>
    </row>
    <row r="762" spans="3:3" ht="12.75">
      <c r="C762" s="185"/>
    </row>
    <row r="763" spans="3:3" ht="12.75">
      <c r="C763" s="185"/>
    </row>
    <row r="764" spans="3:3" ht="12.75">
      <c r="C764" s="185"/>
    </row>
    <row r="765" spans="3:3" ht="12.75">
      <c r="C765" s="185"/>
    </row>
    <row r="766" spans="3:3" ht="12.75">
      <c r="C766" s="185"/>
    </row>
    <row r="767" spans="3:3" ht="12.75">
      <c r="C767" s="185"/>
    </row>
    <row r="768" spans="3:3" ht="12.75">
      <c r="C768" s="185"/>
    </row>
    <row r="769" spans="3:3" ht="12.75">
      <c r="C769" s="185"/>
    </row>
    <row r="770" spans="3:3" ht="12.75">
      <c r="C770" s="185"/>
    </row>
    <row r="771" spans="3:3" ht="12.75">
      <c r="C771" s="185"/>
    </row>
    <row r="772" spans="3:3" ht="12.75">
      <c r="C772" s="185"/>
    </row>
    <row r="773" spans="3:3" ht="12.75">
      <c r="C773" s="185"/>
    </row>
    <row r="774" spans="3:3" ht="12.75">
      <c r="C774" s="185"/>
    </row>
    <row r="775" spans="3:3" ht="12.75">
      <c r="C775" s="185"/>
    </row>
    <row r="776" spans="3:3" ht="12.75">
      <c r="C776" s="185"/>
    </row>
    <row r="777" spans="3:3" ht="12.75">
      <c r="C777" s="185"/>
    </row>
    <row r="778" spans="3:3" ht="12.75">
      <c r="C778" s="185"/>
    </row>
    <row r="779" spans="3:3" ht="12.75">
      <c r="C779" s="185"/>
    </row>
    <row r="780" spans="3:3" ht="12.75">
      <c r="C780" s="185"/>
    </row>
    <row r="781" spans="3:3" ht="12.75">
      <c r="C781" s="185"/>
    </row>
    <row r="782" spans="3:3" ht="12.75">
      <c r="C782" s="185"/>
    </row>
    <row r="783" spans="3:3" ht="12.75">
      <c r="C783" s="185"/>
    </row>
    <row r="784" spans="3:3" ht="12.75">
      <c r="C784" s="185"/>
    </row>
    <row r="785" spans="3:3" ht="12.75">
      <c r="C785" s="185"/>
    </row>
    <row r="786" spans="3:3" ht="12.75">
      <c r="C786" s="185"/>
    </row>
    <row r="787" spans="3:3" ht="12.75">
      <c r="C787" s="185"/>
    </row>
    <row r="788" spans="3:3" ht="12.75">
      <c r="C788" s="185"/>
    </row>
    <row r="789" spans="3:3" ht="12.75">
      <c r="C789" s="185"/>
    </row>
    <row r="790" spans="3:3" ht="12.75">
      <c r="C790" s="185"/>
    </row>
    <row r="791" spans="3:3" ht="12.75">
      <c r="C791" s="185"/>
    </row>
    <row r="792" spans="3:3" ht="12.75">
      <c r="C792" s="185"/>
    </row>
    <row r="793" spans="3:3" ht="12.75">
      <c r="C793" s="185"/>
    </row>
    <row r="794" spans="3:3" ht="12.75">
      <c r="C794" s="185"/>
    </row>
    <row r="795" spans="3:3" ht="12.75">
      <c r="C795" s="185"/>
    </row>
    <row r="796" spans="3:3" ht="12.75">
      <c r="C796" s="185"/>
    </row>
    <row r="797" spans="3:3" ht="12.75">
      <c r="C797" s="185"/>
    </row>
    <row r="798" spans="3:3" ht="12.75">
      <c r="C798" s="185"/>
    </row>
    <row r="799" spans="3:3" ht="12.75">
      <c r="C799" s="185"/>
    </row>
    <row r="800" spans="3:3" ht="12.75">
      <c r="C800" s="185"/>
    </row>
    <row r="801" spans="3:3" ht="12.75">
      <c r="C801" s="185"/>
    </row>
    <row r="802" spans="3:3" ht="12.75">
      <c r="C802" s="185"/>
    </row>
    <row r="803" spans="3:3" ht="12.75">
      <c r="C803" s="185"/>
    </row>
    <row r="804" spans="3:3" ht="12.75">
      <c r="C804" s="185"/>
    </row>
    <row r="805" spans="3:3" ht="12.75">
      <c r="C805" s="185"/>
    </row>
    <row r="806" spans="3:3" ht="12.75">
      <c r="C806" s="185"/>
    </row>
    <row r="807" spans="3:3" ht="12.75">
      <c r="C807" s="185"/>
    </row>
    <row r="808" spans="3:3" ht="12.75">
      <c r="C808" s="185"/>
    </row>
    <row r="809" spans="3:3" ht="12.75">
      <c r="C809" s="185"/>
    </row>
    <row r="810" spans="3:3" ht="12.75">
      <c r="C810" s="185"/>
    </row>
    <row r="811" spans="3:3" ht="12.75">
      <c r="C811" s="185"/>
    </row>
    <row r="812" spans="3:3" ht="12.75">
      <c r="C812" s="185"/>
    </row>
    <row r="813" spans="3:3" ht="12.75">
      <c r="C813" s="185"/>
    </row>
    <row r="814" spans="3:3" ht="12.75">
      <c r="C814" s="185"/>
    </row>
    <row r="815" spans="3:3" ht="12.75">
      <c r="C815" s="185"/>
    </row>
    <row r="816" spans="3:3" ht="12.75">
      <c r="C816" s="185"/>
    </row>
    <row r="817" spans="3:3" ht="12.75">
      <c r="C817" s="185"/>
    </row>
    <row r="818" spans="3:3" ht="12.75">
      <c r="C818" s="185"/>
    </row>
    <row r="819" spans="3:3" ht="12.75">
      <c r="C819" s="185"/>
    </row>
    <row r="820" spans="3:3" ht="12.75">
      <c r="C820" s="185"/>
    </row>
    <row r="821" spans="3:3" ht="12.75">
      <c r="C821" s="185"/>
    </row>
    <row r="822" spans="3:3" ht="12.75">
      <c r="C822" s="185"/>
    </row>
    <row r="823" spans="3:3" ht="12.75">
      <c r="C823" s="185"/>
    </row>
    <row r="824" spans="3:3" ht="12.75">
      <c r="C824" s="185"/>
    </row>
    <row r="825" spans="3:3" ht="12.75">
      <c r="C825" s="185"/>
    </row>
    <row r="826" spans="3:3" ht="12.75">
      <c r="C826" s="185"/>
    </row>
    <row r="827" spans="3:3" ht="12.75">
      <c r="C827" s="185"/>
    </row>
    <row r="828" spans="3:3" ht="12.75">
      <c r="C828" s="185"/>
    </row>
    <row r="829" spans="3:3" ht="12.75">
      <c r="C829" s="185"/>
    </row>
    <row r="830" spans="3:3" ht="12.75">
      <c r="C830" s="185"/>
    </row>
    <row r="831" spans="3:3" ht="12.75">
      <c r="C831" s="185"/>
    </row>
    <row r="832" spans="3:3" ht="12.75">
      <c r="C832" s="185"/>
    </row>
    <row r="833" spans="3:3" ht="12.75">
      <c r="C833" s="185"/>
    </row>
    <row r="834" spans="3:3" ht="12.75">
      <c r="C834" s="185"/>
    </row>
    <row r="835" spans="3:3" ht="12.75">
      <c r="C835" s="185"/>
    </row>
    <row r="836" spans="3:3" ht="12.75">
      <c r="C836" s="185"/>
    </row>
    <row r="837" spans="3:3" ht="12.75">
      <c r="C837" s="185"/>
    </row>
    <row r="838" spans="3:3" ht="12.75">
      <c r="C838" s="185"/>
    </row>
    <row r="839" spans="3:3" ht="12.75">
      <c r="C839" s="185"/>
    </row>
    <row r="840" spans="3:3" ht="12.75">
      <c r="C840" s="185"/>
    </row>
    <row r="841" spans="3:3" ht="12.75">
      <c r="C841" s="185"/>
    </row>
    <row r="842" spans="3:3" ht="12.75">
      <c r="C842" s="185"/>
    </row>
    <row r="843" spans="3:3" ht="12.75">
      <c r="C843" s="185"/>
    </row>
    <row r="844" spans="3:3" ht="12.75">
      <c r="C844" s="185"/>
    </row>
    <row r="845" spans="3:3" ht="12.75">
      <c r="C845" s="185"/>
    </row>
    <row r="846" spans="3:3" ht="12.75">
      <c r="C846" s="185"/>
    </row>
    <row r="847" spans="3:3" ht="12.75">
      <c r="C847" s="185"/>
    </row>
    <row r="848" spans="3:3" ht="12.75">
      <c r="C848" s="185"/>
    </row>
    <row r="849" spans="3:3" ht="12.75">
      <c r="C849" s="185"/>
    </row>
    <row r="850" spans="3:3" ht="12.75">
      <c r="C850" s="185"/>
    </row>
    <row r="851" spans="3:3" ht="12.75">
      <c r="C851" s="185"/>
    </row>
    <row r="852" spans="3:3" ht="12.75">
      <c r="C852" s="185"/>
    </row>
    <row r="853" spans="3:3" ht="12.75">
      <c r="C853" s="185"/>
    </row>
    <row r="854" spans="3:3" ht="12.75">
      <c r="C854" s="185"/>
    </row>
    <row r="855" spans="3:3" ht="12.75">
      <c r="C855" s="185"/>
    </row>
    <row r="856" spans="3:3" ht="12.75">
      <c r="C856" s="185"/>
    </row>
    <row r="857" spans="3:3" ht="12.75">
      <c r="C857" s="185"/>
    </row>
    <row r="858" spans="3:3" ht="12.75">
      <c r="C858" s="185"/>
    </row>
    <row r="859" spans="3:3" ht="12.75">
      <c r="C859" s="185"/>
    </row>
    <row r="860" spans="3:3" ht="12.75">
      <c r="C860" s="185"/>
    </row>
    <row r="861" spans="3:3" ht="12.75">
      <c r="C861" s="185"/>
    </row>
    <row r="862" spans="3:3" ht="12.75">
      <c r="C862" s="185"/>
    </row>
    <row r="863" spans="3:3" ht="12.75">
      <c r="C863" s="185"/>
    </row>
    <row r="864" spans="3:3" ht="12.75">
      <c r="C864" s="185"/>
    </row>
    <row r="865" spans="3:3" ht="12.75">
      <c r="C865" s="185"/>
    </row>
    <row r="866" spans="3:3" ht="12.75">
      <c r="C866" s="185"/>
    </row>
    <row r="867" spans="3:3" ht="12.75">
      <c r="C867" s="185"/>
    </row>
    <row r="868" spans="3:3" ht="12.75">
      <c r="C868" s="185"/>
    </row>
    <row r="869" spans="3:3" ht="12.75">
      <c r="C869" s="185"/>
    </row>
    <row r="870" spans="3:3" ht="12.75">
      <c r="C870" s="185"/>
    </row>
    <row r="871" spans="3:3" ht="12.75">
      <c r="C871" s="185"/>
    </row>
    <row r="872" spans="3:3" ht="12.75">
      <c r="C872" s="185"/>
    </row>
    <row r="873" spans="3:3" ht="12.75">
      <c r="C873" s="185"/>
    </row>
    <row r="874" spans="3:3" ht="12.75">
      <c r="C874" s="185"/>
    </row>
    <row r="875" spans="3:3" ht="12.75">
      <c r="C875" s="185"/>
    </row>
    <row r="876" spans="3:3" ht="12.75">
      <c r="C876" s="185"/>
    </row>
    <row r="877" spans="3:3" ht="12.75">
      <c r="C877" s="185"/>
    </row>
    <row r="878" spans="3:3" ht="12.75">
      <c r="C878" s="185"/>
    </row>
    <row r="879" spans="3:3" ht="12.75">
      <c r="C879" s="185"/>
    </row>
    <row r="880" spans="3:3" ht="12.75">
      <c r="C880" s="185"/>
    </row>
    <row r="881" spans="3:3" ht="12.75">
      <c r="C881" s="185"/>
    </row>
    <row r="882" spans="3:3" ht="12.75">
      <c r="C882" s="185"/>
    </row>
    <row r="883" spans="3:3" ht="12.75">
      <c r="C883" s="185"/>
    </row>
    <row r="884" spans="3:3" ht="12.75">
      <c r="C884" s="185"/>
    </row>
    <row r="885" spans="3:3" ht="12.75">
      <c r="C885" s="185"/>
    </row>
    <row r="886" spans="3:3" ht="12.75">
      <c r="C886" s="185"/>
    </row>
    <row r="887" spans="3:3" ht="12.75">
      <c r="C887" s="185"/>
    </row>
    <row r="888" spans="3:3" ht="12.75">
      <c r="C888" s="185"/>
    </row>
    <row r="889" spans="3:3" ht="12.75">
      <c r="C889" s="185"/>
    </row>
    <row r="890" spans="3:3" ht="12.75">
      <c r="C890" s="185"/>
    </row>
    <row r="891" spans="3:3" ht="12.75">
      <c r="C891" s="185"/>
    </row>
    <row r="892" spans="3:3" ht="12.75">
      <c r="C892" s="185"/>
    </row>
    <row r="893" spans="3:3" ht="12.75">
      <c r="C893" s="185"/>
    </row>
    <row r="894" spans="3:3" ht="12.75">
      <c r="C894" s="185"/>
    </row>
    <row r="895" spans="3:3" ht="12.75">
      <c r="C895" s="185"/>
    </row>
    <row r="896" spans="3:3" ht="12.75">
      <c r="C896" s="185"/>
    </row>
    <row r="897" spans="3:3" ht="12.75">
      <c r="C897" s="185"/>
    </row>
    <row r="898" spans="3:3" ht="12.75">
      <c r="C898" s="185"/>
    </row>
    <row r="899" spans="3:3" ht="12.75">
      <c r="C899" s="185"/>
    </row>
    <row r="900" spans="3:3" ht="12.75">
      <c r="C900" s="185"/>
    </row>
    <row r="901" spans="3:3" ht="12.75">
      <c r="C901" s="185"/>
    </row>
    <row r="902" spans="3:3" ht="12.75">
      <c r="C902" s="185"/>
    </row>
    <row r="903" spans="3:3" ht="12.75">
      <c r="C903" s="185"/>
    </row>
    <row r="904" spans="3:3" ht="12.75">
      <c r="C904" s="185"/>
    </row>
    <row r="905" spans="3:3" ht="12.75">
      <c r="C905" s="185"/>
    </row>
    <row r="906" spans="3:3" ht="12.75">
      <c r="C906" s="185"/>
    </row>
    <row r="907" spans="3:3" ht="12.75">
      <c r="C907" s="185"/>
    </row>
    <row r="908" spans="3:3" ht="12.75">
      <c r="C908" s="185"/>
    </row>
    <row r="909" spans="3:3" ht="12.75">
      <c r="C909" s="185"/>
    </row>
    <row r="910" spans="3:3" ht="12.75">
      <c r="C910" s="185"/>
    </row>
    <row r="911" spans="3:3" ht="12.75">
      <c r="C911" s="185"/>
    </row>
    <row r="912" spans="3:3" ht="12.75">
      <c r="C912" s="185"/>
    </row>
    <row r="913" spans="3:3" ht="12.75">
      <c r="C913" s="185"/>
    </row>
    <row r="914" spans="3:3" ht="12.75">
      <c r="C914" s="185"/>
    </row>
    <row r="915" spans="3:3" ht="12.75">
      <c r="C915" s="185"/>
    </row>
    <row r="916" spans="3:3" ht="12.75">
      <c r="C916" s="185"/>
    </row>
    <row r="917" spans="3:3" ht="12.75">
      <c r="C917" s="185"/>
    </row>
    <row r="918" spans="3:3" ht="12.75">
      <c r="C918" s="185"/>
    </row>
    <row r="919" spans="3:3" ht="12.75">
      <c r="C919" s="185"/>
    </row>
    <row r="920" spans="3:3" ht="12.75">
      <c r="C920" s="185"/>
    </row>
    <row r="921" spans="3:3" ht="12.75">
      <c r="C921" s="185"/>
    </row>
    <row r="922" spans="3:3" ht="12.75">
      <c r="C922" s="185"/>
    </row>
    <row r="923" spans="3:3" ht="12.75">
      <c r="C923" s="185"/>
    </row>
    <row r="924" spans="3:3" ht="12.75">
      <c r="C924" s="185"/>
    </row>
    <row r="925" spans="3:3" ht="12.75">
      <c r="C925" s="185"/>
    </row>
    <row r="926" spans="3:3" ht="12.75">
      <c r="C926" s="185"/>
    </row>
    <row r="927" spans="3:3" ht="12.75">
      <c r="C927" s="185"/>
    </row>
    <row r="928" spans="3:3" ht="12.75">
      <c r="C928" s="185"/>
    </row>
    <row r="929" spans="3:3" ht="12.75">
      <c r="C929" s="185"/>
    </row>
    <row r="930" spans="3:3" ht="12.75">
      <c r="C930" s="185"/>
    </row>
    <row r="931" spans="3:3" ht="12.75">
      <c r="C931" s="185"/>
    </row>
    <row r="932" spans="3:3" ht="12.75">
      <c r="C932" s="185"/>
    </row>
    <row r="933" spans="3:3" ht="12.75">
      <c r="C933" s="185"/>
    </row>
    <row r="934" spans="3:3" ht="12.75">
      <c r="C934" s="185"/>
    </row>
    <row r="935" spans="3:3" ht="12.75">
      <c r="C935" s="185"/>
    </row>
    <row r="936" spans="3:3" ht="12.75">
      <c r="C936" s="185"/>
    </row>
    <row r="937" spans="3:3" ht="12.75">
      <c r="C937" s="185"/>
    </row>
    <row r="938" spans="3:3" ht="12.75">
      <c r="C938" s="185"/>
    </row>
    <row r="939" spans="3:3" ht="12.75">
      <c r="C939" s="185"/>
    </row>
    <row r="940" spans="3:3" ht="12.75">
      <c r="C940" s="185"/>
    </row>
    <row r="941" spans="3:3" ht="12.75">
      <c r="C941" s="185"/>
    </row>
    <row r="942" spans="3:3" ht="12.75">
      <c r="C942" s="185"/>
    </row>
    <row r="943" spans="3:3" ht="12.75">
      <c r="C943" s="185"/>
    </row>
    <row r="944" spans="3:3" ht="12.75">
      <c r="C944" s="185"/>
    </row>
    <row r="945" spans="3:3" ht="12.75">
      <c r="C945" s="185"/>
    </row>
    <row r="946" spans="3:3" ht="12.75">
      <c r="C946" s="185"/>
    </row>
    <row r="947" spans="3:3" ht="12.75">
      <c r="C947" s="185"/>
    </row>
    <row r="948" spans="3:3" ht="12.75">
      <c r="C948" s="185"/>
    </row>
    <row r="949" spans="3:3" ht="12.75">
      <c r="C949" s="185"/>
    </row>
    <row r="950" spans="3:3" ht="12.75">
      <c r="C950" s="185"/>
    </row>
    <row r="951" spans="3:3" ht="12.75">
      <c r="C951" s="185"/>
    </row>
    <row r="952" spans="3:3" ht="12.75">
      <c r="C952" s="185"/>
    </row>
    <row r="953" spans="3:3" ht="12.75">
      <c r="C953" s="185"/>
    </row>
    <row r="954" spans="3:3" ht="12.75">
      <c r="C954" s="185"/>
    </row>
    <row r="955" spans="3:3" ht="12.75">
      <c r="C955" s="185"/>
    </row>
    <row r="956" spans="3:3" ht="12.75">
      <c r="C956" s="185"/>
    </row>
    <row r="957" spans="3:3" ht="12.75">
      <c r="C957" s="185"/>
    </row>
    <row r="958" spans="3:3" ht="12.75">
      <c r="C958" s="185"/>
    </row>
    <row r="959" spans="3:3" ht="12.75">
      <c r="C959" s="185"/>
    </row>
    <row r="960" spans="3:3" ht="12.75">
      <c r="C960" s="185"/>
    </row>
    <row r="961" spans="3:3" ht="12.75">
      <c r="C961" s="185"/>
    </row>
    <row r="962" spans="3:3" ht="12.75">
      <c r="C962" s="185"/>
    </row>
    <row r="963" spans="3:3" ht="12.75">
      <c r="C963" s="185"/>
    </row>
    <row r="964" spans="3:3" ht="12.75">
      <c r="C964" s="185"/>
    </row>
    <row r="965" spans="3:3" ht="12.75">
      <c r="C965" s="185"/>
    </row>
    <row r="966" spans="3:3" ht="12.75">
      <c r="C966" s="185"/>
    </row>
    <row r="967" spans="3:3" ht="12.75">
      <c r="C967" s="185"/>
    </row>
    <row r="968" spans="3:3" ht="12.75">
      <c r="C968" s="185"/>
    </row>
    <row r="969" spans="3:3" ht="12.75">
      <c r="C969" s="185"/>
    </row>
    <row r="970" spans="3:3" ht="12.75">
      <c r="C970" s="185"/>
    </row>
    <row r="971" spans="3:3" ht="12.75">
      <c r="C971" s="185"/>
    </row>
    <row r="972" spans="3:3" ht="12.75">
      <c r="C972" s="185"/>
    </row>
    <row r="973" spans="3:3" ht="12.75">
      <c r="C973" s="185"/>
    </row>
    <row r="974" spans="3:3" ht="12.75">
      <c r="C974" s="185"/>
    </row>
    <row r="975" spans="3:3" ht="12.75">
      <c r="C975" s="185"/>
    </row>
    <row r="976" spans="3:3" ht="12.75">
      <c r="C976" s="185"/>
    </row>
    <row r="977" spans="3:3" ht="12.75">
      <c r="C977" s="185"/>
    </row>
    <row r="978" spans="3:3" ht="12.75">
      <c r="C978" s="185"/>
    </row>
    <row r="979" spans="3:3" ht="12.75">
      <c r="C979" s="185"/>
    </row>
    <row r="980" spans="3:3" ht="12.75">
      <c r="C980" s="185"/>
    </row>
    <row r="981" spans="3:3" ht="12.75">
      <c r="C981" s="185"/>
    </row>
    <row r="982" spans="3:3" ht="12.75">
      <c r="C982" s="185"/>
    </row>
    <row r="983" spans="3:3" ht="12.75">
      <c r="C983" s="185"/>
    </row>
    <row r="984" spans="3:3" ht="12.75">
      <c r="C984" s="185"/>
    </row>
    <row r="985" spans="3:3" ht="12.75">
      <c r="C985" s="185"/>
    </row>
    <row r="986" spans="3:3" ht="12.75">
      <c r="C986" s="185"/>
    </row>
    <row r="987" spans="3:3" ht="12.75">
      <c r="C987" s="185"/>
    </row>
    <row r="988" spans="3:3" ht="12.75">
      <c r="C988" s="185"/>
    </row>
    <row r="989" spans="3:3" ht="12.75">
      <c r="C989" s="185"/>
    </row>
    <row r="990" spans="3:3" ht="12.75">
      <c r="C990" s="185"/>
    </row>
    <row r="991" spans="3:3" ht="12.75">
      <c r="C991" s="185"/>
    </row>
    <row r="992" spans="3:3" ht="12.75">
      <c r="C992" s="185"/>
    </row>
    <row r="993" spans="3:3" ht="12.75">
      <c r="C993" s="185"/>
    </row>
    <row r="994" spans="3:3" ht="12.75">
      <c r="C994" s="185"/>
    </row>
    <row r="995" spans="3:3" ht="12.75">
      <c r="C995" s="185"/>
    </row>
    <row r="996" spans="3:3" ht="12.75">
      <c r="C996" s="185"/>
    </row>
    <row r="997" spans="3:3" ht="12.75">
      <c r="C997" s="185"/>
    </row>
    <row r="998" spans="3:3" ht="12.75">
      <c r="C998" s="185"/>
    </row>
    <row r="999" spans="3:3" ht="12.75">
      <c r="C999" s="185"/>
    </row>
    <row r="1000" spans="3:3" ht="12.75">
      <c r="C1000" s="185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1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.75" customHeight="1"/>
  <sheetData>
    <row r="1" spans="1:5">
      <c r="A1" s="222"/>
      <c r="C1" s="287" t="s">
        <v>2593</v>
      </c>
    </row>
    <row r="2" spans="1:5">
      <c r="A2" s="484" t="s">
        <v>2594</v>
      </c>
      <c r="C2" s="185"/>
    </row>
    <row r="3" spans="1:5">
      <c r="A3" s="486" t="s">
        <v>279</v>
      </c>
      <c r="B3" s="492"/>
      <c r="C3" s="487">
        <v>2.44</v>
      </c>
      <c r="D3" s="493"/>
      <c r="E3" s="493"/>
    </row>
    <row r="4" spans="1:5">
      <c r="A4" s="488" t="s">
        <v>468</v>
      </c>
      <c r="B4" s="494"/>
      <c r="C4" s="489">
        <v>11.79</v>
      </c>
      <c r="D4" s="495"/>
      <c r="E4" s="495"/>
    </row>
    <row r="5" spans="1:5">
      <c r="A5" s="486" t="s">
        <v>240</v>
      </c>
      <c r="B5" s="492"/>
      <c r="C5" s="487">
        <v>5.39</v>
      </c>
      <c r="D5" s="493"/>
      <c r="E5" s="493"/>
    </row>
    <row r="6" spans="1:5">
      <c r="A6" s="488" t="s">
        <v>219</v>
      </c>
      <c r="B6" s="494"/>
      <c r="C6" s="489">
        <v>8.33</v>
      </c>
      <c r="D6" s="495"/>
      <c r="E6" s="495"/>
    </row>
    <row r="7" spans="1:5">
      <c r="A7" s="486" t="s">
        <v>472</v>
      </c>
      <c r="B7" s="492"/>
      <c r="C7" s="487">
        <v>9.15</v>
      </c>
      <c r="D7" s="493"/>
      <c r="E7" s="493"/>
    </row>
    <row r="8" spans="1:5">
      <c r="A8" s="488" t="s">
        <v>173</v>
      </c>
      <c r="B8" s="494"/>
      <c r="C8" s="489">
        <v>8.9600000000000009</v>
      </c>
      <c r="D8" s="495"/>
      <c r="E8" s="495"/>
    </row>
    <row r="9" spans="1:5">
      <c r="A9" s="486" t="s">
        <v>405</v>
      </c>
      <c r="B9" s="492"/>
      <c r="C9" s="487">
        <v>2.96</v>
      </c>
      <c r="D9" s="493"/>
      <c r="E9" s="493"/>
    </row>
    <row r="10" spans="1:5">
      <c r="A10" s="488" t="s">
        <v>307</v>
      </c>
      <c r="B10" s="494"/>
      <c r="C10" s="489">
        <v>0.85</v>
      </c>
      <c r="D10" s="494"/>
      <c r="E10" s="497"/>
    </row>
    <row r="11" spans="1:5">
      <c r="A11" s="486" t="s">
        <v>280</v>
      </c>
      <c r="B11" s="492"/>
      <c r="C11" s="487">
        <v>0</v>
      </c>
      <c r="D11" s="493"/>
      <c r="E11" s="493"/>
    </row>
    <row r="12" spans="1:5">
      <c r="A12" s="488" t="s">
        <v>478</v>
      </c>
      <c r="B12" s="494"/>
      <c r="C12" s="489">
        <v>6.55</v>
      </c>
      <c r="D12" s="494"/>
      <c r="E12" s="497"/>
    </row>
    <row r="13" spans="1:5">
      <c r="A13" s="486" t="s">
        <v>292</v>
      </c>
      <c r="B13" s="492"/>
      <c r="C13" s="487">
        <v>1.29</v>
      </c>
      <c r="D13" s="492"/>
      <c r="E13" s="496"/>
    </row>
    <row r="14" spans="1:5">
      <c r="A14" s="488" t="s">
        <v>483</v>
      </c>
      <c r="B14" s="494"/>
      <c r="C14" s="489">
        <v>1.68</v>
      </c>
      <c r="D14" s="494"/>
      <c r="E14" s="497"/>
    </row>
    <row r="15" spans="1:5">
      <c r="A15" s="486" t="s">
        <v>241</v>
      </c>
      <c r="B15" s="492"/>
      <c r="C15" s="487">
        <v>0.81</v>
      </c>
      <c r="D15" s="493"/>
      <c r="E15" s="493"/>
    </row>
    <row r="16" spans="1:5">
      <c r="A16" s="488" t="s">
        <v>406</v>
      </c>
      <c r="B16" s="494"/>
      <c r="C16" s="489">
        <v>0.95</v>
      </c>
      <c r="D16" s="495"/>
      <c r="E16" s="495"/>
    </row>
    <row r="17" spans="1:5">
      <c r="A17" s="486" t="s">
        <v>407</v>
      </c>
      <c r="B17" s="492"/>
      <c r="C17" s="487">
        <v>1.2</v>
      </c>
      <c r="D17" s="492"/>
      <c r="E17" s="496"/>
    </row>
    <row r="18" spans="1:5">
      <c r="A18" s="488" t="s">
        <v>236</v>
      </c>
      <c r="B18" s="494"/>
      <c r="C18" s="489">
        <v>6.57</v>
      </c>
      <c r="D18" s="495"/>
      <c r="E18" s="495"/>
    </row>
    <row r="19" spans="1:5">
      <c r="A19" s="486" t="s">
        <v>408</v>
      </c>
      <c r="B19" s="492"/>
      <c r="C19" s="487">
        <v>6.49</v>
      </c>
      <c r="D19" s="492"/>
      <c r="E19" s="496"/>
    </row>
    <row r="20" spans="1:5">
      <c r="A20" s="488" t="s">
        <v>242</v>
      </c>
      <c r="B20" s="494"/>
      <c r="C20" s="489">
        <v>0.03</v>
      </c>
      <c r="D20" s="495"/>
      <c r="E20" s="495"/>
    </row>
    <row r="21" spans="1:5">
      <c r="A21" s="486" t="s">
        <v>243</v>
      </c>
      <c r="B21" s="492"/>
      <c r="C21" s="487">
        <v>2.48</v>
      </c>
      <c r="D21" s="493"/>
      <c r="E21" s="493"/>
    </row>
    <row r="22" spans="1:5">
      <c r="A22" s="488" t="s">
        <v>492</v>
      </c>
      <c r="B22" s="494"/>
      <c r="C22" s="489">
        <v>2.4500000000000002</v>
      </c>
      <c r="D22" s="495"/>
      <c r="E22" s="495"/>
    </row>
    <row r="23" spans="1:5">
      <c r="A23" s="486" t="s">
        <v>308</v>
      </c>
      <c r="B23" s="492"/>
      <c r="C23" s="487">
        <v>15.38</v>
      </c>
      <c r="D23" s="493"/>
      <c r="E23" s="493"/>
    </row>
    <row r="24" spans="1:5">
      <c r="A24" s="488" t="s">
        <v>174</v>
      </c>
      <c r="B24" s="494"/>
      <c r="C24" s="489">
        <v>9.59</v>
      </c>
      <c r="D24" s="494"/>
      <c r="E24" s="497"/>
    </row>
    <row r="25" spans="1:5">
      <c r="A25" s="486" t="s">
        <v>496</v>
      </c>
      <c r="B25" s="492"/>
      <c r="C25" s="487">
        <v>2.11</v>
      </c>
      <c r="D25" s="493"/>
      <c r="E25" s="493"/>
    </row>
    <row r="26" spans="1:5">
      <c r="A26" s="488" t="s">
        <v>498</v>
      </c>
      <c r="B26" s="494"/>
      <c r="C26" s="489">
        <v>4.62</v>
      </c>
      <c r="D26" s="495"/>
      <c r="E26" s="495"/>
    </row>
    <row r="27" spans="1:5">
      <c r="A27" s="486" t="s">
        <v>244</v>
      </c>
      <c r="B27" s="492"/>
      <c r="C27" s="487">
        <v>7.21</v>
      </c>
      <c r="D27" s="493"/>
      <c r="E27" s="493"/>
    </row>
    <row r="28" spans="1:5">
      <c r="A28" s="488" t="s">
        <v>175</v>
      </c>
      <c r="B28" s="494"/>
      <c r="C28" s="489">
        <v>5.64</v>
      </c>
      <c r="D28" s="494"/>
      <c r="E28" s="497"/>
    </row>
    <row r="29" spans="1:5">
      <c r="A29" s="486" t="s">
        <v>310</v>
      </c>
      <c r="B29" s="492"/>
      <c r="C29" s="487">
        <v>16.45</v>
      </c>
      <c r="D29" s="492"/>
      <c r="E29" s="496"/>
    </row>
    <row r="30" spans="1:5">
      <c r="A30" s="488" t="s">
        <v>293</v>
      </c>
      <c r="B30" s="494"/>
      <c r="C30" s="489">
        <v>1.33</v>
      </c>
      <c r="D30" s="494"/>
      <c r="E30" s="497"/>
    </row>
    <row r="31" spans="1:5">
      <c r="A31" s="486" t="s">
        <v>245</v>
      </c>
      <c r="B31" s="492"/>
      <c r="C31" s="487">
        <v>2.35</v>
      </c>
      <c r="D31" s="492"/>
      <c r="E31" s="496"/>
    </row>
    <row r="32" spans="1:5">
      <c r="A32" s="488" t="s">
        <v>176</v>
      </c>
      <c r="B32" s="494"/>
      <c r="C32" s="489">
        <v>14.96</v>
      </c>
      <c r="D32" s="495"/>
      <c r="E32" s="495"/>
    </row>
    <row r="33" spans="1:5">
      <c r="A33" s="486" t="s">
        <v>410</v>
      </c>
      <c r="B33" s="492"/>
      <c r="C33" s="487">
        <v>13.77</v>
      </c>
      <c r="D33" s="493"/>
      <c r="E33" s="493"/>
    </row>
    <row r="34" spans="1:5">
      <c r="A34" s="488" t="s">
        <v>294</v>
      </c>
      <c r="B34" s="494"/>
      <c r="C34" s="489">
        <v>4.92</v>
      </c>
      <c r="D34" s="495"/>
      <c r="E34" s="495"/>
    </row>
    <row r="35" spans="1:5">
      <c r="A35" s="486" t="s">
        <v>178</v>
      </c>
      <c r="B35" s="492"/>
      <c r="C35" s="487">
        <v>21.48</v>
      </c>
      <c r="D35" s="493"/>
      <c r="E35" s="493"/>
    </row>
    <row r="36" spans="1:5">
      <c r="A36" s="488" t="s">
        <v>290</v>
      </c>
      <c r="B36" s="494"/>
      <c r="C36" s="489">
        <v>12.1</v>
      </c>
      <c r="D36" s="495"/>
      <c r="E36" s="495"/>
    </row>
    <row r="37" spans="1:5">
      <c r="A37" s="486" t="s">
        <v>510</v>
      </c>
      <c r="B37" s="492"/>
      <c r="C37" s="487">
        <v>15.95</v>
      </c>
      <c r="D37" s="493"/>
      <c r="E37" s="493"/>
    </row>
    <row r="38" spans="1:5">
      <c r="A38" s="488" t="s">
        <v>180</v>
      </c>
      <c r="B38" s="494"/>
      <c r="C38" s="489">
        <v>8.35</v>
      </c>
      <c r="D38" s="495"/>
      <c r="E38" s="495"/>
    </row>
    <row r="39" spans="1:5">
      <c r="A39" s="486" t="s">
        <v>513</v>
      </c>
      <c r="B39" s="492"/>
      <c r="C39" s="487">
        <v>12.93</v>
      </c>
      <c r="D39" s="492"/>
      <c r="E39" s="496"/>
    </row>
    <row r="40" spans="1:5">
      <c r="A40" s="488" t="s">
        <v>1184</v>
      </c>
      <c r="B40" s="494"/>
      <c r="C40" s="489">
        <v>0.89</v>
      </c>
      <c r="D40" s="495"/>
      <c r="E40" s="495"/>
    </row>
    <row r="41" spans="1:5">
      <c r="A41" s="486" t="s">
        <v>181</v>
      </c>
      <c r="B41" s="492"/>
      <c r="C41" s="487">
        <v>8.76</v>
      </c>
      <c r="D41" s="492"/>
      <c r="E41" s="496"/>
    </row>
    <row r="42" spans="1:5">
      <c r="A42" s="488" t="s">
        <v>311</v>
      </c>
      <c r="B42" s="494"/>
      <c r="C42" s="489">
        <v>4.1900000000000004</v>
      </c>
      <c r="D42" s="494"/>
      <c r="E42" s="497"/>
    </row>
    <row r="43" spans="1:5">
      <c r="A43" s="486" t="s">
        <v>295</v>
      </c>
      <c r="B43" s="492"/>
      <c r="C43" s="487">
        <v>1.35</v>
      </c>
      <c r="D43" s="492"/>
      <c r="E43" s="496"/>
    </row>
    <row r="44" spans="1:5">
      <c r="A44" s="488" t="s">
        <v>411</v>
      </c>
      <c r="B44" s="494"/>
      <c r="C44" s="489">
        <v>1.33</v>
      </c>
      <c r="D44" s="494"/>
      <c r="E44" s="497"/>
    </row>
    <row r="45" spans="1:5">
      <c r="A45" s="486" t="s">
        <v>412</v>
      </c>
      <c r="B45" s="492"/>
      <c r="C45" s="487">
        <v>3.61</v>
      </c>
      <c r="D45" s="492"/>
      <c r="E45" s="496"/>
    </row>
    <row r="46" spans="1:5">
      <c r="A46" s="488" t="s">
        <v>414</v>
      </c>
      <c r="B46" s="494"/>
      <c r="C46" s="489">
        <v>2.73</v>
      </c>
      <c r="D46" s="495"/>
      <c r="E46" s="495"/>
    </row>
    <row r="47" spans="1:5">
      <c r="A47" s="486" t="s">
        <v>413</v>
      </c>
      <c r="B47" s="492"/>
      <c r="C47" s="487">
        <v>1.33</v>
      </c>
      <c r="D47" s="492"/>
      <c r="E47" s="496"/>
    </row>
    <row r="48" spans="1:5">
      <c r="A48" s="488" t="s">
        <v>312</v>
      </c>
      <c r="B48" s="494"/>
      <c r="C48" s="489">
        <v>6.4</v>
      </c>
      <c r="D48" s="495"/>
      <c r="E48" s="495"/>
    </row>
    <row r="49" spans="1:5">
      <c r="A49" s="486" t="s">
        <v>415</v>
      </c>
      <c r="B49" s="492"/>
      <c r="C49" s="487">
        <v>3.27</v>
      </c>
      <c r="D49" s="492"/>
      <c r="E49" s="496"/>
    </row>
    <row r="50" spans="1:5">
      <c r="A50" s="488" t="s">
        <v>313</v>
      </c>
      <c r="B50" s="494"/>
      <c r="C50" s="489">
        <v>10.58</v>
      </c>
      <c r="D50" s="495"/>
      <c r="E50" s="495"/>
    </row>
    <row r="51" spans="1:5">
      <c r="A51" s="486" t="s">
        <v>521</v>
      </c>
      <c r="B51" s="492"/>
      <c r="C51" s="487">
        <v>2.42</v>
      </c>
      <c r="D51" s="493"/>
      <c r="E51" s="493"/>
    </row>
    <row r="52" spans="1:5">
      <c r="A52" s="488" t="s">
        <v>246</v>
      </c>
      <c r="B52" s="494"/>
      <c r="C52" s="489">
        <v>0.73</v>
      </c>
      <c r="D52" s="494"/>
      <c r="E52" s="497"/>
    </row>
    <row r="53" spans="1:5">
      <c r="A53" s="486" t="s">
        <v>416</v>
      </c>
      <c r="B53" s="492"/>
      <c r="C53" s="487">
        <v>21.21</v>
      </c>
      <c r="D53" s="493"/>
      <c r="E53" s="493"/>
    </row>
    <row r="54" spans="1:5">
      <c r="A54" s="488" t="s">
        <v>417</v>
      </c>
      <c r="B54" s="494"/>
      <c r="C54" s="489">
        <v>3.11</v>
      </c>
      <c r="D54" s="494"/>
      <c r="E54" s="497"/>
    </row>
    <row r="55" spans="1:5">
      <c r="A55" s="486" t="s">
        <v>247</v>
      </c>
      <c r="B55" s="492"/>
      <c r="C55" s="487">
        <v>1.92</v>
      </c>
      <c r="D55" s="493"/>
      <c r="E55" s="493"/>
    </row>
    <row r="56" spans="1:5">
      <c r="A56" s="488" t="s">
        <v>527</v>
      </c>
      <c r="B56" s="494"/>
      <c r="C56" s="489">
        <v>1.86</v>
      </c>
      <c r="D56" s="495"/>
      <c r="E56" s="495"/>
    </row>
    <row r="57" spans="1:5">
      <c r="A57" s="486" t="s">
        <v>248</v>
      </c>
      <c r="B57" s="492"/>
      <c r="C57" s="487">
        <v>1.05</v>
      </c>
      <c r="D57" s="493"/>
      <c r="E57" s="493"/>
    </row>
    <row r="58" spans="1:5">
      <c r="A58" s="488" t="s">
        <v>184</v>
      </c>
      <c r="B58" s="494"/>
      <c r="C58" s="489">
        <v>12.78</v>
      </c>
      <c r="D58" s="495"/>
      <c r="E58" s="495"/>
    </row>
    <row r="59" spans="1:5">
      <c r="A59" s="486" t="s">
        <v>419</v>
      </c>
      <c r="B59" s="492"/>
      <c r="C59" s="487">
        <v>5.19</v>
      </c>
      <c r="D59" s="493"/>
      <c r="E59" s="493"/>
    </row>
    <row r="60" spans="1:5">
      <c r="A60" s="488" t="s">
        <v>420</v>
      </c>
      <c r="B60" s="494"/>
      <c r="C60" s="489">
        <v>11.59</v>
      </c>
      <c r="D60" s="494"/>
      <c r="E60" s="497"/>
    </row>
    <row r="61" spans="1:5">
      <c r="A61" s="486" t="s">
        <v>533</v>
      </c>
      <c r="B61" s="492"/>
      <c r="C61" s="487">
        <v>15.96</v>
      </c>
      <c r="D61" s="493"/>
      <c r="E61" s="493"/>
    </row>
    <row r="62" spans="1:5">
      <c r="A62" s="488" t="s">
        <v>535</v>
      </c>
      <c r="B62" s="494"/>
      <c r="C62" s="489">
        <v>1.51</v>
      </c>
      <c r="D62" s="494"/>
      <c r="E62" s="497"/>
    </row>
    <row r="63" spans="1:5">
      <c r="A63" s="486" t="s">
        <v>537</v>
      </c>
      <c r="B63" s="492"/>
      <c r="C63" s="487">
        <v>1.78</v>
      </c>
      <c r="D63" s="492"/>
      <c r="E63" s="496"/>
    </row>
    <row r="64" spans="1:5">
      <c r="A64" s="488" t="s">
        <v>314</v>
      </c>
      <c r="B64" s="494"/>
      <c r="C64" s="489">
        <v>2.0499999999999998</v>
      </c>
      <c r="D64" s="494"/>
      <c r="E64" s="497"/>
    </row>
    <row r="65" spans="1:5">
      <c r="A65" s="486" t="s">
        <v>224</v>
      </c>
      <c r="B65" s="492"/>
      <c r="C65" s="487">
        <v>5.65</v>
      </c>
      <c r="D65" s="492"/>
      <c r="E65" s="496"/>
    </row>
    <row r="66" spans="1:5">
      <c r="A66" s="488" t="s">
        <v>315</v>
      </c>
      <c r="B66" s="494"/>
      <c r="C66" s="489">
        <v>17.39</v>
      </c>
      <c r="D66" s="495"/>
      <c r="E66" s="495"/>
    </row>
    <row r="67" spans="1:5">
      <c r="A67" s="486" t="s">
        <v>249</v>
      </c>
      <c r="B67" s="492"/>
      <c r="C67" s="487">
        <v>8.66</v>
      </c>
      <c r="D67" s="493"/>
      <c r="E67" s="493"/>
    </row>
    <row r="68" spans="1:5">
      <c r="A68" s="488" t="s">
        <v>421</v>
      </c>
      <c r="B68" s="494"/>
      <c r="C68" s="489">
        <v>3.85</v>
      </c>
      <c r="D68" s="494"/>
      <c r="E68" s="497"/>
    </row>
    <row r="69" spans="1:5">
      <c r="A69" s="486" t="s">
        <v>187</v>
      </c>
      <c r="B69" s="492"/>
      <c r="C69" s="487">
        <v>15.82</v>
      </c>
      <c r="D69" s="493"/>
      <c r="E69" s="493"/>
    </row>
    <row r="70" spans="1:5">
      <c r="A70" s="488" t="s">
        <v>545</v>
      </c>
      <c r="B70" s="494"/>
      <c r="C70" s="489">
        <v>13.54</v>
      </c>
      <c r="D70" s="494"/>
      <c r="E70" s="497"/>
    </row>
    <row r="71" spans="1:5">
      <c r="A71" s="486" t="s">
        <v>103</v>
      </c>
      <c r="B71" s="492"/>
      <c r="C71" s="487">
        <v>2.56</v>
      </c>
      <c r="D71" s="492"/>
      <c r="E71" s="496"/>
    </row>
    <row r="72" spans="1:5">
      <c r="A72" s="488" t="s">
        <v>550</v>
      </c>
      <c r="B72" s="494"/>
      <c r="C72" s="489">
        <v>2.77</v>
      </c>
      <c r="D72" s="494"/>
      <c r="E72" s="497"/>
    </row>
    <row r="73" spans="1:5">
      <c r="A73" s="486" t="s">
        <v>422</v>
      </c>
      <c r="B73" s="492"/>
      <c r="C73" s="487">
        <v>10.9</v>
      </c>
      <c r="D73" s="493"/>
      <c r="E73" s="493"/>
    </row>
    <row r="74" spans="1:5">
      <c r="A74" s="488" t="s">
        <v>250</v>
      </c>
      <c r="B74" s="494"/>
      <c r="C74" s="489">
        <v>1.17</v>
      </c>
      <c r="D74" s="495"/>
      <c r="E74" s="495"/>
    </row>
    <row r="75" spans="1:5">
      <c r="A75" s="486" t="s">
        <v>251</v>
      </c>
      <c r="B75" s="492"/>
      <c r="C75" s="487">
        <v>1.86</v>
      </c>
      <c r="D75" s="492"/>
      <c r="E75" s="496"/>
    </row>
    <row r="76" spans="1:5">
      <c r="A76" s="488" t="s">
        <v>423</v>
      </c>
      <c r="B76" s="494"/>
      <c r="C76" s="489">
        <v>2.87</v>
      </c>
      <c r="D76" s="494"/>
      <c r="E76" s="497"/>
    </row>
    <row r="77" spans="1:5">
      <c r="A77" s="486" t="s">
        <v>188</v>
      </c>
      <c r="B77" s="492"/>
      <c r="C77" s="487">
        <v>0.26</v>
      </c>
      <c r="D77" s="492"/>
      <c r="E77" s="496"/>
    </row>
    <row r="78" spans="1:5">
      <c r="A78" s="488" t="s">
        <v>424</v>
      </c>
      <c r="B78" s="494"/>
      <c r="C78" s="489">
        <v>1.23</v>
      </c>
      <c r="D78" s="494"/>
      <c r="E78" s="497"/>
    </row>
    <row r="79" spans="1:5">
      <c r="A79" s="486" t="s">
        <v>282</v>
      </c>
      <c r="B79" s="492"/>
      <c r="C79" s="487">
        <v>0.04</v>
      </c>
      <c r="D79" s="493"/>
      <c r="E79" s="493"/>
    </row>
    <row r="80" spans="1:5">
      <c r="A80" s="488" t="s">
        <v>252</v>
      </c>
      <c r="B80" s="494"/>
      <c r="C80" s="489">
        <v>0.73</v>
      </c>
      <c r="D80" s="494"/>
      <c r="E80" s="497"/>
    </row>
    <row r="81" spans="1:5">
      <c r="A81" s="486" t="s">
        <v>190</v>
      </c>
      <c r="B81" s="492"/>
      <c r="C81" s="487">
        <v>8.85</v>
      </c>
      <c r="D81" s="493"/>
      <c r="E81" s="493"/>
    </row>
    <row r="82" spans="1:5">
      <c r="A82" s="488" t="s">
        <v>253</v>
      </c>
      <c r="B82" s="494"/>
      <c r="C82" s="489">
        <v>4.79</v>
      </c>
      <c r="D82" s="494"/>
      <c r="E82" s="497"/>
    </row>
    <row r="83" spans="1:5">
      <c r="A83" s="486" t="s">
        <v>425</v>
      </c>
      <c r="B83" s="492"/>
      <c r="C83" s="487">
        <v>7.23</v>
      </c>
      <c r="D83" s="492"/>
      <c r="E83" s="496"/>
    </row>
    <row r="84" spans="1:5">
      <c r="A84" s="488" t="s">
        <v>316</v>
      </c>
      <c r="B84" s="494"/>
      <c r="C84" s="489">
        <v>15.08</v>
      </c>
      <c r="D84" s="495"/>
      <c r="E84" s="495"/>
    </row>
    <row r="85" spans="1:5">
      <c r="A85" s="486" t="s">
        <v>191</v>
      </c>
      <c r="B85" s="492"/>
      <c r="C85" s="487">
        <v>4.1900000000000004</v>
      </c>
      <c r="D85" s="492"/>
      <c r="E85" s="496"/>
    </row>
    <row r="86" spans="1:5">
      <c r="A86" s="488" t="s">
        <v>192</v>
      </c>
      <c r="B86" s="494"/>
      <c r="C86" s="489">
        <v>3.39</v>
      </c>
      <c r="D86" s="495"/>
      <c r="E86" s="495"/>
    </row>
    <row r="87" spans="1:5">
      <c r="A87" s="486" t="s">
        <v>317</v>
      </c>
      <c r="B87" s="492"/>
      <c r="C87" s="487">
        <v>5.84</v>
      </c>
      <c r="D87" s="493"/>
      <c r="E87" s="493"/>
    </row>
    <row r="88" spans="1:5">
      <c r="A88" s="488" t="s">
        <v>426</v>
      </c>
      <c r="B88" s="494"/>
      <c r="C88" s="489">
        <v>20.149999999999999</v>
      </c>
      <c r="D88" s="495"/>
      <c r="E88" s="495"/>
    </row>
    <row r="89" spans="1:5">
      <c r="A89" s="486" t="s">
        <v>318</v>
      </c>
      <c r="B89" s="492"/>
      <c r="C89" s="487">
        <v>12.06</v>
      </c>
      <c r="D89" s="492"/>
      <c r="E89" s="496"/>
    </row>
    <row r="90" spans="1:5">
      <c r="A90" s="488" t="s">
        <v>254</v>
      </c>
      <c r="B90" s="494"/>
      <c r="C90" s="489">
        <v>3.14</v>
      </c>
      <c r="D90" s="495"/>
      <c r="E90" s="495"/>
    </row>
    <row r="91" spans="1:5">
      <c r="A91" s="486" t="s">
        <v>255</v>
      </c>
      <c r="B91" s="492"/>
      <c r="C91" s="487">
        <v>0.77</v>
      </c>
      <c r="D91" s="492"/>
      <c r="E91" s="496"/>
    </row>
    <row r="92" spans="1:5">
      <c r="A92" s="488" t="s">
        <v>237</v>
      </c>
      <c r="B92" s="494"/>
      <c r="C92" s="489">
        <v>14.4</v>
      </c>
      <c r="D92" s="494"/>
      <c r="E92" s="497"/>
    </row>
    <row r="93" spans="1:5">
      <c r="A93" s="486" t="s">
        <v>296</v>
      </c>
      <c r="B93" s="492"/>
      <c r="C93" s="487">
        <v>1.1100000000000001</v>
      </c>
      <c r="D93" s="492"/>
      <c r="E93" s="496"/>
    </row>
    <row r="94" spans="1:5">
      <c r="A94" s="488" t="s">
        <v>225</v>
      </c>
      <c r="B94" s="494"/>
      <c r="C94" s="489">
        <v>10.17</v>
      </c>
      <c r="D94" s="495"/>
      <c r="E94" s="495"/>
    </row>
    <row r="95" spans="1:5">
      <c r="A95" s="486" t="s">
        <v>226</v>
      </c>
      <c r="B95" s="492"/>
      <c r="C95" s="487">
        <v>2.88</v>
      </c>
      <c r="D95" s="492"/>
      <c r="E95" s="496"/>
    </row>
    <row r="96" spans="1:5">
      <c r="A96" s="488" t="s">
        <v>256</v>
      </c>
      <c r="B96" s="494"/>
      <c r="C96" s="489">
        <v>3.29</v>
      </c>
      <c r="D96" s="495"/>
      <c r="E96" s="495"/>
    </row>
    <row r="97" spans="1:5">
      <c r="A97" s="486" t="s">
        <v>227</v>
      </c>
      <c r="B97" s="492"/>
      <c r="C97" s="487">
        <v>10.130000000000001</v>
      </c>
      <c r="D97" s="493"/>
      <c r="E97" s="493"/>
    </row>
    <row r="98" spans="1:5">
      <c r="A98" s="488" t="s">
        <v>257</v>
      </c>
      <c r="B98" s="494"/>
      <c r="C98" s="489">
        <v>5.6</v>
      </c>
      <c r="D98" s="495"/>
      <c r="E98" s="495"/>
    </row>
    <row r="99" spans="1:5">
      <c r="A99" s="486" t="s">
        <v>428</v>
      </c>
      <c r="B99" s="492"/>
      <c r="C99" s="487">
        <v>3.28</v>
      </c>
      <c r="D99" s="493"/>
      <c r="E99" s="493"/>
    </row>
    <row r="100" spans="1:5">
      <c r="A100" s="488" t="s">
        <v>297</v>
      </c>
      <c r="B100" s="494"/>
      <c r="C100" s="489">
        <v>1.55</v>
      </c>
      <c r="D100" s="494"/>
      <c r="E100" s="497"/>
    </row>
    <row r="101" spans="1:5">
      <c r="A101" s="486" t="s">
        <v>228</v>
      </c>
      <c r="B101" s="492"/>
      <c r="C101" s="487">
        <v>8.01</v>
      </c>
      <c r="D101" s="493"/>
      <c r="E101" s="493"/>
    </row>
    <row r="102" spans="1:5">
      <c r="A102" s="488" t="s">
        <v>283</v>
      </c>
      <c r="B102" s="494"/>
      <c r="C102" s="489">
        <v>0.49</v>
      </c>
      <c r="D102" s="495"/>
      <c r="E102" s="495"/>
    </row>
    <row r="103" spans="1:5">
      <c r="A103" s="486" t="s">
        <v>193</v>
      </c>
      <c r="B103" s="492"/>
      <c r="C103" s="487">
        <v>15.3</v>
      </c>
      <c r="D103" s="492"/>
      <c r="E103" s="496"/>
    </row>
    <row r="104" spans="1:5">
      <c r="A104" s="488" t="s">
        <v>429</v>
      </c>
      <c r="B104" s="494"/>
      <c r="C104" s="489">
        <v>0.08</v>
      </c>
      <c r="D104" s="495"/>
      <c r="E104" s="495"/>
    </row>
    <row r="105" spans="1:5">
      <c r="A105" s="486" t="s">
        <v>229</v>
      </c>
      <c r="B105" s="492"/>
      <c r="C105" s="487">
        <v>8.33</v>
      </c>
      <c r="D105" s="493"/>
      <c r="E105" s="493"/>
    </row>
    <row r="106" spans="1:5">
      <c r="A106" s="488" t="s">
        <v>430</v>
      </c>
      <c r="B106" s="494"/>
      <c r="C106" s="489">
        <v>5.38</v>
      </c>
      <c r="D106" s="495"/>
      <c r="E106" s="495"/>
    </row>
    <row r="107" spans="1:5">
      <c r="A107" s="486" t="s">
        <v>588</v>
      </c>
      <c r="B107" s="492"/>
      <c r="C107" s="487">
        <v>11.97</v>
      </c>
      <c r="D107" s="493"/>
      <c r="E107" s="493"/>
    </row>
    <row r="108" spans="1:5">
      <c r="A108" s="488" t="s">
        <v>590</v>
      </c>
      <c r="B108" s="494"/>
      <c r="C108" s="489">
        <v>2.98</v>
      </c>
      <c r="D108" s="495"/>
      <c r="E108" s="495"/>
    </row>
    <row r="109" spans="1:5">
      <c r="A109" s="486" t="s">
        <v>258</v>
      </c>
      <c r="B109" s="492"/>
      <c r="C109" s="487">
        <v>0.04</v>
      </c>
      <c r="D109" s="493"/>
      <c r="E109" s="493"/>
    </row>
    <row r="110" spans="1:5">
      <c r="A110" s="488" t="s">
        <v>1940</v>
      </c>
      <c r="B110" s="494"/>
      <c r="C110" s="489">
        <v>12.22</v>
      </c>
      <c r="D110" s="495"/>
      <c r="E110" s="495"/>
    </row>
    <row r="111" spans="1:5">
      <c r="A111" s="486" t="s">
        <v>230</v>
      </c>
      <c r="B111" s="492"/>
      <c r="C111" s="487">
        <v>9.48</v>
      </c>
      <c r="D111" s="493"/>
      <c r="E111" s="493"/>
    </row>
    <row r="112" spans="1:5">
      <c r="A112" s="488" t="s">
        <v>194</v>
      </c>
      <c r="B112" s="494"/>
      <c r="C112" s="489">
        <v>7.48</v>
      </c>
      <c r="D112" s="494"/>
      <c r="E112" s="497"/>
    </row>
    <row r="113" spans="1:5">
      <c r="A113" s="486" t="s">
        <v>195</v>
      </c>
      <c r="B113" s="492"/>
      <c r="C113" s="487">
        <v>1.36</v>
      </c>
      <c r="D113" s="492"/>
      <c r="E113" s="496"/>
    </row>
    <row r="114" spans="1:5">
      <c r="A114" s="488" t="s">
        <v>259</v>
      </c>
      <c r="B114" s="494"/>
      <c r="C114" s="489">
        <v>3.59</v>
      </c>
      <c r="D114" s="495"/>
      <c r="E114" s="495"/>
    </row>
    <row r="115" spans="1:5">
      <c r="A115" s="486" t="s">
        <v>599</v>
      </c>
      <c r="B115" s="492"/>
      <c r="C115" s="487">
        <v>13.24</v>
      </c>
      <c r="D115" s="492"/>
      <c r="E115" s="496"/>
    </row>
    <row r="116" spans="1:5">
      <c r="A116" s="488" t="s">
        <v>260</v>
      </c>
      <c r="B116" s="494"/>
      <c r="C116" s="489">
        <v>1.17</v>
      </c>
      <c r="D116" s="495"/>
      <c r="E116" s="495"/>
    </row>
    <row r="117" spans="1:5">
      <c r="A117" s="486" t="s">
        <v>196</v>
      </c>
      <c r="B117" s="492"/>
      <c r="C117" s="487">
        <v>4.0999999999999996</v>
      </c>
      <c r="D117" s="492"/>
      <c r="E117" s="496"/>
    </row>
    <row r="118" spans="1:5">
      <c r="A118" s="488" t="s">
        <v>197</v>
      </c>
      <c r="B118" s="494"/>
      <c r="C118" s="489">
        <v>15</v>
      </c>
      <c r="D118" s="494"/>
      <c r="E118" s="497"/>
    </row>
    <row r="119" spans="1:5">
      <c r="A119" s="486" t="s">
        <v>298</v>
      </c>
      <c r="B119" s="492"/>
      <c r="C119" s="487">
        <v>3.07</v>
      </c>
      <c r="D119" s="492"/>
      <c r="E119" s="496"/>
    </row>
    <row r="120" spans="1:5">
      <c r="A120" s="488" t="s">
        <v>432</v>
      </c>
      <c r="B120" s="494"/>
      <c r="C120" s="489">
        <v>3.53</v>
      </c>
      <c r="D120" s="495"/>
      <c r="E120" s="495"/>
    </row>
    <row r="121" spans="1:5">
      <c r="A121" s="486" t="s">
        <v>198</v>
      </c>
      <c r="B121" s="492"/>
      <c r="C121" s="487">
        <v>18.77</v>
      </c>
      <c r="D121" s="493"/>
      <c r="E121" s="493"/>
    </row>
    <row r="122" spans="1:5">
      <c r="A122" s="488" t="s">
        <v>261</v>
      </c>
      <c r="B122" s="494"/>
      <c r="C122" s="489">
        <v>3.93</v>
      </c>
      <c r="D122" s="494"/>
      <c r="E122" s="497"/>
    </row>
    <row r="123" spans="1:5">
      <c r="A123" s="486" t="s">
        <v>199</v>
      </c>
      <c r="B123" s="492"/>
      <c r="C123" s="487">
        <v>13.8</v>
      </c>
      <c r="D123" s="492"/>
      <c r="E123" s="496"/>
    </row>
    <row r="124" spans="1:5">
      <c r="A124" s="488" t="s">
        <v>200</v>
      </c>
      <c r="B124" s="494"/>
      <c r="C124" s="489">
        <v>10.16</v>
      </c>
      <c r="D124" s="495"/>
      <c r="E124" s="495"/>
    </row>
    <row r="125" spans="1:5">
      <c r="A125" s="486" t="s">
        <v>612</v>
      </c>
      <c r="B125" s="492"/>
      <c r="C125" s="487">
        <v>8.23</v>
      </c>
      <c r="D125" s="493"/>
      <c r="E125" s="493"/>
    </row>
    <row r="126" spans="1:5">
      <c r="A126" s="488" t="s">
        <v>319</v>
      </c>
      <c r="B126" s="494"/>
      <c r="C126" s="489">
        <v>12.39</v>
      </c>
      <c r="D126" s="494"/>
      <c r="E126" s="497"/>
    </row>
    <row r="127" spans="1:5">
      <c r="A127" s="486" t="s">
        <v>615</v>
      </c>
      <c r="B127" s="492"/>
      <c r="C127" s="487">
        <v>0.08</v>
      </c>
      <c r="D127" s="493"/>
      <c r="E127" s="493"/>
    </row>
    <row r="128" spans="1:5">
      <c r="A128" s="488" t="s">
        <v>616</v>
      </c>
      <c r="B128" s="494"/>
      <c r="C128" s="489">
        <v>12.41</v>
      </c>
      <c r="D128" s="495"/>
      <c r="E128" s="495"/>
    </row>
    <row r="129" spans="1:5">
      <c r="A129" s="486" t="s">
        <v>618</v>
      </c>
      <c r="B129" s="492"/>
      <c r="C129" s="487">
        <v>0.86</v>
      </c>
      <c r="D129" s="492"/>
      <c r="E129" s="496"/>
    </row>
    <row r="130" spans="1:5">
      <c r="A130" s="488" t="s">
        <v>285</v>
      </c>
      <c r="B130" s="494"/>
      <c r="C130" s="489">
        <v>0.51</v>
      </c>
      <c r="D130" s="494"/>
      <c r="E130" s="497"/>
    </row>
    <row r="131" spans="1:5">
      <c r="A131" s="486" t="s">
        <v>262</v>
      </c>
      <c r="B131" s="492"/>
      <c r="C131" s="487">
        <v>6.87</v>
      </c>
      <c r="D131" s="493"/>
      <c r="E131" s="493"/>
    </row>
    <row r="132" spans="1:5">
      <c r="A132" s="488" t="s">
        <v>220</v>
      </c>
      <c r="B132" s="494"/>
      <c r="C132" s="489">
        <v>6.15</v>
      </c>
      <c r="D132" s="495"/>
      <c r="E132" s="495"/>
    </row>
    <row r="133" spans="1:5">
      <c r="A133" s="486" t="s">
        <v>201</v>
      </c>
      <c r="B133" s="492"/>
      <c r="C133" s="487">
        <v>14.01</v>
      </c>
      <c r="D133" s="493"/>
      <c r="E133" s="493"/>
    </row>
    <row r="134" spans="1:5">
      <c r="A134" s="488" t="s">
        <v>299</v>
      </c>
      <c r="B134" s="494"/>
      <c r="C134" s="489">
        <v>13.95</v>
      </c>
      <c r="D134" s="495"/>
      <c r="E134" s="495"/>
    </row>
    <row r="135" spans="1:5">
      <c r="A135" s="486" t="s">
        <v>202</v>
      </c>
      <c r="B135" s="492"/>
      <c r="C135" s="487">
        <v>8.01</v>
      </c>
      <c r="D135" s="492"/>
      <c r="E135" s="496"/>
    </row>
    <row r="136" spans="1:5">
      <c r="A136" s="488" t="s">
        <v>238</v>
      </c>
      <c r="B136" s="494"/>
      <c r="C136" s="489">
        <v>12.72</v>
      </c>
      <c r="D136" s="495"/>
      <c r="E136" s="495"/>
    </row>
    <row r="137" spans="1:5">
      <c r="A137" s="486" t="s">
        <v>627</v>
      </c>
      <c r="B137" s="492"/>
      <c r="C137" s="487">
        <v>10.48</v>
      </c>
      <c r="D137" s="493"/>
      <c r="E137" s="493"/>
    </row>
    <row r="138" spans="1:5">
      <c r="A138" s="488" t="s">
        <v>263</v>
      </c>
      <c r="B138" s="494"/>
      <c r="C138" s="489">
        <v>1.69</v>
      </c>
      <c r="D138" s="494"/>
      <c r="E138" s="497"/>
    </row>
    <row r="139" spans="1:5">
      <c r="A139" s="486" t="s">
        <v>2006</v>
      </c>
      <c r="B139" s="492"/>
      <c r="C139" s="487" t="s">
        <v>2595</v>
      </c>
      <c r="D139" s="492"/>
      <c r="E139" s="496"/>
    </row>
    <row r="140" spans="1:5">
      <c r="A140" s="488" t="s">
        <v>433</v>
      </c>
      <c r="B140" s="494"/>
      <c r="C140" s="489">
        <v>1.68</v>
      </c>
      <c r="D140" s="494"/>
      <c r="E140" s="497"/>
    </row>
    <row r="141" spans="1:5">
      <c r="A141" s="486" t="s">
        <v>300</v>
      </c>
      <c r="B141" s="492"/>
      <c r="C141" s="487">
        <v>3.66</v>
      </c>
      <c r="D141" s="493"/>
      <c r="E141" s="493"/>
    </row>
    <row r="142" spans="1:5">
      <c r="A142" s="488" t="s">
        <v>320</v>
      </c>
      <c r="B142" s="494"/>
      <c r="C142" s="489">
        <v>21.41</v>
      </c>
      <c r="D142" s="495"/>
      <c r="E142" s="495"/>
    </row>
    <row r="143" spans="1:5">
      <c r="A143" s="486" t="s">
        <v>203</v>
      </c>
      <c r="B143" s="492"/>
      <c r="C143" s="487">
        <v>36.72</v>
      </c>
      <c r="D143" s="493"/>
      <c r="E143" s="493"/>
    </row>
    <row r="144" spans="1:5">
      <c r="A144" s="488" t="s">
        <v>204</v>
      </c>
      <c r="B144" s="494"/>
      <c r="C144" s="489">
        <v>11.47</v>
      </c>
      <c r="D144" s="495"/>
      <c r="E144" s="495"/>
    </row>
    <row r="145" spans="1:5">
      <c r="A145" s="486" t="s">
        <v>301</v>
      </c>
      <c r="B145" s="492"/>
      <c r="C145" s="487">
        <v>10.86</v>
      </c>
      <c r="D145" s="493"/>
      <c r="E145" s="493"/>
    </row>
    <row r="146" spans="1:5">
      <c r="A146" s="488" t="s">
        <v>264</v>
      </c>
      <c r="B146" s="494"/>
      <c r="C146" s="489">
        <v>4.78</v>
      </c>
      <c r="D146" s="494"/>
      <c r="E146" s="497"/>
    </row>
    <row r="147" spans="1:5">
      <c r="A147" s="486" t="s">
        <v>639</v>
      </c>
      <c r="B147" s="492"/>
      <c r="C147" s="487">
        <v>7.4</v>
      </c>
      <c r="D147" s="493"/>
      <c r="E147" s="493"/>
    </row>
    <row r="148" spans="1:5">
      <c r="A148" s="488" t="s">
        <v>641</v>
      </c>
      <c r="B148" s="494"/>
      <c r="C148" s="489">
        <v>5.01</v>
      </c>
      <c r="D148" s="495"/>
      <c r="E148" s="495"/>
    </row>
    <row r="149" spans="1:5">
      <c r="A149" s="486" t="s">
        <v>643</v>
      </c>
      <c r="B149" s="492"/>
      <c r="C149" s="487">
        <v>3.12</v>
      </c>
      <c r="D149" s="493"/>
      <c r="E149" s="493"/>
    </row>
    <row r="150" spans="1:5">
      <c r="A150" s="488" t="s">
        <v>265</v>
      </c>
      <c r="B150" s="494"/>
      <c r="C150" s="489">
        <v>5.27</v>
      </c>
      <c r="D150" s="495"/>
      <c r="E150" s="495"/>
    </row>
    <row r="151" spans="1:5">
      <c r="A151" s="486" t="s">
        <v>646</v>
      </c>
      <c r="B151" s="492"/>
      <c r="C151" s="487">
        <v>2.09</v>
      </c>
      <c r="D151" s="493"/>
      <c r="E151" s="493"/>
    </row>
    <row r="152" spans="1:5">
      <c r="A152" s="488" t="s">
        <v>231</v>
      </c>
      <c r="B152" s="494"/>
      <c r="C152" s="489">
        <v>4.76</v>
      </c>
      <c r="D152" s="495"/>
      <c r="E152" s="495"/>
    </row>
    <row r="153" spans="1:5">
      <c r="A153" s="486" t="s">
        <v>239</v>
      </c>
      <c r="B153" s="492"/>
      <c r="C153" s="487">
        <v>6.61</v>
      </c>
      <c r="D153" s="492"/>
      <c r="E153" s="496"/>
    </row>
    <row r="154" spans="1:5">
      <c r="A154" s="488" t="s">
        <v>321</v>
      </c>
      <c r="B154" s="494"/>
      <c r="C154" s="489">
        <v>5.19</v>
      </c>
      <c r="D154" s="494"/>
      <c r="E154" s="497"/>
    </row>
    <row r="155" spans="1:5">
      <c r="A155" s="486" t="s">
        <v>322</v>
      </c>
      <c r="B155" s="492"/>
      <c r="C155" s="487">
        <v>7.88</v>
      </c>
      <c r="D155" s="492"/>
      <c r="E155" s="496"/>
    </row>
    <row r="156" spans="1:5">
      <c r="A156" s="488" t="s">
        <v>323</v>
      </c>
      <c r="B156" s="494"/>
      <c r="C156" s="489">
        <v>8.58</v>
      </c>
      <c r="D156" s="494"/>
      <c r="E156" s="497"/>
    </row>
    <row r="157" spans="1:5">
      <c r="A157" s="486" t="s">
        <v>434</v>
      </c>
      <c r="B157" s="492"/>
      <c r="C157" s="487">
        <v>1.47</v>
      </c>
      <c r="D157" s="493"/>
      <c r="E157" s="493"/>
    </row>
    <row r="158" spans="1:5">
      <c r="A158" s="488" t="s">
        <v>266</v>
      </c>
      <c r="B158" s="494"/>
      <c r="C158" s="489">
        <v>1.84</v>
      </c>
      <c r="D158" s="495"/>
      <c r="E158" s="495"/>
    </row>
    <row r="159" spans="1:5">
      <c r="A159" s="486" t="s">
        <v>655</v>
      </c>
      <c r="B159" s="492"/>
      <c r="C159" s="487">
        <v>1.7</v>
      </c>
      <c r="D159" s="493"/>
      <c r="E159" s="493"/>
    </row>
    <row r="160" spans="1:5">
      <c r="A160" s="488" t="s">
        <v>267</v>
      </c>
      <c r="B160" s="494"/>
      <c r="C160" s="489">
        <v>3.8</v>
      </c>
      <c r="D160" s="494"/>
      <c r="E160" s="497"/>
    </row>
    <row r="161" spans="1:5">
      <c r="A161" s="486" t="s">
        <v>269</v>
      </c>
      <c r="B161" s="492"/>
      <c r="C161" s="487">
        <v>1.98</v>
      </c>
      <c r="D161" s="492"/>
      <c r="E161" s="496"/>
    </row>
    <row r="162" spans="1:5">
      <c r="A162" s="488" t="s">
        <v>659</v>
      </c>
      <c r="B162" s="494"/>
      <c r="C162" s="489">
        <v>1.83</v>
      </c>
      <c r="D162" s="494"/>
      <c r="E162" s="497"/>
    </row>
    <row r="163" spans="1:5">
      <c r="A163" s="486" t="s">
        <v>205</v>
      </c>
      <c r="B163" s="492"/>
      <c r="C163" s="487">
        <v>36.24</v>
      </c>
      <c r="D163" s="493"/>
      <c r="E163" s="493"/>
    </row>
    <row r="164" spans="1:5">
      <c r="A164" s="488" t="s">
        <v>436</v>
      </c>
      <c r="B164" s="494"/>
      <c r="C164" s="489">
        <v>4.76</v>
      </c>
      <c r="D164" s="495"/>
      <c r="E164" s="495"/>
    </row>
    <row r="165" spans="1:5">
      <c r="A165" s="486" t="s">
        <v>437</v>
      </c>
      <c r="B165" s="492"/>
      <c r="C165" s="487">
        <v>10.4</v>
      </c>
      <c r="D165" s="493"/>
      <c r="E165" s="493"/>
    </row>
    <row r="166" spans="1:5">
      <c r="A166" s="488" t="s">
        <v>438</v>
      </c>
      <c r="B166" s="494"/>
      <c r="C166" s="489">
        <v>9.06</v>
      </c>
      <c r="D166" s="495"/>
      <c r="E166" s="495"/>
    </row>
    <row r="167" spans="1:5">
      <c r="A167" s="486" t="s">
        <v>439</v>
      </c>
      <c r="B167" s="492"/>
      <c r="C167" s="487">
        <v>0</v>
      </c>
      <c r="D167" s="493"/>
      <c r="E167" s="493"/>
    </row>
    <row r="168" spans="1:5">
      <c r="A168" s="488" t="s">
        <v>206</v>
      </c>
      <c r="B168" s="494"/>
      <c r="C168" s="489">
        <v>4.8499999999999996</v>
      </c>
      <c r="D168" s="494"/>
      <c r="E168" s="497"/>
    </row>
    <row r="169" spans="1:5">
      <c r="A169" s="486" t="s">
        <v>232</v>
      </c>
      <c r="B169" s="492"/>
      <c r="C169" s="487">
        <v>6.14</v>
      </c>
      <c r="D169" s="493"/>
      <c r="E169" s="493"/>
    </row>
    <row r="170" spans="1:5">
      <c r="A170" s="488" t="s">
        <v>207</v>
      </c>
      <c r="B170" s="494"/>
      <c r="C170" s="489">
        <v>3.24</v>
      </c>
      <c r="D170" s="494"/>
      <c r="E170" s="497"/>
    </row>
    <row r="171" spans="1:5">
      <c r="A171" s="486" t="s">
        <v>271</v>
      </c>
      <c r="B171" s="492"/>
      <c r="C171" s="487">
        <v>5.92</v>
      </c>
      <c r="D171" s="492"/>
      <c r="E171" s="496"/>
    </row>
    <row r="172" spans="1:5">
      <c r="A172" s="488" t="s">
        <v>670</v>
      </c>
      <c r="B172" s="494"/>
      <c r="C172" s="489" t="s">
        <v>2596</v>
      </c>
      <c r="D172" s="494"/>
      <c r="E172" s="497"/>
    </row>
    <row r="173" spans="1:5">
      <c r="A173" s="486" t="s">
        <v>208</v>
      </c>
      <c r="B173" s="492"/>
      <c r="C173" s="487">
        <v>11.3</v>
      </c>
      <c r="D173" s="493"/>
      <c r="E173" s="493"/>
    </row>
    <row r="174" spans="1:5">
      <c r="A174" s="488" t="s">
        <v>272</v>
      </c>
      <c r="B174" s="494"/>
      <c r="C174" s="489">
        <v>1.28</v>
      </c>
      <c r="D174" s="494"/>
      <c r="E174" s="497"/>
    </row>
    <row r="175" spans="1:5">
      <c r="A175" s="486" t="s">
        <v>273</v>
      </c>
      <c r="B175" s="492"/>
      <c r="C175" s="487">
        <v>1.99</v>
      </c>
      <c r="D175" s="493"/>
      <c r="E175" s="493"/>
    </row>
    <row r="176" spans="1:5">
      <c r="A176" s="488" t="s">
        <v>675</v>
      </c>
      <c r="B176" s="494"/>
      <c r="C176" s="489">
        <v>14.15</v>
      </c>
      <c r="D176" s="495"/>
      <c r="E176" s="495"/>
    </row>
    <row r="177" spans="1:5">
      <c r="A177" s="486" t="s">
        <v>440</v>
      </c>
      <c r="B177" s="492"/>
      <c r="C177" s="487">
        <v>10.73</v>
      </c>
      <c r="D177" s="493"/>
      <c r="E177" s="493"/>
    </row>
    <row r="178" spans="1:5">
      <c r="A178" s="488" t="s">
        <v>210</v>
      </c>
      <c r="B178" s="494"/>
      <c r="C178" s="489">
        <v>2.31</v>
      </c>
      <c r="D178" s="494"/>
      <c r="E178" s="497"/>
    </row>
    <row r="179" spans="1:5">
      <c r="A179" s="486" t="s">
        <v>679</v>
      </c>
      <c r="B179" s="492"/>
      <c r="C179" s="487">
        <v>10.59</v>
      </c>
      <c r="D179" s="492"/>
      <c r="E179" s="496"/>
    </row>
    <row r="180" spans="1:5">
      <c r="A180" s="488" t="s">
        <v>304</v>
      </c>
      <c r="B180" s="494"/>
      <c r="C180" s="489">
        <v>1.29</v>
      </c>
      <c r="D180" s="495"/>
      <c r="E180" s="495"/>
    </row>
    <row r="181" spans="1:5">
      <c r="A181" s="486" t="s">
        <v>2102</v>
      </c>
      <c r="B181" s="492"/>
      <c r="C181" s="487">
        <v>3.04</v>
      </c>
      <c r="D181" s="493"/>
      <c r="E181" s="493"/>
    </row>
    <row r="182" spans="1:5">
      <c r="A182" s="488" t="s">
        <v>684</v>
      </c>
      <c r="B182" s="494"/>
      <c r="C182" s="489">
        <v>2.85</v>
      </c>
      <c r="D182" s="494"/>
      <c r="E182" s="497"/>
    </row>
    <row r="183" spans="1:5">
      <c r="A183" s="486" t="s">
        <v>686</v>
      </c>
      <c r="B183" s="492"/>
      <c r="C183" s="487">
        <v>12.4</v>
      </c>
      <c r="D183" s="492"/>
      <c r="E183" s="496"/>
    </row>
    <row r="184" spans="1:5">
      <c r="A184" s="488" t="s">
        <v>688</v>
      </c>
      <c r="B184" s="494"/>
      <c r="C184" s="489">
        <v>5.19</v>
      </c>
      <c r="D184" s="494"/>
      <c r="E184" s="497"/>
    </row>
    <row r="185" spans="1:5">
      <c r="A185" s="486" t="s">
        <v>274</v>
      </c>
      <c r="B185" s="492"/>
      <c r="C185" s="487">
        <v>5.31</v>
      </c>
      <c r="D185" s="492"/>
      <c r="E185" s="496"/>
    </row>
    <row r="186" spans="1:5">
      <c r="A186" s="488" t="s">
        <v>441</v>
      </c>
      <c r="B186" s="494"/>
      <c r="C186" s="489">
        <v>9.2899999999999991</v>
      </c>
      <c r="D186" s="495"/>
      <c r="E186" s="495"/>
    </row>
    <row r="187" spans="1:5">
      <c r="A187" s="486" t="s">
        <v>221</v>
      </c>
      <c r="B187" s="492"/>
      <c r="C187" s="487">
        <v>11.15</v>
      </c>
      <c r="D187" s="493"/>
      <c r="E187" s="493"/>
    </row>
    <row r="188" spans="1:5">
      <c r="A188" s="488" t="s">
        <v>693</v>
      </c>
      <c r="B188" s="494"/>
      <c r="C188" s="489" t="s">
        <v>2597</v>
      </c>
      <c r="D188" s="495"/>
      <c r="E188" s="495"/>
    </row>
    <row r="189" spans="1:5">
      <c r="A189" s="486" t="s">
        <v>324</v>
      </c>
      <c r="B189" s="492"/>
      <c r="C189" s="487">
        <v>2.33</v>
      </c>
      <c r="D189" s="492"/>
      <c r="E189" s="496"/>
    </row>
    <row r="190" spans="1:5">
      <c r="A190" s="488" t="s">
        <v>275</v>
      </c>
      <c r="B190" s="494"/>
      <c r="C190" s="489">
        <v>1.86</v>
      </c>
      <c r="D190" s="495"/>
      <c r="E190" s="495"/>
    </row>
    <row r="191" spans="1:5">
      <c r="A191" s="486" t="s">
        <v>276</v>
      </c>
      <c r="B191" s="492"/>
      <c r="C191" s="487">
        <v>1.84</v>
      </c>
      <c r="D191" s="493"/>
      <c r="E191" s="493"/>
    </row>
    <row r="192" spans="1:5">
      <c r="A192" s="488" t="s">
        <v>286</v>
      </c>
      <c r="B192" s="494"/>
      <c r="C192" s="489">
        <v>2.19</v>
      </c>
      <c r="D192" s="495"/>
      <c r="E192" s="495"/>
    </row>
    <row r="193" spans="1:5">
      <c r="A193" s="486" t="s">
        <v>212</v>
      </c>
      <c r="B193" s="492"/>
      <c r="C193" s="487">
        <v>20.93</v>
      </c>
      <c r="D193" s="493"/>
      <c r="E193" s="493"/>
    </row>
    <row r="194" spans="1:5">
      <c r="A194" s="488" t="s">
        <v>305</v>
      </c>
      <c r="B194" s="494"/>
      <c r="C194" s="489">
        <v>3.41</v>
      </c>
      <c r="D194" s="495"/>
      <c r="E194" s="495"/>
    </row>
    <row r="195" spans="1:5">
      <c r="A195" s="486" t="s">
        <v>442</v>
      </c>
      <c r="B195" s="492"/>
      <c r="C195" s="487">
        <v>8.81</v>
      </c>
      <c r="D195" s="493"/>
      <c r="E195" s="493"/>
    </row>
    <row r="196" spans="1:5">
      <c r="A196" s="488" t="s">
        <v>213</v>
      </c>
      <c r="B196" s="494"/>
      <c r="C196" s="489">
        <v>15.15</v>
      </c>
      <c r="D196" s="495"/>
      <c r="E196" s="495"/>
    </row>
    <row r="197" spans="1:5">
      <c r="A197" s="486" t="s">
        <v>443</v>
      </c>
      <c r="B197" s="492"/>
      <c r="C197" s="487">
        <v>9.73</v>
      </c>
      <c r="D197" s="493"/>
      <c r="E197" s="493"/>
    </row>
    <row r="198" spans="1:5">
      <c r="A198" s="488" t="s">
        <v>222</v>
      </c>
      <c r="B198" s="494"/>
      <c r="C198" s="489">
        <v>7.87</v>
      </c>
      <c r="D198" s="495"/>
      <c r="E198" s="495"/>
    </row>
    <row r="199" spans="1:5">
      <c r="A199" s="486" t="s">
        <v>288</v>
      </c>
      <c r="B199" s="492"/>
      <c r="C199" s="487">
        <v>12.99</v>
      </c>
      <c r="D199" s="493"/>
      <c r="E199" s="493"/>
    </row>
    <row r="200" spans="1:5">
      <c r="A200" s="488" t="s">
        <v>710</v>
      </c>
      <c r="B200" s="494"/>
      <c r="C200" s="489" t="s">
        <v>2598</v>
      </c>
      <c r="D200" s="494"/>
      <c r="E200" s="497"/>
    </row>
    <row r="201" spans="1:5">
      <c r="A201" s="486" t="s">
        <v>214</v>
      </c>
      <c r="B201" s="492"/>
      <c r="C201" s="487">
        <v>23.53</v>
      </c>
      <c r="D201" s="493"/>
      <c r="E201" s="493"/>
    </row>
    <row r="202" spans="1:5">
      <c r="A202" s="488" t="s">
        <v>277</v>
      </c>
      <c r="B202" s="494"/>
      <c r="C202" s="489">
        <v>1.57</v>
      </c>
      <c r="D202" s="494"/>
      <c r="E202" s="497"/>
    </row>
    <row r="203" spans="1:5">
      <c r="A203" s="486" t="s">
        <v>444</v>
      </c>
      <c r="B203" s="492"/>
      <c r="C203" s="487">
        <v>25.48</v>
      </c>
      <c r="D203" s="493"/>
      <c r="E203" s="493"/>
    </row>
    <row r="204" spans="1:5">
      <c r="A204" s="488" t="s">
        <v>715</v>
      </c>
      <c r="B204" s="494"/>
      <c r="C204" s="489">
        <v>3.45</v>
      </c>
      <c r="D204" s="495"/>
      <c r="E204" s="495"/>
    </row>
    <row r="205" spans="1:5">
      <c r="A205" s="486" t="s">
        <v>717</v>
      </c>
      <c r="B205" s="492"/>
      <c r="C205" s="487">
        <v>4.2300000000000004</v>
      </c>
      <c r="D205" s="493"/>
      <c r="E205" s="493"/>
    </row>
    <row r="206" spans="1:5">
      <c r="A206" s="488" t="s">
        <v>325</v>
      </c>
      <c r="B206" s="494"/>
      <c r="C206" s="489">
        <v>3.33</v>
      </c>
      <c r="D206" s="495"/>
      <c r="E206" s="495"/>
    </row>
    <row r="207" spans="1:5">
      <c r="A207" s="486" t="s">
        <v>287</v>
      </c>
      <c r="B207" s="492"/>
      <c r="C207" s="487">
        <v>0.05</v>
      </c>
      <c r="D207" s="493"/>
      <c r="E207" s="493"/>
    </row>
    <row r="208" spans="1:5">
      <c r="A208" s="488" t="s">
        <v>448</v>
      </c>
      <c r="B208" s="494"/>
      <c r="C208" s="489">
        <v>0</v>
      </c>
      <c r="D208" s="495"/>
      <c r="E208" s="495"/>
    </row>
    <row r="209" spans="1:5">
      <c r="A209" s="486" t="s">
        <v>326</v>
      </c>
      <c r="B209" s="492"/>
      <c r="C209" s="487">
        <v>5.8</v>
      </c>
      <c r="D209" s="492"/>
      <c r="E209" s="496"/>
    </row>
    <row r="210" spans="1:5">
      <c r="A210" s="488" t="s">
        <v>306</v>
      </c>
      <c r="B210" s="494"/>
      <c r="C210" s="489">
        <v>2.98</v>
      </c>
      <c r="D210" s="495"/>
      <c r="E210" s="495"/>
    </row>
    <row r="211" spans="1:5">
      <c r="A211" s="486" t="s">
        <v>724</v>
      </c>
      <c r="B211" s="492"/>
      <c r="C211" s="487">
        <v>11.79</v>
      </c>
      <c r="D211" s="493"/>
      <c r="E211" s="493"/>
    </row>
    <row r="212" spans="1:5">
      <c r="A212" s="488" t="s">
        <v>726</v>
      </c>
      <c r="B212" s="494"/>
      <c r="C212" s="489">
        <v>8.6999999999999993</v>
      </c>
      <c r="D212" s="495"/>
      <c r="E212" s="495"/>
    </row>
    <row r="213" spans="1:5">
      <c r="A213" s="486" t="s">
        <v>1182</v>
      </c>
      <c r="B213" s="492"/>
      <c r="C213" s="487">
        <v>1.34</v>
      </c>
      <c r="D213" s="492"/>
      <c r="E213" s="496"/>
    </row>
    <row r="214" spans="1:5">
      <c r="A214" s="488" t="s">
        <v>728</v>
      </c>
      <c r="B214" s="494"/>
      <c r="C214" s="489">
        <v>7.21</v>
      </c>
      <c r="D214" s="494"/>
      <c r="E214" s="497"/>
    </row>
    <row r="215" spans="1:5">
      <c r="A215" s="486" t="s">
        <v>235</v>
      </c>
      <c r="B215" s="492"/>
      <c r="C215" s="487">
        <v>6.29</v>
      </c>
      <c r="D215" s="492"/>
      <c r="E215" s="496"/>
    </row>
    <row r="216" spans="1:5">
      <c r="A216" s="488" t="s">
        <v>2180</v>
      </c>
      <c r="B216" s="494"/>
      <c r="C216" s="489" t="s">
        <v>2599</v>
      </c>
      <c r="D216" s="494"/>
      <c r="E216" s="497"/>
    </row>
    <row r="217" spans="1:5">
      <c r="A217" s="486" t="s">
        <v>215</v>
      </c>
      <c r="B217" s="492"/>
      <c r="C217" s="487">
        <v>1.83</v>
      </c>
      <c r="D217" s="492"/>
      <c r="E217" s="496"/>
    </row>
    <row r="218" spans="1:5">
      <c r="A218" s="490" t="s">
        <v>216</v>
      </c>
      <c r="B218" s="550"/>
      <c r="C218" s="491">
        <v>3.91</v>
      </c>
      <c r="D218" s="550"/>
      <c r="E218" s="551"/>
    </row>
    <row r="219" spans="1:5">
      <c r="C219" s="185"/>
    </row>
    <row r="220" spans="1:5">
      <c r="C220" s="185"/>
    </row>
    <row r="221" spans="1:5">
      <c r="C221" s="185"/>
    </row>
    <row r="222" spans="1:5">
      <c r="C222" s="185"/>
    </row>
    <row r="223" spans="1:5">
      <c r="C223" s="185"/>
    </row>
    <row r="224" spans="1:5">
      <c r="C224" s="185"/>
    </row>
    <row r="225" spans="3:3">
      <c r="C225" s="185"/>
    </row>
    <row r="226" spans="3:3">
      <c r="C226" s="185"/>
    </row>
    <row r="227" spans="3:3">
      <c r="C227" s="185"/>
    </row>
    <row r="228" spans="3:3">
      <c r="C228" s="185"/>
    </row>
    <row r="229" spans="3:3">
      <c r="C229" s="185"/>
    </row>
    <row r="230" spans="3:3">
      <c r="C230" s="185"/>
    </row>
    <row r="231" spans="3:3">
      <c r="C231" s="185"/>
    </row>
    <row r="232" spans="3:3">
      <c r="C232" s="185"/>
    </row>
    <row r="233" spans="3:3">
      <c r="C233" s="185"/>
    </row>
    <row r="234" spans="3:3">
      <c r="C234" s="185"/>
    </row>
    <row r="235" spans="3:3">
      <c r="C235" s="185"/>
    </row>
    <row r="236" spans="3:3">
      <c r="C236" s="185"/>
    </row>
    <row r="237" spans="3:3">
      <c r="C237" s="185"/>
    </row>
    <row r="238" spans="3:3">
      <c r="C238" s="185"/>
    </row>
    <row r="239" spans="3:3">
      <c r="C239" s="185"/>
    </row>
    <row r="240" spans="3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  <row r="1001" spans="3:3">
      <c r="C1001" s="185"/>
    </row>
  </sheetData>
  <hyperlinks>
    <hyperlink ref="A2" r:id="rId1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2" max="2" width="23" customWidth="1"/>
    <col min="3" max="3" width="17.5703125" customWidth="1"/>
    <col min="10" max="10" width="13.7109375" customWidth="1"/>
  </cols>
  <sheetData>
    <row r="1" spans="1:11" ht="15.75" customHeight="1">
      <c r="A1" s="286"/>
      <c r="B1" s="314" t="s">
        <v>2600</v>
      </c>
      <c r="C1" s="285" t="s">
        <v>2601</v>
      </c>
      <c r="D1" s="287" t="s">
        <v>2593</v>
      </c>
      <c r="E1" s="287" t="s">
        <v>2602</v>
      </c>
      <c r="F1" s="287" t="s">
        <v>2603</v>
      </c>
      <c r="G1" s="287" t="s">
        <v>2604</v>
      </c>
      <c r="H1" s="287" t="s">
        <v>2605</v>
      </c>
    </row>
    <row r="2" spans="1:11">
      <c r="A2" s="552"/>
      <c r="B2" s="553">
        <f>SUM(B3:B1000)</f>
        <v>1509.05</v>
      </c>
      <c r="C2" s="553">
        <f>SUM(C3:C1000)</f>
        <v>1387.9399999999989</v>
      </c>
      <c r="D2" s="481"/>
      <c r="E2" s="481"/>
      <c r="F2" s="481"/>
      <c r="G2" s="481"/>
      <c r="H2" s="553">
        <f>SUM(H3:H1000)</f>
        <v>121.10999999999997</v>
      </c>
      <c r="I2" s="222" t="s">
        <v>2606</v>
      </c>
      <c r="K2" s="458">
        <f>SUM(H2/B2)</f>
        <v>8.0255790066598179E-2</v>
      </c>
    </row>
    <row r="3" spans="1:11">
      <c r="A3" s="554" t="s">
        <v>279</v>
      </c>
      <c r="B3" s="555">
        <f t="shared" ref="B3:B174" si="0">C3+H3</f>
        <v>3.9</v>
      </c>
      <c r="C3" s="554">
        <f t="shared" ref="C3:C174" si="1">SUM(D3:G3)</f>
        <v>3.9</v>
      </c>
      <c r="D3" s="480">
        <v>2.25</v>
      </c>
      <c r="E3" s="480"/>
      <c r="F3" s="480">
        <v>1.65</v>
      </c>
      <c r="G3" s="480">
        <v>0</v>
      </c>
      <c r="H3" s="480">
        <v>0</v>
      </c>
      <c r="I3" s="222" t="s">
        <v>2607</v>
      </c>
      <c r="K3" s="508">
        <v>0.77</v>
      </c>
    </row>
    <row r="4" spans="1:11">
      <c r="A4" s="554" t="s">
        <v>240</v>
      </c>
      <c r="B4" s="555">
        <f t="shared" si="0"/>
        <v>6.23</v>
      </c>
      <c r="C4" s="554">
        <f t="shared" si="1"/>
        <v>6.23</v>
      </c>
      <c r="D4" s="480">
        <v>0.39</v>
      </c>
      <c r="E4" s="480"/>
      <c r="F4" s="480">
        <v>0.18</v>
      </c>
      <c r="G4" s="480">
        <v>5.66</v>
      </c>
      <c r="H4" s="480">
        <v>0</v>
      </c>
      <c r="I4" s="222" t="s">
        <v>2608</v>
      </c>
      <c r="K4" s="510">
        <f>K2*K3</f>
        <v>6.1796958351280601E-2</v>
      </c>
    </row>
    <row r="5" spans="1:11">
      <c r="A5" s="554" t="s">
        <v>219</v>
      </c>
      <c r="B5" s="555">
        <f t="shared" si="0"/>
        <v>7.8900000000000006</v>
      </c>
      <c r="C5" s="554">
        <f t="shared" si="1"/>
        <v>7.8900000000000006</v>
      </c>
      <c r="D5" s="480">
        <v>5.59</v>
      </c>
      <c r="E5" s="480">
        <v>0.45</v>
      </c>
      <c r="F5" s="480">
        <v>0.25</v>
      </c>
      <c r="G5" s="480">
        <v>1.6</v>
      </c>
      <c r="H5" s="480">
        <v>0</v>
      </c>
    </row>
    <row r="6" spans="1:11">
      <c r="A6" s="554" t="s">
        <v>173</v>
      </c>
      <c r="B6" s="555">
        <f t="shared" si="0"/>
        <v>12.58</v>
      </c>
      <c r="C6" s="554">
        <f t="shared" si="1"/>
        <v>12.02</v>
      </c>
      <c r="D6" s="480">
        <v>0.71</v>
      </c>
      <c r="E6" s="480"/>
      <c r="F6" s="480">
        <v>3.89</v>
      </c>
      <c r="G6" s="480">
        <v>7.42</v>
      </c>
      <c r="H6" s="480">
        <v>0.56000000000000005</v>
      </c>
    </row>
    <row r="7" spans="1:11">
      <c r="A7" s="554" t="s">
        <v>405</v>
      </c>
      <c r="B7" s="555">
        <f t="shared" si="0"/>
        <v>3.7300000000000004</v>
      </c>
      <c r="C7" s="554">
        <f t="shared" si="1"/>
        <v>3.45</v>
      </c>
      <c r="D7" s="480">
        <v>0.74</v>
      </c>
      <c r="E7" s="480">
        <v>0.57999999999999996</v>
      </c>
      <c r="F7" s="480">
        <v>0.91</v>
      </c>
      <c r="G7" s="480">
        <v>1.22</v>
      </c>
      <c r="H7" s="480">
        <v>0.28000000000000003</v>
      </c>
    </row>
    <row r="8" spans="1:11">
      <c r="A8" s="554" t="s">
        <v>307</v>
      </c>
      <c r="B8" s="555">
        <f t="shared" si="0"/>
        <v>2.3999999999999995</v>
      </c>
      <c r="C8" s="554">
        <f t="shared" si="1"/>
        <v>2.3899999999999997</v>
      </c>
      <c r="D8" s="480">
        <v>0.63</v>
      </c>
      <c r="E8" s="480">
        <v>0.94</v>
      </c>
      <c r="F8" s="480">
        <v>0.04</v>
      </c>
      <c r="G8" s="480">
        <v>0.78</v>
      </c>
      <c r="H8" s="480">
        <v>0.01</v>
      </c>
    </row>
    <row r="9" spans="1:11">
      <c r="A9" s="554" t="s">
        <v>280</v>
      </c>
      <c r="B9" s="555">
        <f t="shared" si="0"/>
        <v>2.6499999999999995</v>
      </c>
      <c r="C9" s="554">
        <f t="shared" si="1"/>
        <v>2.6399999999999997</v>
      </c>
      <c r="D9" s="480">
        <v>0.96</v>
      </c>
      <c r="E9" s="480">
        <v>0.23</v>
      </c>
      <c r="F9" s="480">
        <v>0.26</v>
      </c>
      <c r="G9" s="480">
        <v>1.19</v>
      </c>
      <c r="H9" s="480">
        <v>0.01</v>
      </c>
    </row>
    <row r="10" spans="1:11">
      <c r="A10" s="554" t="s">
        <v>292</v>
      </c>
      <c r="B10" s="555">
        <f t="shared" si="0"/>
        <v>3.79</v>
      </c>
      <c r="C10" s="554">
        <f t="shared" si="1"/>
        <v>3.05</v>
      </c>
      <c r="D10" s="480">
        <v>0.9</v>
      </c>
      <c r="F10" s="480">
        <v>2.11</v>
      </c>
      <c r="G10" s="480">
        <v>0.04</v>
      </c>
      <c r="H10" s="480">
        <v>0.74</v>
      </c>
    </row>
    <row r="11" spans="1:11">
      <c r="A11" s="554" t="s">
        <v>241</v>
      </c>
      <c r="B11" s="555">
        <f t="shared" si="0"/>
        <v>4.6500000000000004</v>
      </c>
      <c r="C11" s="554">
        <f t="shared" si="1"/>
        <v>2.5100000000000002</v>
      </c>
      <c r="D11" s="480">
        <v>0.72</v>
      </c>
      <c r="E11" s="480">
        <v>0.13</v>
      </c>
      <c r="F11" s="480">
        <v>1.5</v>
      </c>
      <c r="G11" s="480">
        <v>0.16</v>
      </c>
      <c r="H11" s="480">
        <v>2.14</v>
      </c>
    </row>
    <row r="12" spans="1:11">
      <c r="A12" s="554" t="s">
        <v>406</v>
      </c>
      <c r="B12" s="555">
        <f t="shared" si="0"/>
        <v>0.83</v>
      </c>
      <c r="C12" s="554">
        <f t="shared" si="1"/>
        <v>0.83</v>
      </c>
      <c r="D12" s="480">
        <v>0</v>
      </c>
      <c r="F12" s="480">
        <v>0.25</v>
      </c>
      <c r="G12" s="480">
        <v>0.57999999999999996</v>
      </c>
      <c r="H12" s="480">
        <v>0</v>
      </c>
    </row>
    <row r="13" spans="1:11">
      <c r="A13" s="554" t="s">
        <v>407</v>
      </c>
      <c r="B13" s="555">
        <f t="shared" si="0"/>
        <v>1.8299999999999998</v>
      </c>
      <c r="C13" s="554">
        <f t="shared" si="1"/>
        <v>1.7999999999999998</v>
      </c>
      <c r="D13" s="480">
        <v>0.49</v>
      </c>
      <c r="F13" s="480">
        <v>1.19</v>
      </c>
      <c r="G13" s="480">
        <v>0.12</v>
      </c>
      <c r="H13" s="480">
        <v>0.03</v>
      </c>
    </row>
    <row r="14" spans="1:11">
      <c r="A14" s="554" t="s">
        <v>236</v>
      </c>
      <c r="B14" s="555">
        <f t="shared" si="0"/>
        <v>8.1199999999999992</v>
      </c>
      <c r="C14" s="554">
        <f t="shared" si="1"/>
        <v>7.27</v>
      </c>
      <c r="D14" s="480">
        <v>4.72</v>
      </c>
      <c r="E14" s="480">
        <v>2.13</v>
      </c>
      <c r="F14" s="480">
        <v>0.06</v>
      </c>
      <c r="G14" s="480">
        <v>0.36</v>
      </c>
      <c r="H14" s="480">
        <v>0.85</v>
      </c>
    </row>
    <row r="15" spans="1:11">
      <c r="A15" s="554" t="s">
        <v>408</v>
      </c>
      <c r="B15" s="555">
        <f t="shared" si="0"/>
        <v>9.4799999999999986</v>
      </c>
      <c r="C15" s="554">
        <f t="shared" si="1"/>
        <v>9.2199999999999989</v>
      </c>
      <c r="D15" s="480">
        <v>5.32</v>
      </c>
      <c r="E15" s="480">
        <v>1.39</v>
      </c>
      <c r="F15" s="480">
        <v>1.91</v>
      </c>
      <c r="G15" s="480">
        <v>0.6</v>
      </c>
      <c r="H15" s="480">
        <v>0.26</v>
      </c>
    </row>
    <row r="16" spans="1:11">
      <c r="A16" s="554" t="s">
        <v>242</v>
      </c>
      <c r="B16" s="555">
        <f t="shared" si="0"/>
        <v>1.17</v>
      </c>
      <c r="C16" s="554">
        <f t="shared" si="1"/>
        <v>0.55000000000000004</v>
      </c>
      <c r="D16" s="480">
        <v>0.02</v>
      </c>
      <c r="F16" s="480">
        <v>0.53</v>
      </c>
      <c r="H16" s="480">
        <v>0.62</v>
      </c>
    </row>
    <row r="17" spans="1:8">
      <c r="A17" s="554" t="s">
        <v>243</v>
      </c>
      <c r="B17" s="555">
        <f t="shared" si="0"/>
        <v>3.0900000000000003</v>
      </c>
      <c r="C17" s="554">
        <f t="shared" si="1"/>
        <v>2.89</v>
      </c>
      <c r="D17" s="480">
        <v>0.18</v>
      </c>
      <c r="E17" s="480">
        <v>1.8</v>
      </c>
      <c r="F17" s="480">
        <v>0.26</v>
      </c>
      <c r="G17" s="480">
        <v>0.65</v>
      </c>
      <c r="H17" s="480">
        <v>0.2</v>
      </c>
    </row>
    <row r="18" spans="1:8">
      <c r="A18" s="554" t="s">
        <v>308</v>
      </c>
      <c r="B18" s="555">
        <f t="shared" si="0"/>
        <v>16.23</v>
      </c>
      <c r="C18" s="554">
        <f t="shared" si="1"/>
        <v>14.43</v>
      </c>
      <c r="D18" s="480">
        <v>0.21</v>
      </c>
      <c r="E18" s="480">
        <v>4</v>
      </c>
      <c r="F18" s="480">
        <v>0.3</v>
      </c>
      <c r="G18" s="480">
        <v>9.92</v>
      </c>
      <c r="H18" s="480">
        <v>1.8</v>
      </c>
    </row>
    <row r="19" spans="1:8">
      <c r="A19" s="554" t="s">
        <v>174</v>
      </c>
      <c r="B19" s="555">
        <f t="shared" si="0"/>
        <v>19.420000000000002</v>
      </c>
      <c r="C19" s="554">
        <f t="shared" si="1"/>
        <v>19.420000000000002</v>
      </c>
      <c r="D19" s="480">
        <v>3.72</v>
      </c>
      <c r="F19" s="480">
        <v>8.91</v>
      </c>
      <c r="G19" s="480">
        <v>6.79</v>
      </c>
      <c r="H19" s="480">
        <v>0</v>
      </c>
    </row>
    <row r="20" spans="1:8">
      <c r="A20" s="554" t="s">
        <v>409</v>
      </c>
      <c r="B20" s="555">
        <f t="shared" si="0"/>
        <v>4.76</v>
      </c>
      <c r="C20" s="554">
        <f t="shared" si="1"/>
        <v>4.75</v>
      </c>
      <c r="D20" s="480">
        <v>1.0900000000000001</v>
      </c>
      <c r="E20" s="480">
        <v>0.35</v>
      </c>
      <c r="F20" s="480">
        <v>0.53</v>
      </c>
      <c r="G20" s="480">
        <v>2.78</v>
      </c>
      <c r="H20" s="480">
        <v>0.01</v>
      </c>
    </row>
    <row r="21" spans="1:8">
      <c r="A21" s="554" t="s">
        <v>244</v>
      </c>
      <c r="B21" s="555">
        <f t="shared" si="0"/>
        <v>8.379999999999999</v>
      </c>
      <c r="C21" s="554">
        <f t="shared" si="1"/>
        <v>7.2799999999999994</v>
      </c>
      <c r="D21" s="480">
        <v>1.35</v>
      </c>
      <c r="E21" s="480">
        <v>0.53</v>
      </c>
      <c r="F21" s="480">
        <v>1.01</v>
      </c>
      <c r="G21" s="480">
        <v>4.3899999999999997</v>
      </c>
      <c r="H21" s="480">
        <v>1.1000000000000001</v>
      </c>
    </row>
    <row r="22" spans="1:8">
      <c r="A22" s="554" t="s">
        <v>175</v>
      </c>
      <c r="B22" s="555">
        <f t="shared" si="0"/>
        <v>4.0999999999999996</v>
      </c>
      <c r="C22" s="554">
        <f t="shared" si="1"/>
        <v>2.5299999999999998</v>
      </c>
      <c r="D22" s="480">
        <v>1.76</v>
      </c>
      <c r="E22" s="480">
        <v>0.16</v>
      </c>
      <c r="F22" s="480">
        <v>0.48</v>
      </c>
      <c r="G22" s="480">
        <v>0.13</v>
      </c>
      <c r="H22" s="480">
        <v>1.57</v>
      </c>
    </row>
    <row r="23" spans="1:8">
      <c r="A23" s="554" t="s">
        <v>310</v>
      </c>
      <c r="B23" s="555">
        <f t="shared" si="0"/>
        <v>13.58</v>
      </c>
      <c r="C23" s="554">
        <f t="shared" si="1"/>
        <v>13.58</v>
      </c>
      <c r="D23" s="480">
        <v>0.14000000000000001</v>
      </c>
      <c r="E23" s="480">
        <v>0.18</v>
      </c>
      <c r="F23" s="480">
        <v>0.05</v>
      </c>
      <c r="G23" s="480">
        <v>13.21</v>
      </c>
      <c r="H23" s="480">
        <v>0</v>
      </c>
    </row>
    <row r="24" spans="1:8">
      <c r="A24" s="554" t="s">
        <v>245</v>
      </c>
      <c r="B24" s="555">
        <f t="shared" si="0"/>
        <v>4.29</v>
      </c>
      <c r="C24" s="554">
        <f t="shared" si="1"/>
        <v>4.2700000000000005</v>
      </c>
      <c r="D24" s="480">
        <v>0.52</v>
      </c>
      <c r="E24" s="480">
        <v>0.14000000000000001</v>
      </c>
      <c r="F24" s="480">
        <v>2.14</v>
      </c>
      <c r="G24" s="480">
        <v>1.47</v>
      </c>
      <c r="H24" s="480">
        <v>0.02</v>
      </c>
    </row>
    <row r="25" spans="1:8">
      <c r="A25" s="554" t="s">
        <v>176</v>
      </c>
      <c r="B25" s="555">
        <f t="shared" si="0"/>
        <v>33.03</v>
      </c>
      <c r="C25" s="554">
        <f t="shared" si="1"/>
        <v>31.92</v>
      </c>
      <c r="D25" s="480">
        <v>16.61</v>
      </c>
      <c r="F25" s="480">
        <v>15.31</v>
      </c>
      <c r="G25" s="480">
        <v>0</v>
      </c>
      <c r="H25" s="480">
        <v>1.1100000000000001</v>
      </c>
    </row>
    <row r="26" spans="1:8">
      <c r="A26" s="554" t="s">
        <v>410</v>
      </c>
      <c r="B26" s="555">
        <f t="shared" si="0"/>
        <v>13.28</v>
      </c>
      <c r="C26" s="554">
        <f t="shared" si="1"/>
        <v>13.26</v>
      </c>
      <c r="D26" s="480">
        <v>7.33</v>
      </c>
      <c r="E26" s="480">
        <v>0.01</v>
      </c>
      <c r="F26" s="480">
        <v>0.59</v>
      </c>
      <c r="G26" s="480">
        <v>5.33</v>
      </c>
      <c r="H26" s="480">
        <v>0.02</v>
      </c>
    </row>
    <row r="27" spans="1:8">
      <c r="A27" s="554" t="s">
        <v>294</v>
      </c>
      <c r="B27" s="555">
        <f t="shared" si="0"/>
        <v>11.2</v>
      </c>
      <c r="C27" s="554">
        <f t="shared" si="1"/>
        <v>6.52</v>
      </c>
      <c r="D27" s="480">
        <v>0</v>
      </c>
      <c r="E27" s="480">
        <v>0.03</v>
      </c>
      <c r="F27" s="480">
        <v>1.02</v>
      </c>
      <c r="G27" s="480">
        <v>5.47</v>
      </c>
      <c r="H27" s="480">
        <v>4.68</v>
      </c>
    </row>
    <row r="28" spans="1:8">
      <c r="A28" s="554" t="s">
        <v>178</v>
      </c>
      <c r="B28" s="555">
        <f t="shared" si="0"/>
        <v>33.4</v>
      </c>
      <c r="C28" s="554">
        <f t="shared" si="1"/>
        <v>32.769999999999996</v>
      </c>
      <c r="D28" s="480">
        <v>8.51</v>
      </c>
      <c r="E28" s="480">
        <v>0.11</v>
      </c>
      <c r="F28" s="480">
        <v>10.7</v>
      </c>
      <c r="G28" s="480">
        <v>13.45</v>
      </c>
      <c r="H28" s="480">
        <v>0.63</v>
      </c>
    </row>
    <row r="29" spans="1:8">
      <c r="A29" s="554" t="s">
        <v>290</v>
      </c>
      <c r="B29" s="555">
        <f t="shared" si="0"/>
        <v>16.170000000000002</v>
      </c>
      <c r="C29" s="554">
        <f t="shared" si="1"/>
        <v>14.97</v>
      </c>
      <c r="D29" s="480">
        <v>9.18</v>
      </c>
      <c r="E29" s="480">
        <v>1.51</v>
      </c>
      <c r="F29" s="480">
        <v>3.29</v>
      </c>
      <c r="G29" s="480">
        <v>0.99</v>
      </c>
      <c r="H29" s="480">
        <v>1.2</v>
      </c>
    </row>
    <row r="30" spans="1:8">
      <c r="A30" s="554" t="s">
        <v>180</v>
      </c>
      <c r="B30" s="555">
        <f t="shared" si="0"/>
        <v>8.9</v>
      </c>
      <c r="C30" s="554">
        <f t="shared" si="1"/>
        <v>8.9</v>
      </c>
      <c r="D30" s="480">
        <v>8.8800000000000008</v>
      </c>
      <c r="F30" s="480">
        <v>0</v>
      </c>
      <c r="G30" s="480">
        <v>0.02</v>
      </c>
      <c r="H30" s="480">
        <v>0</v>
      </c>
    </row>
    <row r="31" spans="1:8">
      <c r="A31" s="554" t="s">
        <v>181</v>
      </c>
      <c r="B31" s="555">
        <f t="shared" si="0"/>
        <v>17.399999999999999</v>
      </c>
      <c r="C31" s="554">
        <f t="shared" si="1"/>
        <v>17.399999999999999</v>
      </c>
      <c r="D31" s="480">
        <v>1.93</v>
      </c>
      <c r="F31" s="480">
        <v>11.08</v>
      </c>
      <c r="G31" s="480">
        <v>4.3899999999999997</v>
      </c>
      <c r="H31" s="480">
        <v>0</v>
      </c>
    </row>
    <row r="32" spans="1:8">
      <c r="A32" s="554" t="s">
        <v>311</v>
      </c>
      <c r="B32" s="555">
        <f t="shared" si="0"/>
        <v>4.97</v>
      </c>
      <c r="C32" s="554">
        <f t="shared" si="1"/>
        <v>4.79</v>
      </c>
      <c r="D32" s="480">
        <v>2.12</v>
      </c>
      <c r="E32" s="480">
        <v>0.35</v>
      </c>
      <c r="F32" s="480">
        <v>1.03</v>
      </c>
      <c r="G32" s="480">
        <v>1.29</v>
      </c>
      <c r="H32" s="480">
        <v>0.18</v>
      </c>
    </row>
    <row r="33" spans="1:8">
      <c r="A33" s="554" t="s">
        <v>411</v>
      </c>
      <c r="B33" s="555">
        <f t="shared" si="0"/>
        <v>5.0999999999999996</v>
      </c>
      <c r="C33" s="554">
        <f t="shared" si="1"/>
        <v>2.4300000000000002</v>
      </c>
      <c r="D33" s="480">
        <v>0.4</v>
      </c>
      <c r="E33" s="480">
        <v>0.01</v>
      </c>
      <c r="F33" s="480">
        <v>1.33</v>
      </c>
      <c r="G33" s="480">
        <v>0.69</v>
      </c>
      <c r="H33" s="480">
        <v>2.67</v>
      </c>
    </row>
    <row r="34" spans="1:8">
      <c r="A34" s="554" t="s">
        <v>412</v>
      </c>
      <c r="B34" s="555">
        <f t="shared" si="0"/>
        <v>6.56</v>
      </c>
      <c r="C34" s="554">
        <f t="shared" si="1"/>
        <v>2.6799999999999997</v>
      </c>
      <c r="D34" s="480">
        <v>0.17</v>
      </c>
      <c r="F34" s="480">
        <v>1.7</v>
      </c>
      <c r="G34" s="480">
        <v>0.81</v>
      </c>
      <c r="H34" s="480">
        <v>3.88</v>
      </c>
    </row>
    <row r="35" spans="1:8">
      <c r="A35" s="554" t="s">
        <v>413</v>
      </c>
      <c r="B35" s="555">
        <f t="shared" si="0"/>
        <v>10.94</v>
      </c>
      <c r="C35" s="554">
        <f t="shared" si="1"/>
        <v>7.4399999999999995</v>
      </c>
      <c r="D35" s="480">
        <v>0.89</v>
      </c>
      <c r="E35" s="480">
        <v>0.49</v>
      </c>
      <c r="F35" s="480">
        <v>6.01</v>
      </c>
      <c r="G35" s="480">
        <v>0.05</v>
      </c>
      <c r="H35" s="480">
        <v>3.5</v>
      </c>
    </row>
    <row r="36" spans="1:8">
      <c r="A36" s="554" t="s">
        <v>414</v>
      </c>
      <c r="B36" s="555">
        <f t="shared" si="0"/>
        <v>14.84</v>
      </c>
      <c r="C36" s="554">
        <f t="shared" si="1"/>
        <v>4.46</v>
      </c>
      <c r="D36" s="480">
        <v>0.24</v>
      </c>
      <c r="E36" s="480">
        <v>0.85</v>
      </c>
      <c r="F36" s="480">
        <v>2</v>
      </c>
      <c r="G36" s="480">
        <v>1.37</v>
      </c>
      <c r="H36" s="480">
        <v>10.38</v>
      </c>
    </row>
    <row r="37" spans="1:8">
      <c r="A37" s="554" t="s">
        <v>312</v>
      </c>
      <c r="B37" s="555">
        <f t="shared" si="0"/>
        <v>7.8900000000000006</v>
      </c>
      <c r="C37" s="554">
        <f t="shared" si="1"/>
        <v>7.16</v>
      </c>
      <c r="D37" s="480">
        <v>1.7</v>
      </c>
      <c r="E37" s="480">
        <v>1.78</v>
      </c>
      <c r="F37" s="480">
        <v>0.61</v>
      </c>
      <c r="G37" s="480">
        <v>3.07</v>
      </c>
      <c r="H37" s="480">
        <v>0.73</v>
      </c>
    </row>
    <row r="38" spans="1:8">
      <c r="A38" s="554" t="s">
        <v>415</v>
      </c>
      <c r="B38" s="555">
        <f t="shared" si="0"/>
        <v>5.67</v>
      </c>
      <c r="C38" s="554">
        <f t="shared" si="1"/>
        <v>5.67</v>
      </c>
      <c r="D38" s="480">
        <v>0</v>
      </c>
      <c r="E38" s="480">
        <v>1.27</v>
      </c>
      <c r="F38" s="480">
        <v>2.74</v>
      </c>
      <c r="G38" s="480">
        <v>1.66</v>
      </c>
      <c r="H38" s="480">
        <v>0</v>
      </c>
    </row>
    <row r="39" spans="1:8">
      <c r="A39" s="554" t="s">
        <v>313</v>
      </c>
      <c r="B39" s="555">
        <f t="shared" si="0"/>
        <v>14.41</v>
      </c>
      <c r="C39" s="554">
        <f t="shared" si="1"/>
        <v>12.28</v>
      </c>
      <c r="D39" s="480">
        <v>0.43</v>
      </c>
      <c r="E39" s="480">
        <v>0.06</v>
      </c>
      <c r="F39" s="480">
        <v>1.25</v>
      </c>
      <c r="G39" s="480">
        <v>10.54</v>
      </c>
      <c r="H39" s="480">
        <v>2.13</v>
      </c>
    </row>
    <row r="40" spans="1:8">
      <c r="A40" s="554" t="s">
        <v>183</v>
      </c>
      <c r="B40" s="555">
        <f t="shared" si="0"/>
        <v>5.64</v>
      </c>
      <c r="C40" s="554">
        <f t="shared" si="1"/>
        <v>5.62</v>
      </c>
      <c r="D40" s="480">
        <v>0.65</v>
      </c>
      <c r="E40" s="480">
        <v>0.03</v>
      </c>
      <c r="F40" s="480">
        <v>3.43</v>
      </c>
      <c r="G40" s="480">
        <v>1.51</v>
      </c>
      <c r="H40" s="480">
        <v>0.02</v>
      </c>
    </row>
    <row r="41" spans="1:8">
      <c r="A41" s="554" t="s">
        <v>246</v>
      </c>
      <c r="B41" s="555">
        <f t="shared" si="0"/>
        <v>2.0399999999999996</v>
      </c>
      <c r="C41" s="554">
        <f t="shared" si="1"/>
        <v>2.0299999999999998</v>
      </c>
      <c r="D41" s="480">
        <v>0.15</v>
      </c>
      <c r="E41" s="480">
        <v>0.09</v>
      </c>
      <c r="F41" s="480">
        <v>1.19</v>
      </c>
      <c r="G41" s="480">
        <v>0.6</v>
      </c>
      <c r="H41" s="480">
        <v>0.01</v>
      </c>
    </row>
    <row r="42" spans="1:8">
      <c r="A42" s="554" t="s">
        <v>416</v>
      </c>
      <c r="B42" s="555">
        <f t="shared" si="0"/>
        <v>20.79</v>
      </c>
      <c r="C42" s="554">
        <f t="shared" si="1"/>
        <v>20.18</v>
      </c>
      <c r="D42" s="480">
        <v>4.08</v>
      </c>
      <c r="F42" s="480">
        <v>0.3</v>
      </c>
      <c r="G42" s="480">
        <v>15.8</v>
      </c>
      <c r="H42" s="480">
        <v>0.61</v>
      </c>
    </row>
    <row r="43" spans="1:8">
      <c r="A43" s="554" t="s">
        <v>417</v>
      </c>
      <c r="B43" s="555">
        <f t="shared" si="0"/>
        <v>4.9800000000000004</v>
      </c>
      <c r="C43" s="554">
        <f t="shared" si="1"/>
        <v>4.91</v>
      </c>
      <c r="D43" s="480">
        <v>1.86</v>
      </c>
      <c r="F43" s="480">
        <v>1.87</v>
      </c>
      <c r="G43" s="480">
        <v>1.18</v>
      </c>
      <c r="H43" s="480">
        <v>7.0000000000000007E-2</v>
      </c>
    </row>
    <row r="44" spans="1:8">
      <c r="A44" s="554" t="s">
        <v>247</v>
      </c>
      <c r="B44" s="555">
        <f t="shared" si="0"/>
        <v>3.1500000000000004</v>
      </c>
      <c r="C44" s="554">
        <f t="shared" si="1"/>
        <v>2.7</v>
      </c>
      <c r="D44" s="480">
        <v>0.64</v>
      </c>
      <c r="E44" s="480">
        <v>1.17</v>
      </c>
      <c r="F44" s="480">
        <v>0.72</v>
      </c>
      <c r="G44" s="480">
        <v>0.17</v>
      </c>
      <c r="H44" s="480">
        <v>0.45</v>
      </c>
    </row>
    <row r="45" spans="1:8">
      <c r="A45" s="554" t="s">
        <v>418</v>
      </c>
      <c r="B45" s="555">
        <f t="shared" si="0"/>
        <v>13.33</v>
      </c>
      <c r="C45" s="554">
        <f t="shared" si="1"/>
        <v>10.77</v>
      </c>
      <c r="D45" s="480">
        <v>0</v>
      </c>
      <c r="F45" s="480">
        <v>0.02</v>
      </c>
      <c r="G45" s="480">
        <v>10.75</v>
      </c>
      <c r="H45" s="480">
        <v>2.56</v>
      </c>
    </row>
    <row r="46" spans="1:8">
      <c r="A46" s="554" t="s">
        <v>248</v>
      </c>
      <c r="B46" s="555">
        <f t="shared" si="0"/>
        <v>2.23</v>
      </c>
      <c r="C46" s="554">
        <f t="shared" si="1"/>
        <v>2.08</v>
      </c>
      <c r="D46" s="480">
        <v>0.21</v>
      </c>
      <c r="E46" s="480">
        <v>0.71</v>
      </c>
      <c r="F46" s="480">
        <v>1.03</v>
      </c>
      <c r="G46" s="480">
        <v>0.13</v>
      </c>
      <c r="H46" s="480">
        <v>0.15</v>
      </c>
    </row>
    <row r="47" spans="1:8">
      <c r="A47" s="554" t="s">
        <v>184</v>
      </c>
      <c r="B47" s="555">
        <f t="shared" si="0"/>
        <v>13.179999999999998</v>
      </c>
      <c r="C47" s="554">
        <f t="shared" si="1"/>
        <v>13.179999999999998</v>
      </c>
      <c r="D47" s="480">
        <v>0.96</v>
      </c>
      <c r="E47" s="480">
        <v>9.7799999999999994</v>
      </c>
      <c r="F47" s="480">
        <v>0</v>
      </c>
      <c r="G47" s="480">
        <v>2.44</v>
      </c>
    </row>
    <row r="48" spans="1:8">
      <c r="A48" s="554" t="s">
        <v>419</v>
      </c>
      <c r="B48" s="555">
        <f t="shared" si="0"/>
        <v>5.01</v>
      </c>
      <c r="C48" s="554">
        <f t="shared" si="1"/>
        <v>5</v>
      </c>
      <c r="D48" s="480">
        <v>3.28</v>
      </c>
      <c r="E48" s="480">
        <v>0.19</v>
      </c>
      <c r="F48" s="480">
        <v>0.31</v>
      </c>
      <c r="G48" s="480">
        <v>1.22</v>
      </c>
      <c r="H48" s="480">
        <v>0.01</v>
      </c>
    </row>
    <row r="49" spans="1:8">
      <c r="A49" s="554" t="s">
        <v>420</v>
      </c>
      <c r="B49" s="555">
        <f t="shared" si="0"/>
        <v>9.25</v>
      </c>
      <c r="C49" s="554">
        <f t="shared" si="1"/>
        <v>9.2200000000000006</v>
      </c>
      <c r="D49" s="480">
        <v>3.34</v>
      </c>
      <c r="E49" s="480">
        <v>0.1</v>
      </c>
      <c r="F49" s="480">
        <v>0.2</v>
      </c>
      <c r="G49" s="480">
        <v>5.58</v>
      </c>
      <c r="H49" s="480">
        <v>0.03</v>
      </c>
    </row>
    <row r="50" spans="1:8">
      <c r="A50" s="554" t="s">
        <v>314</v>
      </c>
      <c r="B50" s="555">
        <f t="shared" si="0"/>
        <v>3.7399999999999998</v>
      </c>
      <c r="C50" s="554">
        <f t="shared" si="1"/>
        <v>3.7399999999999998</v>
      </c>
      <c r="D50" s="480">
        <v>1.58</v>
      </c>
      <c r="E50" s="480">
        <v>0.25</v>
      </c>
      <c r="F50" s="480">
        <v>1.68</v>
      </c>
      <c r="G50" s="480">
        <v>0.23</v>
      </c>
      <c r="H50" s="480">
        <v>0</v>
      </c>
    </row>
    <row r="51" spans="1:8">
      <c r="A51" s="554" t="s">
        <v>224</v>
      </c>
      <c r="B51" s="555">
        <f t="shared" si="0"/>
        <v>5.8100000000000005</v>
      </c>
      <c r="C51" s="554">
        <f t="shared" si="1"/>
        <v>5.8100000000000005</v>
      </c>
      <c r="D51" s="480">
        <v>4.42</v>
      </c>
      <c r="E51" s="480">
        <v>0.11</v>
      </c>
      <c r="F51" s="480">
        <v>0.83</v>
      </c>
      <c r="G51" s="480">
        <v>0.45</v>
      </c>
      <c r="H51" s="480">
        <v>0</v>
      </c>
    </row>
    <row r="52" spans="1:8">
      <c r="A52" s="554" t="s">
        <v>315</v>
      </c>
      <c r="B52" s="555">
        <f t="shared" si="0"/>
        <v>18.399999999999999</v>
      </c>
      <c r="C52" s="554">
        <f t="shared" si="1"/>
        <v>17.559999999999999</v>
      </c>
      <c r="D52" s="480">
        <v>0.03</v>
      </c>
      <c r="F52" s="480">
        <v>0.49</v>
      </c>
      <c r="G52" s="480">
        <v>17.04</v>
      </c>
      <c r="H52" s="480">
        <v>0.84</v>
      </c>
    </row>
    <row r="53" spans="1:8">
      <c r="A53" s="554" t="s">
        <v>249</v>
      </c>
      <c r="B53" s="555">
        <f t="shared" si="0"/>
        <v>5.4700000000000006</v>
      </c>
      <c r="C53" s="554">
        <f t="shared" si="1"/>
        <v>5.32</v>
      </c>
      <c r="D53" s="480">
        <v>0.01</v>
      </c>
      <c r="E53" s="480">
        <v>4.9800000000000004</v>
      </c>
      <c r="F53" s="480">
        <v>0.28000000000000003</v>
      </c>
      <c r="G53" s="480">
        <v>0.05</v>
      </c>
      <c r="H53" s="480">
        <v>0.15</v>
      </c>
    </row>
    <row r="54" spans="1:8">
      <c r="A54" s="554" t="s">
        <v>421</v>
      </c>
      <c r="B54" s="555">
        <f t="shared" si="0"/>
        <v>6.72</v>
      </c>
      <c r="C54" s="554">
        <f t="shared" si="1"/>
        <v>6.47</v>
      </c>
      <c r="D54" s="480">
        <v>1.75</v>
      </c>
      <c r="E54" s="480">
        <v>0.08</v>
      </c>
      <c r="F54" s="480">
        <v>2.63</v>
      </c>
      <c r="G54" s="480">
        <v>2.0099999999999998</v>
      </c>
      <c r="H54" s="480">
        <v>0.25</v>
      </c>
    </row>
    <row r="55" spans="1:8">
      <c r="A55" s="554" t="s">
        <v>187</v>
      </c>
      <c r="B55" s="555">
        <f t="shared" si="0"/>
        <v>20</v>
      </c>
      <c r="C55" s="554">
        <f t="shared" si="1"/>
        <v>19.93</v>
      </c>
      <c r="D55" s="480">
        <v>13.31</v>
      </c>
      <c r="E55" s="480">
        <v>3.24</v>
      </c>
      <c r="F55" s="480">
        <v>1</v>
      </c>
      <c r="G55" s="480">
        <v>2.38</v>
      </c>
      <c r="H55" s="480">
        <v>7.0000000000000007E-2</v>
      </c>
    </row>
    <row r="56" spans="1:8">
      <c r="A56" s="554" t="s">
        <v>422</v>
      </c>
      <c r="B56" s="555">
        <f t="shared" si="0"/>
        <v>13.419999999999998</v>
      </c>
      <c r="C56" s="554">
        <f t="shared" si="1"/>
        <v>12.359999999999998</v>
      </c>
      <c r="D56" s="480">
        <v>2.1</v>
      </c>
      <c r="E56" s="480">
        <v>8.61</v>
      </c>
      <c r="F56" s="480">
        <v>1.46</v>
      </c>
      <c r="G56" s="480">
        <v>0.19</v>
      </c>
      <c r="H56" s="480">
        <v>1.06</v>
      </c>
    </row>
    <row r="57" spans="1:8">
      <c r="A57" s="554" t="s">
        <v>250</v>
      </c>
      <c r="B57" s="555">
        <f t="shared" si="0"/>
        <v>2.4700000000000002</v>
      </c>
      <c r="C57" s="554">
        <f t="shared" si="1"/>
        <v>2.27</v>
      </c>
      <c r="D57" s="480">
        <v>0.04</v>
      </c>
      <c r="E57" s="480">
        <v>1.1000000000000001</v>
      </c>
      <c r="F57" s="480">
        <v>1.1100000000000001</v>
      </c>
      <c r="G57" s="480">
        <v>0.02</v>
      </c>
      <c r="H57" s="480">
        <v>0.2</v>
      </c>
    </row>
    <row r="58" spans="1:8">
      <c r="A58" s="554" t="s">
        <v>251</v>
      </c>
      <c r="B58" s="555">
        <f t="shared" si="0"/>
        <v>3.0300000000000002</v>
      </c>
      <c r="C58" s="554">
        <f t="shared" si="1"/>
        <v>2.87</v>
      </c>
      <c r="D58" s="480">
        <v>0.86</v>
      </c>
      <c r="E58" s="480">
        <v>0.26</v>
      </c>
      <c r="F58" s="480">
        <v>1.1499999999999999</v>
      </c>
      <c r="G58" s="480">
        <v>0.6</v>
      </c>
      <c r="H58" s="480">
        <v>0.16</v>
      </c>
    </row>
    <row r="59" spans="1:8">
      <c r="A59" s="554" t="s">
        <v>423</v>
      </c>
      <c r="B59" s="555">
        <f t="shared" si="0"/>
        <v>2.77</v>
      </c>
      <c r="C59" s="554">
        <f t="shared" si="1"/>
        <v>2.5499999999999998</v>
      </c>
      <c r="D59" s="480">
        <v>1.67</v>
      </c>
      <c r="E59" s="480">
        <v>0.01</v>
      </c>
      <c r="F59" s="480">
        <v>0.86</v>
      </c>
      <c r="G59" s="480">
        <v>0.01</v>
      </c>
      <c r="H59" s="480">
        <v>0.22</v>
      </c>
    </row>
    <row r="60" spans="1:8">
      <c r="A60" s="554" t="s">
        <v>188</v>
      </c>
      <c r="B60" s="555">
        <f t="shared" si="0"/>
        <v>13.6</v>
      </c>
      <c r="C60" s="554">
        <f t="shared" si="1"/>
        <v>13.6</v>
      </c>
      <c r="D60" s="480">
        <v>0.16</v>
      </c>
      <c r="F60" s="480">
        <v>13.4</v>
      </c>
      <c r="G60" s="480">
        <v>0.04</v>
      </c>
      <c r="H60" s="480">
        <v>0</v>
      </c>
    </row>
    <row r="61" spans="1:8">
      <c r="A61" s="554" t="s">
        <v>424</v>
      </c>
      <c r="B61" s="555">
        <f t="shared" si="0"/>
        <v>17.93</v>
      </c>
      <c r="C61" s="554">
        <f t="shared" si="1"/>
        <v>17.919999999999998</v>
      </c>
      <c r="D61" s="480">
        <v>0.8</v>
      </c>
      <c r="E61" s="480">
        <v>0.01</v>
      </c>
      <c r="F61" s="480">
        <v>17.059999999999999</v>
      </c>
      <c r="G61" s="480">
        <v>0.05</v>
      </c>
      <c r="H61" s="480">
        <v>0.01</v>
      </c>
    </row>
    <row r="62" spans="1:8">
      <c r="A62" s="554" t="s">
        <v>282</v>
      </c>
      <c r="B62" s="555">
        <f t="shared" si="0"/>
        <v>1.1500000000000001</v>
      </c>
      <c r="C62" s="554">
        <f t="shared" si="1"/>
        <v>1.1400000000000001</v>
      </c>
      <c r="D62" s="480">
        <v>0.03</v>
      </c>
      <c r="E62" s="480">
        <v>0.38</v>
      </c>
      <c r="F62" s="480">
        <v>0.63</v>
      </c>
      <c r="G62" s="480">
        <v>0.1</v>
      </c>
      <c r="H62" s="480">
        <v>0.01</v>
      </c>
    </row>
    <row r="63" spans="1:8">
      <c r="A63" s="554" t="s">
        <v>252</v>
      </c>
      <c r="B63" s="555">
        <f t="shared" si="0"/>
        <v>8.6</v>
      </c>
      <c r="C63" s="554">
        <f t="shared" si="1"/>
        <v>7.63</v>
      </c>
      <c r="D63" s="480">
        <v>0.32</v>
      </c>
      <c r="E63" s="480"/>
      <c r="F63" s="480">
        <v>1.39</v>
      </c>
      <c r="G63" s="480">
        <v>5.92</v>
      </c>
      <c r="H63" s="480">
        <v>0.97</v>
      </c>
    </row>
    <row r="64" spans="1:8">
      <c r="A64" s="554" t="s">
        <v>190</v>
      </c>
      <c r="B64" s="555">
        <f t="shared" si="0"/>
        <v>8.14</v>
      </c>
      <c r="C64" s="554">
        <f t="shared" si="1"/>
        <v>8.120000000000001</v>
      </c>
      <c r="D64" s="480">
        <v>0.79</v>
      </c>
      <c r="F64" s="480">
        <v>7.33</v>
      </c>
      <c r="H64" s="480">
        <v>0.02</v>
      </c>
    </row>
    <row r="65" spans="1:8">
      <c r="A65" s="554" t="s">
        <v>253</v>
      </c>
      <c r="B65" s="555">
        <f t="shared" si="0"/>
        <v>5.3299999999999992</v>
      </c>
      <c r="C65" s="554">
        <f t="shared" si="1"/>
        <v>5.2799999999999994</v>
      </c>
      <c r="D65" s="480">
        <v>2.2599999999999998</v>
      </c>
      <c r="E65" s="480">
        <v>0.1</v>
      </c>
      <c r="F65" s="480">
        <v>0.59</v>
      </c>
      <c r="G65" s="480">
        <v>2.33</v>
      </c>
      <c r="H65" s="480">
        <v>0.05</v>
      </c>
    </row>
    <row r="66" spans="1:8">
      <c r="A66" s="554" t="s">
        <v>425</v>
      </c>
      <c r="B66" s="555">
        <f t="shared" si="0"/>
        <v>6.29</v>
      </c>
      <c r="C66" s="554">
        <f t="shared" si="1"/>
        <v>6.29</v>
      </c>
      <c r="D66" s="480">
        <v>4.58</v>
      </c>
      <c r="E66" s="480">
        <v>0.52</v>
      </c>
      <c r="F66" s="480">
        <v>0.03</v>
      </c>
      <c r="G66" s="480">
        <v>1.1599999999999999</v>
      </c>
      <c r="H66" s="480">
        <v>0</v>
      </c>
    </row>
    <row r="67" spans="1:8">
      <c r="A67" s="554" t="s">
        <v>316</v>
      </c>
      <c r="B67" s="555">
        <f t="shared" si="0"/>
        <v>16.37</v>
      </c>
      <c r="C67" s="554">
        <f t="shared" si="1"/>
        <v>16.36</v>
      </c>
      <c r="D67" s="480">
        <v>2.59</v>
      </c>
      <c r="E67" s="480">
        <v>0.01</v>
      </c>
      <c r="F67" s="480">
        <v>1.27</v>
      </c>
      <c r="G67" s="480">
        <v>12.49</v>
      </c>
      <c r="H67" s="480">
        <v>0.01</v>
      </c>
    </row>
    <row r="68" spans="1:8">
      <c r="A68" s="554" t="s">
        <v>191</v>
      </c>
      <c r="B68" s="555">
        <f t="shared" si="0"/>
        <v>10.860000000000001</v>
      </c>
      <c r="C68" s="554">
        <f t="shared" si="1"/>
        <v>10.860000000000001</v>
      </c>
      <c r="D68" s="480">
        <v>4.03</v>
      </c>
      <c r="E68" s="480"/>
      <c r="F68" s="480">
        <v>6.82</v>
      </c>
      <c r="G68" s="480">
        <v>0.01</v>
      </c>
      <c r="H68" s="480">
        <v>0</v>
      </c>
    </row>
    <row r="69" spans="1:8">
      <c r="A69" s="554" t="s">
        <v>192</v>
      </c>
      <c r="B69" s="555">
        <f t="shared" si="0"/>
        <v>4.5199999999999996</v>
      </c>
      <c r="C69" s="554">
        <f t="shared" si="1"/>
        <v>4.5199999999999996</v>
      </c>
      <c r="D69" s="480">
        <v>1.74</v>
      </c>
      <c r="E69" s="480">
        <v>0.05</v>
      </c>
      <c r="F69" s="480">
        <v>2.42</v>
      </c>
      <c r="G69" s="480">
        <v>0.31</v>
      </c>
      <c r="H69" s="480">
        <v>0</v>
      </c>
    </row>
    <row r="70" spans="1:8">
      <c r="A70" s="554" t="s">
        <v>317</v>
      </c>
      <c r="B70" s="555">
        <f t="shared" si="0"/>
        <v>9.75</v>
      </c>
      <c r="C70" s="554">
        <f t="shared" si="1"/>
        <v>8.0399999999999991</v>
      </c>
      <c r="D70" s="480">
        <v>2.5</v>
      </c>
      <c r="E70" s="480">
        <v>4.59</v>
      </c>
      <c r="F70" s="480">
        <v>0.87</v>
      </c>
      <c r="G70" s="480">
        <v>0.08</v>
      </c>
      <c r="H70" s="480">
        <v>1.71</v>
      </c>
    </row>
    <row r="71" spans="1:8">
      <c r="A71" s="554" t="s">
        <v>426</v>
      </c>
      <c r="B71" s="555">
        <f t="shared" si="0"/>
        <v>20.689999999999998</v>
      </c>
      <c r="C71" s="554">
        <f t="shared" si="1"/>
        <v>20.689999999999998</v>
      </c>
      <c r="D71" s="480">
        <v>9.84</v>
      </c>
      <c r="E71" s="480">
        <v>0.03</v>
      </c>
      <c r="F71" s="480">
        <v>2.1</v>
      </c>
      <c r="G71" s="480">
        <v>8.7200000000000006</v>
      </c>
      <c r="H71" s="480">
        <v>0</v>
      </c>
    </row>
    <row r="72" spans="1:8">
      <c r="A72" s="554" t="s">
        <v>318</v>
      </c>
      <c r="B72" s="555">
        <f t="shared" si="0"/>
        <v>12.68</v>
      </c>
      <c r="C72" s="554">
        <f t="shared" si="1"/>
        <v>12.65</v>
      </c>
      <c r="D72" s="480">
        <v>0.01</v>
      </c>
      <c r="E72" s="480"/>
      <c r="F72" s="480">
        <v>0.22</v>
      </c>
      <c r="G72" s="480">
        <v>12.42</v>
      </c>
      <c r="H72" s="480">
        <v>0.03</v>
      </c>
    </row>
    <row r="73" spans="1:8">
      <c r="A73" s="554" t="s">
        <v>254</v>
      </c>
      <c r="B73" s="555">
        <f t="shared" si="0"/>
        <v>2.4900000000000002</v>
      </c>
      <c r="C73" s="554">
        <f t="shared" si="1"/>
        <v>2.4700000000000002</v>
      </c>
      <c r="D73" s="480">
        <v>0.32</v>
      </c>
      <c r="E73" s="480">
        <v>1.1299999999999999</v>
      </c>
      <c r="F73" s="480">
        <v>0.36</v>
      </c>
      <c r="G73" s="480">
        <v>0.66</v>
      </c>
      <c r="H73" s="480">
        <v>0.02</v>
      </c>
    </row>
    <row r="74" spans="1:8">
      <c r="A74" s="554" t="s">
        <v>255</v>
      </c>
      <c r="B74" s="555">
        <f t="shared" si="0"/>
        <v>1.85</v>
      </c>
      <c r="C74" s="554">
        <f t="shared" si="1"/>
        <v>1.52</v>
      </c>
      <c r="D74" s="480">
        <v>0.15</v>
      </c>
      <c r="E74" s="480">
        <v>0.02</v>
      </c>
      <c r="F74" s="480">
        <v>0.82</v>
      </c>
      <c r="G74" s="480">
        <v>0.53</v>
      </c>
      <c r="H74" s="480">
        <v>0.33</v>
      </c>
    </row>
    <row r="75" spans="1:8">
      <c r="A75" s="554" t="s">
        <v>237</v>
      </c>
      <c r="B75" s="555">
        <f t="shared" si="0"/>
        <v>16.13</v>
      </c>
      <c r="C75" s="554">
        <f t="shared" si="1"/>
        <v>15.82</v>
      </c>
      <c r="D75" s="480">
        <v>9.8699999999999992</v>
      </c>
      <c r="E75" s="480">
        <v>1.67</v>
      </c>
      <c r="F75" s="480">
        <v>0.32</v>
      </c>
      <c r="G75" s="480">
        <v>3.96</v>
      </c>
      <c r="H75" s="480">
        <v>0.31</v>
      </c>
    </row>
    <row r="76" spans="1:8">
      <c r="A76" s="554" t="s">
        <v>296</v>
      </c>
      <c r="B76" s="555">
        <f t="shared" si="0"/>
        <v>7.9700000000000006</v>
      </c>
      <c r="C76" s="554">
        <f t="shared" si="1"/>
        <v>6.6800000000000006</v>
      </c>
      <c r="D76" s="480">
        <v>7.0000000000000007E-2</v>
      </c>
      <c r="E76" s="480">
        <v>0.04</v>
      </c>
      <c r="F76" s="480">
        <v>5.78</v>
      </c>
      <c r="G76" s="480">
        <v>0.79</v>
      </c>
      <c r="H76" s="480">
        <v>1.29</v>
      </c>
    </row>
    <row r="77" spans="1:8">
      <c r="A77" s="554" t="s">
        <v>427</v>
      </c>
      <c r="B77" s="555">
        <f t="shared" si="0"/>
        <v>7.49</v>
      </c>
      <c r="C77" s="554">
        <f t="shared" si="1"/>
        <v>7.49</v>
      </c>
      <c r="D77" s="480">
        <v>4.7</v>
      </c>
      <c r="E77" s="480">
        <v>0.04</v>
      </c>
      <c r="F77" s="480">
        <v>0.3</v>
      </c>
      <c r="G77" s="480">
        <v>2.4500000000000002</v>
      </c>
      <c r="H77" s="480">
        <v>0</v>
      </c>
    </row>
    <row r="78" spans="1:8">
      <c r="A78" s="554" t="s">
        <v>226</v>
      </c>
      <c r="B78" s="555">
        <f t="shared" si="0"/>
        <v>4.49</v>
      </c>
      <c r="C78" s="554">
        <f t="shared" si="1"/>
        <v>4.49</v>
      </c>
      <c r="D78" s="480">
        <v>2.94</v>
      </c>
      <c r="E78" s="480">
        <v>0.62</v>
      </c>
      <c r="F78" s="480">
        <v>0.09</v>
      </c>
      <c r="G78" s="480">
        <v>0.84</v>
      </c>
      <c r="H78" s="480">
        <v>0</v>
      </c>
    </row>
    <row r="79" spans="1:8">
      <c r="A79" s="554" t="s">
        <v>256</v>
      </c>
      <c r="B79" s="555">
        <f t="shared" si="0"/>
        <v>4.67</v>
      </c>
      <c r="C79" s="554">
        <f t="shared" si="1"/>
        <v>3.95</v>
      </c>
      <c r="D79" s="480">
        <v>0.13</v>
      </c>
      <c r="E79" s="480">
        <v>0.51</v>
      </c>
      <c r="F79" s="480">
        <v>1.34</v>
      </c>
      <c r="G79" s="480">
        <v>1.97</v>
      </c>
      <c r="H79" s="480">
        <v>0.72</v>
      </c>
    </row>
    <row r="80" spans="1:8">
      <c r="A80" s="554" t="s">
        <v>227</v>
      </c>
      <c r="B80" s="555">
        <f t="shared" si="0"/>
        <v>8.0299999999999994</v>
      </c>
      <c r="C80" s="554">
        <f t="shared" si="1"/>
        <v>7.77</v>
      </c>
      <c r="D80" s="480">
        <v>4.96</v>
      </c>
      <c r="E80" s="480">
        <v>0.39</v>
      </c>
      <c r="F80" s="480">
        <v>1.68</v>
      </c>
      <c r="G80" s="480">
        <v>0.74</v>
      </c>
      <c r="H80" s="480">
        <v>0.26</v>
      </c>
    </row>
    <row r="81" spans="1:8">
      <c r="A81" s="554" t="s">
        <v>257</v>
      </c>
      <c r="B81" s="555">
        <f t="shared" si="0"/>
        <v>5.74</v>
      </c>
      <c r="C81" s="554">
        <f t="shared" si="1"/>
        <v>5.7</v>
      </c>
      <c r="D81" s="480">
        <v>2.1800000000000002</v>
      </c>
      <c r="E81" s="480">
        <v>1.1399999999999999</v>
      </c>
      <c r="F81" s="480">
        <v>0.49</v>
      </c>
      <c r="G81" s="480">
        <v>1.89</v>
      </c>
      <c r="H81" s="480">
        <v>0.04</v>
      </c>
    </row>
    <row r="82" spans="1:8">
      <c r="A82" s="554" t="s">
        <v>428</v>
      </c>
      <c r="B82" s="555">
        <f t="shared" si="0"/>
        <v>4.3599999999999994</v>
      </c>
      <c r="C82" s="554">
        <f t="shared" si="1"/>
        <v>4.3499999999999996</v>
      </c>
      <c r="D82" s="480">
        <v>0.25</v>
      </c>
      <c r="E82" s="480">
        <v>0.2</v>
      </c>
      <c r="F82" s="480">
        <v>1.43</v>
      </c>
      <c r="G82" s="480">
        <v>2.4700000000000002</v>
      </c>
      <c r="H82" s="480">
        <v>0.01</v>
      </c>
    </row>
    <row r="83" spans="1:8">
      <c r="A83" s="554" t="s">
        <v>297</v>
      </c>
      <c r="B83" s="555">
        <f t="shared" si="0"/>
        <v>10.32</v>
      </c>
      <c r="C83" s="554">
        <f t="shared" si="1"/>
        <v>2.38</v>
      </c>
      <c r="D83" s="480">
        <v>0.37</v>
      </c>
      <c r="E83" s="480">
        <v>0.11</v>
      </c>
      <c r="F83" s="480">
        <v>0.94</v>
      </c>
      <c r="G83" s="480">
        <v>0.96</v>
      </c>
      <c r="H83" s="480">
        <v>7.94</v>
      </c>
    </row>
    <row r="84" spans="1:8">
      <c r="A84" s="554" t="s">
        <v>228</v>
      </c>
      <c r="B84" s="555">
        <f t="shared" si="0"/>
        <v>7.99</v>
      </c>
      <c r="C84" s="554">
        <f t="shared" si="1"/>
        <v>7.9700000000000006</v>
      </c>
      <c r="D84" s="480">
        <v>6.03</v>
      </c>
      <c r="E84" s="480">
        <v>0.11</v>
      </c>
      <c r="F84" s="480">
        <v>1.54</v>
      </c>
      <c r="G84" s="480">
        <v>0.28999999999999998</v>
      </c>
      <c r="H84" s="480">
        <v>0.02</v>
      </c>
    </row>
    <row r="85" spans="1:8">
      <c r="A85" s="554" t="s">
        <v>283</v>
      </c>
      <c r="B85" s="555">
        <f t="shared" si="0"/>
        <v>1.4600000000000002</v>
      </c>
      <c r="C85" s="554">
        <f t="shared" si="1"/>
        <v>1.37</v>
      </c>
      <c r="D85" s="480">
        <v>0</v>
      </c>
      <c r="E85" s="480">
        <v>0.48</v>
      </c>
      <c r="F85" s="480">
        <v>0.89</v>
      </c>
      <c r="H85" s="480">
        <v>0.09</v>
      </c>
    </row>
    <row r="86" spans="1:8">
      <c r="A86" s="554" t="s">
        <v>193</v>
      </c>
      <c r="B86" s="555">
        <f t="shared" si="0"/>
        <v>17.14</v>
      </c>
      <c r="C86" s="554">
        <f t="shared" si="1"/>
        <v>17.100000000000001</v>
      </c>
      <c r="D86" s="480">
        <v>4.0999999999999996</v>
      </c>
      <c r="E86" s="480">
        <v>0.62</v>
      </c>
      <c r="F86" s="480">
        <v>0.78</v>
      </c>
      <c r="G86" s="480">
        <v>11.6</v>
      </c>
      <c r="H86" s="480">
        <v>0.04</v>
      </c>
    </row>
    <row r="87" spans="1:8">
      <c r="A87" s="554" t="s">
        <v>429</v>
      </c>
      <c r="B87" s="555">
        <f t="shared" si="0"/>
        <v>1.78</v>
      </c>
      <c r="C87" s="554">
        <f t="shared" si="1"/>
        <v>0.26</v>
      </c>
      <c r="D87" s="480">
        <v>0.05</v>
      </c>
      <c r="E87" s="480">
        <v>0.01</v>
      </c>
      <c r="F87" s="480">
        <v>0.2</v>
      </c>
      <c r="H87" s="480">
        <v>1.52</v>
      </c>
    </row>
    <row r="88" spans="1:8">
      <c r="A88" s="554" t="s">
        <v>229</v>
      </c>
      <c r="B88" s="555">
        <f t="shared" si="0"/>
        <v>6.44</v>
      </c>
      <c r="C88" s="554">
        <f t="shared" si="1"/>
        <v>6.24</v>
      </c>
      <c r="D88" s="480">
        <v>5.63</v>
      </c>
      <c r="E88" s="480">
        <v>0.11</v>
      </c>
      <c r="F88" s="480">
        <v>0.19</v>
      </c>
      <c r="G88" s="480">
        <v>0.31</v>
      </c>
      <c r="H88" s="480">
        <v>0.2</v>
      </c>
    </row>
    <row r="89" spans="1:8">
      <c r="A89" s="554" t="s">
        <v>430</v>
      </c>
      <c r="B89" s="555">
        <f t="shared" si="0"/>
        <v>3.65</v>
      </c>
      <c r="C89" s="554">
        <f t="shared" si="1"/>
        <v>3.6</v>
      </c>
      <c r="D89" s="480">
        <v>0.02</v>
      </c>
      <c r="E89" s="480">
        <v>0.27</v>
      </c>
      <c r="F89" s="480">
        <v>0.2</v>
      </c>
      <c r="G89" s="480">
        <v>3.11</v>
      </c>
      <c r="H89" s="480">
        <v>0.05</v>
      </c>
    </row>
    <row r="90" spans="1:8">
      <c r="A90" s="554" t="s">
        <v>431</v>
      </c>
      <c r="B90" s="555">
        <f t="shared" si="0"/>
        <v>5.57</v>
      </c>
      <c r="C90" s="554">
        <f t="shared" si="1"/>
        <v>4.2300000000000004</v>
      </c>
      <c r="D90" s="480">
        <v>0.62</v>
      </c>
      <c r="F90" s="480">
        <v>3.49</v>
      </c>
      <c r="G90" s="480">
        <v>0.12</v>
      </c>
      <c r="H90" s="480">
        <v>1.34</v>
      </c>
    </row>
    <row r="91" spans="1:8">
      <c r="A91" s="554" t="s">
        <v>258</v>
      </c>
      <c r="B91" s="555">
        <f t="shared" si="0"/>
        <v>0.82</v>
      </c>
      <c r="C91" s="554">
        <f t="shared" si="1"/>
        <v>0.7</v>
      </c>
      <c r="D91" s="480">
        <v>7.0000000000000007E-2</v>
      </c>
      <c r="F91" s="480">
        <v>0.63</v>
      </c>
      <c r="H91" s="480">
        <v>0.12</v>
      </c>
    </row>
    <row r="92" spans="1:8">
      <c r="A92" s="554" t="s">
        <v>230</v>
      </c>
      <c r="B92" s="555">
        <f t="shared" si="0"/>
        <v>7.6499999999999995</v>
      </c>
      <c r="C92" s="554">
        <f t="shared" si="1"/>
        <v>7.5699999999999994</v>
      </c>
      <c r="D92" s="480">
        <v>5.21</v>
      </c>
      <c r="E92" s="480">
        <v>0.56000000000000005</v>
      </c>
      <c r="F92" s="480">
        <v>1.18</v>
      </c>
      <c r="G92" s="480">
        <v>0.62</v>
      </c>
      <c r="H92" s="480">
        <v>0.08</v>
      </c>
    </row>
    <row r="93" spans="1:8">
      <c r="A93" s="554" t="s">
        <v>194</v>
      </c>
      <c r="B93" s="555">
        <f t="shared" si="0"/>
        <v>4.83</v>
      </c>
      <c r="C93" s="554">
        <f t="shared" si="1"/>
        <v>4.8</v>
      </c>
      <c r="D93" s="480">
        <v>0.03</v>
      </c>
      <c r="E93" s="480">
        <v>0.84</v>
      </c>
      <c r="F93" s="480">
        <v>0.61</v>
      </c>
      <c r="G93" s="480">
        <v>3.32</v>
      </c>
      <c r="H93" s="480">
        <v>0.03</v>
      </c>
    </row>
    <row r="94" spans="1:8">
      <c r="A94" s="554" t="s">
        <v>195</v>
      </c>
      <c r="B94" s="555">
        <f t="shared" si="0"/>
        <v>2.66</v>
      </c>
      <c r="C94" s="554">
        <f t="shared" si="1"/>
        <v>2.1</v>
      </c>
      <c r="D94" s="480">
        <v>0.73</v>
      </c>
      <c r="F94" s="480">
        <v>1.29</v>
      </c>
      <c r="G94" s="480">
        <v>0.08</v>
      </c>
      <c r="H94" s="480">
        <v>0.56000000000000005</v>
      </c>
    </row>
    <row r="95" spans="1:8">
      <c r="A95" s="554" t="s">
        <v>259</v>
      </c>
      <c r="B95" s="555">
        <f t="shared" si="0"/>
        <v>5.870000000000001</v>
      </c>
      <c r="C95" s="554">
        <f t="shared" si="1"/>
        <v>5.8000000000000007</v>
      </c>
      <c r="D95" s="480">
        <v>2.37</v>
      </c>
      <c r="E95" s="480">
        <v>2.2799999999999998</v>
      </c>
      <c r="F95" s="480">
        <v>0.91</v>
      </c>
      <c r="G95" s="480">
        <v>0.24</v>
      </c>
      <c r="H95" s="480">
        <v>7.0000000000000007E-2</v>
      </c>
    </row>
    <row r="96" spans="1:8">
      <c r="A96" s="554" t="s">
        <v>260</v>
      </c>
      <c r="B96" s="555">
        <f t="shared" si="0"/>
        <v>3.23</v>
      </c>
      <c r="C96" s="554">
        <f t="shared" si="1"/>
        <v>3.13</v>
      </c>
      <c r="D96" s="480">
        <v>0.61</v>
      </c>
      <c r="E96" s="480"/>
      <c r="F96" s="480">
        <v>0.84</v>
      </c>
      <c r="G96" s="480">
        <v>1.68</v>
      </c>
      <c r="H96" s="480">
        <v>0.1</v>
      </c>
    </row>
    <row r="97" spans="1:8">
      <c r="A97" s="554" t="s">
        <v>196</v>
      </c>
      <c r="B97" s="555">
        <f t="shared" si="0"/>
        <v>1.31</v>
      </c>
      <c r="C97" s="554">
        <f t="shared" si="1"/>
        <v>1.31</v>
      </c>
      <c r="D97" s="480">
        <v>0.41</v>
      </c>
      <c r="E97" s="480">
        <v>0.63</v>
      </c>
      <c r="F97" s="480">
        <v>0.27</v>
      </c>
      <c r="H97" s="480">
        <v>0</v>
      </c>
    </row>
    <row r="98" spans="1:8">
      <c r="A98" s="554" t="s">
        <v>197</v>
      </c>
      <c r="B98" s="555">
        <f t="shared" si="0"/>
        <v>29.2</v>
      </c>
      <c r="C98" s="554">
        <f t="shared" si="1"/>
        <v>27.02</v>
      </c>
      <c r="D98" s="480">
        <v>18.18</v>
      </c>
      <c r="E98" s="480"/>
      <c r="F98" s="480">
        <v>3.66</v>
      </c>
      <c r="G98" s="480">
        <v>5.18</v>
      </c>
      <c r="H98" s="480">
        <v>2.1800000000000002</v>
      </c>
    </row>
    <row r="99" spans="1:8">
      <c r="A99" s="554" t="s">
        <v>298</v>
      </c>
      <c r="B99" s="555">
        <f t="shared" si="0"/>
        <v>4.4799999999999995</v>
      </c>
      <c r="C99" s="554">
        <f t="shared" si="1"/>
        <v>4.43</v>
      </c>
      <c r="D99" s="480">
        <v>0.67</v>
      </c>
      <c r="E99" s="480">
        <v>0.91</v>
      </c>
      <c r="F99" s="480">
        <v>1.6</v>
      </c>
      <c r="G99" s="480">
        <v>1.25</v>
      </c>
      <c r="H99" s="480">
        <v>0.05</v>
      </c>
    </row>
    <row r="100" spans="1:8">
      <c r="A100" s="554" t="s">
        <v>432</v>
      </c>
      <c r="B100" s="555">
        <f t="shared" si="0"/>
        <v>2.4800000000000004</v>
      </c>
      <c r="C100" s="554">
        <f t="shared" si="1"/>
        <v>2.0300000000000002</v>
      </c>
      <c r="D100" s="480">
        <v>1.56</v>
      </c>
      <c r="E100" s="480">
        <v>0.01</v>
      </c>
      <c r="F100" s="480">
        <v>0.38</v>
      </c>
      <c r="G100" s="480">
        <v>0.08</v>
      </c>
      <c r="H100" s="480">
        <v>0.45</v>
      </c>
    </row>
    <row r="101" spans="1:8">
      <c r="A101" s="554" t="s">
        <v>198</v>
      </c>
      <c r="B101" s="555">
        <f t="shared" si="0"/>
        <v>13.07</v>
      </c>
      <c r="C101" s="554">
        <f t="shared" si="1"/>
        <v>12.950000000000001</v>
      </c>
      <c r="D101" s="480">
        <v>9.4</v>
      </c>
      <c r="E101" s="480"/>
      <c r="F101" s="480">
        <v>2.91</v>
      </c>
      <c r="G101" s="480">
        <v>0.64</v>
      </c>
      <c r="H101" s="480">
        <v>0.12</v>
      </c>
    </row>
    <row r="102" spans="1:8">
      <c r="A102" s="554" t="s">
        <v>261</v>
      </c>
      <c r="B102" s="555">
        <f t="shared" si="0"/>
        <v>5.4300000000000006</v>
      </c>
      <c r="C102" s="554">
        <f t="shared" si="1"/>
        <v>5.3100000000000005</v>
      </c>
      <c r="D102" s="480">
        <v>2.02</v>
      </c>
      <c r="E102" s="480">
        <v>0.45</v>
      </c>
      <c r="F102" s="480">
        <v>1.51</v>
      </c>
      <c r="G102" s="480">
        <v>1.33</v>
      </c>
      <c r="H102" s="480">
        <v>0.12</v>
      </c>
    </row>
    <row r="103" spans="1:8">
      <c r="A103" s="554" t="s">
        <v>199</v>
      </c>
      <c r="B103" s="555">
        <f t="shared" si="0"/>
        <v>9.7899999999999991</v>
      </c>
      <c r="C103" s="554">
        <f t="shared" si="1"/>
        <v>9.7899999999999991</v>
      </c>
      <c r="D103" s="480">
        <v>5.16</v>
      </c>
      <c r="E103" s="480">
        <v>1.71</v>
      </c>
      <c r="F103" s="480">
        <v>0.08</v>
      </c>
      <c r="G103" s="480">
        <v>2.84</v>
      </c>
      <c r="H103" s="480">
        <v>0</v>
      </c>
    </row>
    <row r="104" spans="1:8">
      <c r="A104" s="554" t="s">
        <v>200</v>
      </c>
      <c r="B104" s="555">
        <f t="shared" si="0"/>
        <v>11.980000000000002</v>
      </c>
      <c r="C104" s="554">
        <f t="shared" si="1"/>
        <v>11.400000000000002</v>
      </c>
      <c r="D104" s="480">
        <v>5.69</v>
      </c>
      <c r="E104" s="480">
        <v>3.2</v>
      </c>
      <c r="F104" s="480">
        <v>1.72</v>
      </c>
      <c r="G104" s="480">
        <v>0.79</v>
      </c>
      <c r="H104" s="480">
        <v>0.57999999999999996</v>
      </c>
    </row>
    <row r="105" spans="1:8">
      <c r="A105" s="554" t="s">
        <v>319</v>
      </c>
      <c r="B105" s="555">
        <f t="shared" si="0"/>
        <v>13.200000000000001</v>
      </c>
      <c r="C105" s="554">
        <f t="shared" si="1"/>
        <v>13.190000000000001</v>
      </c>
      <c r="D105" s="480">
        <v>1.62</v>
      </c>
      <c r="E105" s="480">
        <v>0.14000000000000001</v>
      </c>
      <c r="F105" s="480">
        <v>2.13</v>
      </c>
      <c r="G105" s="480">
        <v>9.3000000000000007</v>
      </c>
      <c r="H105" s="480">
        <v>0.01</v>
      </c>
    </row>
    <row r="106" spans="1:8">
      <c r="A106" s="554" t="s">
        <v>285</v>
      </c>
      <c r="B106" s="555">
        <f t="shared" si="0"/>
        <v>0.64</v>
      </c>
      <c r="C106" s="554">
        <f t="shared" si="1"/>
        <v>0.55000000000000004</v>
      </c>
      <c r="D106" s="480">
        <v>0.41</v>
      </c>
      <c r="E106" s="480">
        <v>0.02</v>
      </c>
      <c r="F106" s="480">
        <v>0.12</v>
      </c>
      <c r="G106" s="480">
        <v>0</v>
      </c>
      <c r="H106" s="480">
        <v>0.09</v>
      </c>
    </row>
    <row r="107" spans="1:8">
      <c r="A107" s="554" t="s">
        <v>262</v>
      </c>
      <c r="B107" s="555">
        <f t="shared" si="0"/>
        <v>5.3599999999999994</v>
      </c>
      <c r="C107" s="554">
        <f t="shared" si="1"/>
        <v>5.34</v>
      </c>
      <c r="D107" s="480">
        <v>0.08</v>
      </c>
      <c r="E107" s="480">
        <v>2.23</v>
      </c>
      <c r="F107" s="480">
        <v>0.84</v>
      </c>
      <c r="G107" s="480">
        <v>2.19</v>
      </c>
      <c r="H107" s="480">
        <v>0.02</v>
      </c>
    </row>
    <row r="108" spans="1:8">
      <c r="A108" s="554" t="s">
        <v>220</v>
      </c>
      <c r="B108" s="555">
        <f t="shared" si="0"/>
        <v>7.3499999999999988</v>
      </c>
      <c r="C108" s="554">
        <f t="shared" si="1"/>
        <v>7.339999999999999</v>
      </c>
      <c r="D108" s="480">
        <v>6.21</v>
      </c>
      <c r="E108" s="480">
        <v>0.98</v>
      </c>
      <c r="F108" s="480">
        <v>0.01</v>
      </c>
      <c r="G108" s="480">
        <v>0.14000000000000001</v>
      </c>
      <c r="H108" s="480">
        <v>0.01</v>
      </c>
    </row>
    <row r="109" spans="1:8">
      <c r="A109" s="554" t="s">
        <v>201</v>
      </c>
      <c r="B109" s="555">
        <f t="shared" si="0"/>
        <v>9.5300000000000011</v>
      </c>
      <c r="C109" s="554">
        <f t="shared" si="1"/>
        <v>9.5300000000000011</v>
      </c>
      <c r="D109" s="480">
        <v>8.24</v>
      </c>
      <c r="E109" s="480"/>
      <c r="F109" s="480">
        <v>0.74</v>
      </c>
      <c r="G109" s="480">
        <v>0.55000000000000004</v>
      </c>
      <c r="H109" s="480">
        <v>0</v>
      </c>
    </row>
    <row r="110" spans="1:8">
      <c r="A110" s="554" t="s">
        <v>299</v>
      </c>
      <c r="B110" s="555">
        <f t="shared" si="0"/>
        <v>17.669999999999998</v>
      </c>
      <c r="C110" s="554">
        <f t="shared" si="1"/>
        <v>17.209999999999997</v>
      </c>
      <c r="D110" s="480">
        <v>8.7799999999999994</v>
      </c>
      <c r="E110" s="480">
        <v>1.27</v>
      </c>
      <c r="F110" s="480">
        <v>3.93</v>
      </c>
      <c r="G110" s="480">
        <v>3.23</v>
      </c>
      <c r="H110" s="480">
        <v>0.46</v>
      </c>
    </row>
    <row r="111" spans="1:8">
      <c r="A111" s="554" t="s">
        <v>202</v>
      </c>
      <c r="B111" s="555">
        <f t="shared" si="0"/>
        <v>8.5899999999999981</v>
      </c>
      <c r="C111" s="554">
        <f t="shared" si="1"/>
        <v>8.5499999999999989</v>
      </c>
      <c r="D111" s="480">
        <v>7.97</v>
      </c>
      <c r="E111" s="480">
        <v>0.11</v>
      </c>
      <c r="F111" s="480">
        <v>0.35</v>
      </c>
      <c r="G111" s="480">
        <v>0.12</v>
      </c>
      <c r="H111" s="480">
        <v>0.04</v>
      </c>
    </row>
    <row r="112" spans="1:8">
      <c r="A112" s="554" t="s">
        <v>238</v>
      </c>
      <c r="B112" s="555">
        <f t="shared" si="0"/>
        <v>12.659999999999998</v>
      </c>
      <c r="C112" s="554">
        <f t="shared" si="1"/>
        <v>12.659999999999998</v>
      </c>
      <c r="D112" s="480">
        <v>11.18</v>
      </c>
      <c r="E112" s="480">
        <v>0.79</v>
      </c>
      <c r="F112" s="480">
        <v>0.1</v>
      </c>
      <c r="G112" s="480">
        <v>0.59</v>
      </c>
      <c r="H112" s="480">
        <v>0</v>
      </c>
    </row>
    <row r="113" spans="1:8">
      <c r="A113" s="554" t="s">
        <v>263</v>
      </c>
      <c r="B113" s="555">
        <f t="shared" si="0"/>
        <v>3.8000000000000003</v>
      </c>
      <c r="C113" s="554">
        <f t="shared" si="1"/>
        <v>2.2200000000000002</v>
      </c>
      <c r="D113" s="480">
        <v>0.45</v>
      </c>
      <c r="E113" s="480">
        <v>0.89</v>
      </c>
      <c r="F113" s="480">
        <v>0.7</v>
      </c>
      <c r="G113" s="480">
        <v>0.18</v>
      </c>
      <c r="H113" s="480">
        <v>1.58</v>
      </c>
    </row>
    <row r="114" spans="1:8">
      <c r="A114" s="554" t="s">
        <v>433</v>
      </c>
      <c r="B114" s="555">
        <f t="shared" si="0"/>
        <v>2.5300000000000002</v>
      </c>
      <c r="C114" s="554">
        <f t="shared" si="1"/>
        <v>1.37</v>
      </c>
      <c r="D114" s="480">
        <v>0.49</v>
      </c>
      <c r="E114" s="480">
        <v>0.06</v>
      </c>
      <c r="F114" s="480">
        <v>0.31</v>
      </c>
      <c r="G114" s="480">
        <v>0.51</v>
      </c>
      <c r="H114" s="480">
        <v>1.1599999999999999</v>
      </c>
    </row>
    <row r="115" spans="1:8">
      <c r="A115" s="554" t="s">
        <v>300</v>
      </c>
      <c r="B115" s="555">
        <f t="shared" si="0"/>
        <v>7.24</v>
      </c>
      <c r="C115" s="554">
        <f t="shared" si="1"/>
        <v>6.14</v>
      </c>
      <c r="D115" s="480">
        <v>1.44</v>
      </c>
      <c r="E115" s="480">
        <v>0.32</v>
      </c>
      <c r="F115" s="480">
        <v>2.74</v>
      </c>
      <c r="G115" s="480">
        <v>1.64</v>
      </c>
      <c r="H115" s="480">
        <v>1.1000000000000001</v>
      </c>
    </row>
    <row r="116" spans="1:8">
      <c r="A116" s="554" t="s">
        <v>320</v>
      </c>
      <c r="B116" s="555">
        <f t="shared" si="0"/>
        <v>15.82</v>
      </c>
      <c r="C116" s="554">
        <f t="shared" si="1"/>
        <v>15.8</v>
      </c>
      <c r="D116" s="480">
        <v>0</v>
      </c>
      <c r="E116" s="480">
        <v>0</v>
      </c>
      <c r="F116" s="480">
        <v>2.63</v>
      </c>
      <c r="G116" s="480">
        <v>13.17</v>
      </c>
      <c r="H116" s="480">
        <v>0.02</v>
      </c>
    </row>
    <row r="117" spans="1:8">
      <c r="A117" s="554" t="s">
        <v>203</v>
      </c>
      <c r="B117" s="555">
        <f t="shared" si="0"/>
        <v>51.419999999999995</v>
      </c>
      <c r="C117" s="554">
        <f t="shared" si="1"/>
        <v>51.419999999999995</v>
      </c>
      <c r="D117" s="480">
        <v>34.78</v>
      </c>
      <c r="E117" s="480">
        <v>0.05</v>
      </c>
      <c r="F117" s="480">
        <v>16.22</v>
      </c>
      <c r="G117" s="480">
        <v>0.37</v>
      </c>
      <c r="H117" s="480">
        <v>0</v>
      </c>
    </row>
    <row r="118" spans="1:8">
      <c r="A118" s="554" t="s">
        <v>204</v>
      </c>
      <c r="B118" s="555">
        <f t="shared" si="0"/>
        <v>16.529999999999998</v>
      </c>
      <c r="C118" s="554">
        <f t="shared" si="1"/>
        <v>15.919999999999998</v>
      </c>
      <c r="D118" s="480">
        <v>11.7</v>
      </c>
      <c r="E118" s="480">
        <v>0</v>
      </c>
      <c r="F118" s="480">
        <v>4.22</v>
      </c>
      <c r="G118" s="480">
        <v>0</v>
      </c>
      <c r="H118" s="480">
        <v>0.61</v>
      </c>
    </row>
    <row r="119" spans="1:8">
      <c r="A119" s="554" t="s">
        <v>264</v>
      </c>
      <c r="B119" s="555">
        <f t="shared" si="0"/>
        <v>7.92</v>
      </c>
      <c r="C119" s="554">
        <f t="shared" si="1"/>
        <v>7.88</v>
      </c>
      <c r="D119" s="480">
        <v>0.94</v>
      </c>
      <c r="E119" s="480">
        <v>1.02</v>
      </c>
      <c r="F119" s="480">
        <v>2.67</v>
      </c>
      <c r="G119" s="480">
        <v>3.25</v>
      </c>
      <c r="H119" s="480">
        <v>0.04</v>
      </c>
    </row>
    <row r="120" spans="1:8">
      <c r="A120" s="554" t="s">
        <v>265</v>
      </c>
      <c r="B120" s="555">
        <f t="shared" si="0"/>
        <v>8.8099999999999987</v>
      </c>
      <c r="C120" s="554">
        <f t="shared" si="1"/>
        <v>8.509999999999998</v>
      </c>
      <c r="D120" s="480">
        <v>4.08</v>
      </c>
      <c r="E120" s="480">
        <v>2.86</v>
      </c>
      <c r="F120" s="480">
        <v>1.46</v>
      </c>
      <c r="G120" s="480">
        <v>0.11</v>
      </c>
      <c r="H120" s="480">
        <v>0.3</v>
      </c>
    </row>
    <row r="121" spans="1:8">
      <c r="A121" s="554" t="s">
        <v>231</v>
      </c>
      <c r="B121" s="555">
        <f t="shared" si="0"/>
        <v>4.3199999999999994</v>
      </c>
      <c r="C121" s="554">
        <f t="shared" si="1"/>
        <v>4.3</v>
      </c>
      <c r="D121" s="480">
        <v>3.39</v>
      </c>
      <c r="E121" s="480">
        <v>0.35</v>
      </c>
      <c r="F121" s="480">
        <v>0.31</v>
      </c>
      <c r="G121" s="480">
        <v>0.25</v>
      </c>
      <c r="H121" s="480">
        <v>0.02</v>
      </c>
    </row>
    <row r="122" spans="1:8">
      <c r="A122" s="554" t="s">
        <v>239</v>
      </c>
      <c r="B122" s="555">
        <f t="shared" si="0"/>
        <v>8.14</v>
      </c>
      <c r="C122" s="554">
        <f t="shared" si="1"/>
        <v>5.69</v>
      </c>
      <c r="D122" s="480">
        <v>3.49</v>
      </c>
      <c r="E122" s="480">
        <v>1.1299999999999999</v>
      </c>
      <c r="F122" s="480">
        <v>0.11</v>
      </c>
      <c r="G122" s="480">
        <v>0.96</v>
      </c>
      <c r="H122" s="480">
        <v>2.4500000000000002</v>
      </c>
    </row>
    <row r="123" spans="1:8">
      <c r="A123" s="554" t="s">
        <v>321</v>
      </c>
      <c r="B123" s="555">
        <f t="shared" si="0"/>
        <v>7.9</v>
      </c>
      <c r="C123" s="554">
        <f t="shared" si="1"/>
        <v>5.74</v>
      </c>
      <c r="D123" s="480">
        <v>2.96</v>
      </c>
      <c r="E123" s="480">
        <v>0.37</v>
      </c>
      <c r="F123" s="480">
        <v>0.38</v>
      </c>
      <c r="G123" s="480">
        <v>2.0299999999999998</v>
      </c>
      <c r="H123" s="480">
        <v>2.16</v>
      </c>
    </row>
    <row r="124" spans="1:8">
      <c r="A124" s="554" t="s">
        <v>302</v>
      </c>
      <c r="B124" s="555">
        <f t="shared" si="0"/>
        <v>0.82</v>
      </c>
      <c r="C124" s="554">
        <f t="shared" si="1"/>
        <v>0.65999999999999992</v>
      </c>
      <c r="D124" s="480">
        <v>0.36</v>
      </c>
      <c r="E124" s="480">
        <v>0</v>
      </c>
      <c r="F124" s="480">
        <v>0.3</v>
      </c>
      <c r="G124" s="480">
        <v>0</v>
      </c>
      <c r="H124" s="480">
        <v>0.16</v>
      </c>
    </row>
    <row r="125" spans="1:8">
      <c r="A125" s="554" t="s">
        <v>322</v>
      </c>
      <c r="B125" s="555">
        <f t="shared" si="0"/>
        <v>9.8699999999999992</v>
      </c>
      <c r="C125" s="554">
        <f t="shared" si="1"/>
        <v>9.85</v>
      </c>
      <c r="D125" s="480">
        <v>2.0099999999999998</v>
      </c>
      <c r="E125" s="480">
        <v>0.77</v>
      </c>
      <c r="F125" s="480">
        <v>0.22</v>
      </c>
      <c r="G125" s="480">
        <v>6.85</v>
      </c>
      <c r="H125" s="480">
        <v>0.02</v>
      </c>
    </row>
    <row r="126" spans="1:8">
      <c r="A126" s="554" t="s">
        <v>323</v>
      </c>
      <c r="B126" s="555">
        <f t="shared" si="0"/>
        <v>10.6</v>
      </c>
      <c r="C126" s="554">
        <f t="shared" si="1"/>
        <v>9.16</v>
      </c>
      <c r="D126" s="480">
        <v>4.08</v>
      </c>
      <c r="E126" s="480">
        <v>2.2799999999999998</v>
      </c>
      <c r="F126" s="480">
        <v>0.67</v>
      </c>
      <c r="G126" s="480">
        <v>2.13</v>
      </c>
      <c r="H126" s="480">
        <v>1.44</v>
      </c>
    </row>
    <row r="127" spans="1:8">
      <c r="A127" s="554" t="s">
        <v>434</v>
      </c>
      <c r="B127" s="555">
        <f t="shared" si="0"/>
        <v>2.13</v>
      </c>
      <c r="C127" s="554">
        <f t="shared" si="1"/>
        <v>2.0699999999999998</v>
      </c>
      <c r="D127" s="480">
        <v>0.34</v>
      </c>
      <c r="E127" s="480">
        <v>0.36</v>
      </c>
      <c r="F127" s="480">
        <v>0.64</v>
      </c>
      <c r="G127" s="480">
        <v>0.73</v>
      </c>
      <c r="H127" s="480">
        <v>0.06</v>
      </c>
    </row>
    <row r="128" spans="1:8">
      <c r="A128" s="554" t="s">
        <v>266</v>
      </c>
      <c r="B128" s="555">
        <f t="shared" si="0"/>
        <v>2.5100000000000002</v>
      </c>
      <c r="C128" s="554">
        <f t="shared" si="1"/>
        <v>2.4300000000000002</v>
      </c>
      <c r="D128" s="480">
        <v>0.15</v>
      </c>
      <c r="E128" s="480">
        <v>0.63</v>
      </c>
      <c r="F128" s="480">
        <v>0.84</v>
      </c>
      <c r="G128" s="480">
        <v>0.81</v>
      </c>
      <c r="H128" s="480">
        <v>0.08</v>
      </c>
    </row>
    <row r="129" spans="1:8">
      <c r="A129" s="554" t="s">
        <v>267</v>
      </c>
      <c r="B129" s="555">
        <f t="shared" si="0"/>
        <v>3.83</v>
      </c>
      <c r="C129" s="554">
        <f t="shared" si="1"/>
        <v>3.81</v>
      </c>
      <c r="D129" s="480">
        <v>1.28</v>
      </c>
      <c r="E129" s="480">
        <v>0.47</v>
      </c>
      <c r="F129" s="480">
        <v>0.28999999999999998</v>
      </c>
      <c r="G129" s="480">
        <v>1.77</v>
      </c>
      <c r="H129" s="480">
        <v>0.02</v>
      </c>
    </row>
    <row r="130" spans="1:8">
      <c r="A130" s="554" t="s">
        <v>435</v>
      </c>
      <c r="B130" s="555">
        <f t="shared" si="0"/>
        <v>8.0500000000000007</v>
      </c>
      <c r="C130" s="554">
        <f t="shared" si="1"/>
        <v>2.38</v>
      </c>
      <c r="D130" s="480">
        <v>0.25</v>
      </c>
      <c r="E130" s="480">
        <v>7.0000000000000007E-2</v>
      </c>
      <c r="F130" s="480">
        <v>1.05</v>
      </c>
      <c r="G130" s="480">
        <v>1.01</v>
      </c>
      <c r="H130" s="480">
        <v>5.67</v>
      </c>
    </row>
    <row r="131" spans="1:8">
      <c r="A131" s="554" t="s">
        <v>268</v>
      </c>
      <c r="B131" s="555">
        <f t="shared" si="0"/>
        <v>0.85000000000000009</v>
      </c>
      <c r="C131" s="554">
        <f t="shared" si="1"/>
        <v>0.83000000000000007</v>
      </c>
      <c r="D131" s="480">
        <v>0</v>
      </c>
      <c r="E131" s="480">
        <v>0.76</v>
      </c>
      <c r="F131" s="480">
        <v>7.0000000000000007E-2</v>
      </c>
      <c r="H131" s="480">
        <v>0.02</v>
      </c>
    </row>
    <row r="132" spans="1:8">
      <c r="A132" s="554" t="s">
        <v>269</v>
      </c>
      <c r="B132" s="555">
        <f t="shared" si="0"/>
        <v>2.9099999999999997</v>
      </c>
      <c r="C132" s="554">
        <f t="shared" si="1"/>
        <v>2.9</v>
      </c>
      <c r="D132" s="480">
        <v>0.09</v>
      </c>
      <c r="E132" s="480">
        <v>0.26</v>
      </c>
      <c r="F132" s="480">
        <v>0.53</v>
      </c>
      <c r="G132" s="480">
        <v>2.02</v>
      </c>
      <c r="H132" s="480">
        <v>0.01</v>
      </c>
    </row>
    <row r="133" spans="1:8">
      <c r="A133" s="554" t="s">
        <v>270</v>
      </c>
      <c r="B133" s="555">
        <f t="shared" si="0"/>
        <v>3.95</v>
      </c>
      <c r="C133" s="554">
        <f t="shared" si="1"/>
        <v>3.8200000000000003</v>
      </c>
      <c r="D133" s="480">
        <v>0.57999999999999996</v>
      </c>
      <c r="E133" s="480">
        <v>1.8</v>
      </c>
      <c r="F133" s="480">
        <v>1.36</v>
      </c>
      <c r="G133" s="480">
        <v>0.08</v>
      </c>
      <c r="H133" s="480">
        <v>0.13</v>
      </c>
    </row>
    <row r="134" spans="1:8">
      <c r="A134" s="554" t="s">
        <v>205</v>
      </c>
      <c r="B134" s="555">
        <f t="shared" si="0"/>
        <v>42.580000000000005</v>
      </c>
      <c r="C134" s="554">
        <f t="shared" si="1"/>
        <v>40.590000000000003</v>
      </c>
      <c r="D134" s="480">
        <v>0</v>
      </c>
      <c r="E134" s="480">
        <v>0.92</v>
      </c>
      <c r="F134" s="480">
        <v>1.25</v>
      </c>
      <c r="G134" s="480">
        <v>38.42</v>
      </c>
      <c r="H134" s="480">
        <v>1.99</v>
      </c>
    </row>
    <row r="135" spans="1:8">
      <c r="A135" s="554" t="s">
        <v>436</v>
      </c>
      <c r="B135" s="555">
        <f t="shared" si="0"/>
        <v>6.88</v>
      </c>
      <c r="C135" s="554">
        <f t="shared" si="1"/>
        <v>6.67</v>
      </c>
      <c r="D135" s="480">
        <v>4.5</v>
      </c>
      <c r="E135" s="480">
        <v>0</v>
      </c>
      <c r="F135" s="480">
        <v>1.29</v>
      </c>
      <c r="G135" s="480">
        <v>0.88</v>
      </c>
      <c r="H135" s="480">
        <v>0.21</v>
      </c>
    </row>
    <row r="136" spans="1:8">
      <c r="A136" s="554" t="s">
        <v>437</v>
      </c>
      <c r="B136" s="555">
        <f t="shared" si="0"/>
        <v>7.2299999999999995</v>
      </c>
      <c r="C136" s="554">
        <f t="shared" si="1"/>
        <v>7.17</v>
      </c>
      <c r="D136" s="480">
        <v>4.55</v>
      </c>
      <c r="E136" s="480">
        <v>0.28999999999999998</v>
      </c>
      <c r="F136" s="480">
        <v>1</v>
      </c>
      <c r="G136" s="480">
        <v>1.33</v>
      </c>
      <c r="H136" s="480">
        <v>0.06</v>
      </c>
    </row>
    <row r="137" spans="1:8">
      <c r="A137" s="554" t="s">
        <v>438</v>
      </c>
      <c r="B137" s="555">
        <f t="shared" si="0"/>
        <v>10.130000000000001</v>
      </c>
      <c r="C137" s="554">
        <f t="shared" si="1"/>
        <v>10.030000000000001</v>
      </c>
      <c r="D137" s="480">
        <v>9.02</v>
      </c>
      <c r="E137" s="480">
        <v>0.46</v>
      </c>
      <c r="F137" s="480">
        <v>0.5</v>
      </c>
      <c r="G137" s="480">
        <v>0.05</v>
      </c>
      <c r="H137" s="480">
        <v>0.1</v>
      </c>
    </row>
    <row r="138" spans="1:8">
      <c r="A138" s="554" t="s">
        <v>439</v>
      </c>
      <c r="B138" s="555">
        <f t="shared" si="0"/>
        <v>2.29</v>
      </c>
      <c r="C138" s="554">
        <f t="shared" si="1"/>
        <v>0.54</v>
      </c>
      <c r="D138" s="480">
        <v>0.01</v>
      </c>
      <c r="F138" s="480">
        <v>0.53</v>
      </c>
      <c r="H138" s="480">
        <v>1.75</v>
      </c>
    </row>
    <row r="139" spans="1:8">
      <c r="A139" s="554" t="s">
        <v>206</v>
      </c>
      <c r="B139" s="555">
        <f t="shared" si="0"/>
        <v>4.25</v>
      </c>
      <c r="C139" s="554">
        <f t="shared" si="1"/>
        <v>4.24</v>
      </c>
      <c r="D139" s="480">
        <v>0.28000000000000003</v>
      </c>
      <c r="E139" s="480">
        <v>0.01</v>
      </c>
      <c r="F139" s="480">
        <v>0.14000000000000001</v>
      </c>
      <c r="G139" s="480">
        <v>3.81</v>
      </c>
      <c r="H139" s="480">
        <v>0.01</v>
      </c>
    </row>
    <row r="140" spans="1:8">
      <c r="A140" s="554" t="s">
        <v>232</v>
      </c>
      <c r="B140" s="555">
        <f t="shared" si="0"/>
        <v>5.9999999999999991</v>
      </c>
      <c r="C140" s="554">
        <f t="shared" si="1"/>
        <v>5.8599999999999994</v>
      </c>
      <c r="D140" s="480">
        <v>4.8099999999999996</v>
      </c>
      <c r="E140" s="480">
        <v>0.26</v>
      </c>
      <c r="F140" s="480">
        <v>0.54</v>
      </c>
      <c r="G140" s="480">
        <v>0.25</v>
      </c>
      <c r="H140" s="480">
        <v>0.14000000000000001</v>
      </c>
    </row>
    <row r="141" spans="1:8">
      <c r="A141" s="554" t="s">
        <v>207</v>
      </c>
      <c r="B141" s="555">
        <f t="shared" si="0"/>
        <v>9.2099999999999991</v>
      </c>
      <c r="C141" s="554">
        <f t="shared" si="1"/>
        <v>9.19</v>
      </c>
      <c r="D141" s="480">
        <v>3.96</v>
      </c>
      <c r="E141" s="480">
        <v>0.42</v>
      </c>
      <c r="F141" s="480">
        <v>4.8099999999999996</v>
      </c>
      <c r="G141" s="480">
        <v>0</v>
      </c>
      <c r="H141" s="480">
        <v>0.02</v>
      </c>
    </row>
    <row r="142" spans="1:8">
      <c r="A142" s="554" t="s">
        <v>271</v>
      </c>
      <c r="B142" s="555">
        <f t="shared" si="0"/>
        <v>4.21</v>
      </c>
      <c r="C142" s="554">
        <f t="shared" si="1"/>
        <v>4.2</v>
      </c>
      <c r="D142" s="480">
        <v>7.0000000000000007E-2</v>
      </c>
      <c r="E142" s="480">
        <v>0.1</v>
      </c>
      <c r="F142" s="480">
        <v>1.47</v>
      </c>
      <c r="G142" s="480">
        <v>2.56</v>
      </c>
      <c r="H142" s="480">
        <v>0.01</v>
      </c>
    </row>
    <row r="143" spans="1:8">
      <c r="A143" s="554" t="s">
        <v>208</v>
      </c>
      <c r="B143" s="555">
        <f t="shared" si="0"/>
        <v>12.86</v>
      </c>
      <c r="C143" s="554">
        <f t="shared" si="1"/>
        <v>12.86</v>
      </c>
      <c r="D143" s="480">
        <v>9.17</v>
      </c>
      <c r="E143" s="480">
        <v>0.37</v>
      </c>
      <c r="F143" s="480">
        <v>3.31</v>
      </c>
      <c r="G143" s="480">
        <v>0.01</v>
      </c>
      <c r="H143" s="480">
        <v>0</v>
      </c>
    </row>
    <row r="144" spans="1:8">
      <c r="A144" s="554" t="s">
        <v>272</v>
      </c>
      <c r="B144" s="555">
        <f t="shared" si="0"/>
        <v>2.33</v>
      </c>
      <c r="C144" s="554">
        <f t="shared" si="1"/>
        <v>2.27</v>
      </c>
      <c r="D144" s="480">
        <v>0.41</v>
      </c>
      <c r="E144" s="480">
        <v>0.55000000000000004</v>
      </c>
      <c r="F144" s="480">
        <v>1.03</v>
      </c>
      <c r="G144" s="480">
        <v>0.28000000000000003</v>
      </c>
      <c r="H144" s="480">
        <v>0.06</v>
      </c>
    </row>
    <row r="145" spans="1:8">
      <c r="A145" s="554" t="s">
        <v>273</v>
      </c>
      <c r="B145" s="555">
        <f t="shared" si="0"/>
        <v>3.31</v>
      </c>
      <c r="C145" s="554">
        <f t="shared" si="1"/>
        <v>2.91</v>
      </c>
      <c r="D145" s="480">
        <v>0.06</v>
      </c>
      <c r="E145" s="480">
        <v>1.0900000000000001</v>
      </c>
      <c r="F145" s="480">
        <v>0.86</v>
      </c>
      <c r="G145" s="480">
        <v>0.9</v>
      </c>
      <c r="H145" s="480">
        <v>0.4</v>
      </c>
    </row>
    <row r="146" spans="1:8">
      <c r="A146" s="554" t="s">
        <v>440</v>
      </c>
      <c r="B146" s="555">
        <f t="shared" si="0"/>
        <v>10.049999999999999</v>
      </c>
      <c r="C146" s="554">
        <f t="shared" si="1"/>
        <v>9.85</v>
      </c>
      <c r="D146" s="480">
        <v>9.77</v>
      </c>
      <c r="E146" s="480">
        <v>0</v>
      </c>
      <c r="F146" s="480">
        <v>0.08</v>
      </c>
      <c r="G146" s="480">
        <v>0</v>
      </c>
      <c r="H146" s="480">
        <v>0.2</v>
      </c>
    </row>
    <row r="147" spans="1:8">
      <c r="A147" s="554" t="s">
        <v>210</v>
      </c>
      <c r="B147" s="555">
        <f t="shared" si="0"/>
        <v>5.13</v>
      </c>
      <c r="C147" s="554">
        <f t="shared" si="1"/>
        <v>1.95</v>
      </c>
      <c r="D147" s="480">
        <v>0.28000000000000003</v>
      </c>
      <c r="E147" s="480">
        <v>0.15</v>
      </c>
      <c r="F147" s="480">
        <v>0.39</v>
      </c>
      <c r="G147" s="480">
        <v>1.1299999999999999</v>
      </c>
      <c r="H147" s="480">
        <v>3.18</v>
      </c>
    </row>
    <row r="148" spans="1:8">
      <c r="A148" s="554" t="s">
        <v>274</v>
      </c>
      <c r="B148" s="555">
        <f t="shared" si="0"/>
        <v>6.97</v>
      </c>
      <c r="C148" s="554">
        <f t="shared" si="1"/>
        <v>6.92</v>
      </c>
      <c r="D148" s="480">
        <v>3.6</v>
      </c>
      <c r="E148" s="480">
        <v>0.81</v>
      </c>
      <c r="F148" s="480">
        <v>1.41</v>
      </c>
      <c r="G148" s="480">
        <v>1.1000000000000001</v>
      </c>
      <c r="H148" s="480">
        <v>0.05</v>
      </c>
    </row>
    <row r="149" spans="1:8">
      <c r="A149" s="554" t="s">
        <v>441</v>
      </c>
      <c r="B149" s="555">
        <f t="shared" si="0"/>
        <v>10.559999999999999</v>
      </c>
      <c r="C149" s="554">
        <f t="shared" si="1"/>
        <v>10.559999999999999</v>
      </c>
      <c r="D149" s="480">
        <v>7.51</v>
      </c>
      <c r="E149" s="480">
        <v>1.71</v>
      </c>
      <c r="F149" s="480">
        <v>0.03</v>
      </c>
      <c r="G149" s="480">
        <v>1.31</v>
      </c>
      <c r="H149" s="480">
        <v>0</v>
      </c>
    </row>
    <row r="150" spans="1:8">
      <c r="A150" s="554" t="s">
        <v>221</v>
      </c>
      <c r="B150" s="555">
        <f t="shared" si="0"/>
        <v>14.06</v>
      </c>
      <c r="C150" s="554">
        <f t="shared" si="1"/>
        <v>14.06</v>
      </c>
      <c r="D150" s="480">
        <v>8.0299999999999994</v>
      </c>
      <c r="E150" s="480">
        <v>0.13</v>
      </c>
      <c r="F150" s="480">
        <v>5.66</v>
      </c>
      <c r="G150" s="480">
        <v>0.24</v>
      </c>
      <c r="H150" s="480">
        <v>0</v>
      </c>
    </row>
    <row r="151" spans="1:8">
      <c r="A151" s="554" t="s">
        <v>324</v>
      </c>
      <c r="B151" s="555">
        <f t="shared" si="0"/>
        <v>4.4099999999999993</v>
      </c>
      <c r="C151" s="554">
        <f t="shared" si="1"/>
        <v>4.2799999999999994</v>
      </c>
      <c r="D151" s="480">
        <v>0.23</v>
      </c>
      <c r="E151" s="480">
        <v>1.22</v>
      </c>
      <c r="F151" s="480">
        <v>2.15</v>
      </c>
      <c r="G151" s="480">
        <v>0.68</v>
      </c>
      <c r="H151" s="480">
        <v>0.13</v>
      </c>
    </row>
    <row r="152" spans="1:8">
      <c r="A152" s="554" t="s">
        <v>275</v>
      </c>
      <c r="B152" s="555">
        <f t="shared" si="0"/>
        <v>3.1000000000000005</v>
      </c>
      <c r="C152" s="554">
        <f t="shared" si="1"/>
        <v>2.8600000000000003</v>
      </c>
      <c r="D152" s="480">
        <v>0.34</v>
      </c>
      <c r="E152" s="480">
        <v>1.31</v>
      </c>
      <c r="F152" s="480">
        <v>1.08</v>
      </c>
      <c r="G152" s="480">
        <v>0.13</v>
      </c>
      <c r="H152" s="480">
        <v>0.24</v>
      </c>
    </row>
    <row r="153" spans="1:8">
      <c r="A153" s="554" t="s">
        <v>276</v>
      </c>
      <c r="B153" s="555">
        <f t="shared" si="0"/>
        <v>2.41</v>
      </c>
      <c r="C153" s="554">
        <f t="shared" si="1"/>
        <v>2.29</v>
      </c>
      <c r="D153" s="480">
        <v>0.36</v>
      </c>
      <c r="E153" s="480">
        <v>1.25</v>
      </c>
      <c r="F153" s="480">
        <v>0.43</v>
      </c>
      <c r="G153" s="480">
        <v>0.25</v>
      </c>
      <c r="H153" s="480">
        <v>0.12</v>
      </c>
    </row>
    <row r="154" spans="1:8">
      <c r="A154" s="554" t="s">
        <v>286</v>
      </c>
      <c r="B154" s="555">
        <f t="shared" si="0"/>
        <v>3.6399999999999997</v>
      </c>
      <c r="C154" s="554">
        <f t="shared" si="1"/>
        <v>3.6399999999999997</v>
      </c>
      <c r="D154" s="480">
        <v>0</v>
      </c>
      <c r="E154" s="480">
        <v>0.49</v>
      </c>
      <c r="F154" s="480">
        <v>0.69</v>
      </c>
      <c r="G154" s="480">
        <v>2.46</v>
      </c>
      <c r="H154" s="480">
        <v>0</v>
      </c>
    </row>
    <row r="155" spans="1:8">
      <c r="A155" s="554" t="s">
        <v>305</v>
      </c>
      <c r="B155" s="555">
        <f t="shared" si="0"/>
        <v>5.41</v>
      </c>
      <c r="C155" s="554">
        <f t="shared" si="1"/>
        <v>3.33</v>
      </c>
      <c r="D155" s="480">
        <v>1.81</v>
      </c>
      <c r="E155" s="480">
        <v>0.11</v>
      </c>
      <c r="F155" s="480">
        <v>0.62</v>
      </c>
      <c r="G155" s="480">
        <v>0.79</v>
      </c>
      <c r="H155" s="480">
        <v>2.08</v>
      </c>
    </row>
    <row r="156" spans="1:8">
      <c r="A156" s="554" t="s">
        <v>442</v>
      </c>
      <c r="B156" s="555">
        <f t="shared" si="0"/>
        <v>10.98</v>
      </c>
      <c r="C156" s="554">
        <f t="shared" si="1"/>
        <v>9.59</v>
      </c>
      <c r="D156" s="480">
        <v>0.01</v>
      </c>
      <c r="E156" s="480">
        <v>0</v>
      </c>
      <c r="F156" s="480">
        <v>3.22</v>
      </c>
      <c r="G156" s="480">
        <v>6.36</v>
      </c>
      <c r="H156" s="480">
        <v>1.39</v>
      </c>
    </row>
    <row r="157" spans="1:8">
      <c r="A157" s="554" t="s">
        <v>213</v>
      </c>
      <c r="B157" s="555">
        <f t="shared" si="0"/>
        <v>18.22</v>
      </c>
      <c r="C157" s="554">
        <f t="shared" si="1"/>
        <v>18.22</v>
      </c>
      <c r="D157" s="480">
        <v>2.4300000000000002</v>
      </c>
      <c r="E157" s="480">
        <v>0.01</v>
      </c>
      <c r="F157" s="480">
        <v>4.07</v>
      </c>
      <c r="G157" s="480">
        <v>11.71</v>
      </c>
      <c r="H157" s="480">
        <v>0</v>
      </c>
    </row>
    <row r="158" spans="1:8">
      <c r="A158" s="554" t="s">
        <v>443</v>
      </c>
      <c r="B158" s="555">
        <f t="shared" si="0"/>
        <v>11.62</v>
      </c>
      <c r="C158" s="554">
        <f t="shared" si="1"/>
        <v>11.379999999999999</v>
      </c>
      <c r="D158" s="480">
        <v>4.8</v>
      </c>
      <c r="E158" s="480">
        <v>3.07</v>
      </c>
      <c r="F158" s="480">
        <v>2.4700000000000002</v>
      </c>
      <c r="G158" s="480">
        <v>1.04</v>
      </c>
      <c r="H158" s="480">
        <v>0.24</v>
      </c>
    </row>
    <row r="159" spans="1:8">
      <c r="A159" s="554" t="s">
        <v>222</v>
      </c>
      <c r="B159" s="555">
        <f t="shared" si="0"/>
        <v>8.7899999999999991</v>
      </c>
      <c r="C159" s="554">
        <f t="shared" si="1"/>
        <v>7.04</v>
      </c>
      <c r="D159" s="480">
        <v>5.98</v>
      </c>
      <c r="E159" s="480">
        <v>0.47</v>
      </c>
      <c r="F159" s="480">
        <v>0.33</v>
      </c>
      <c r="G159" s="480">
        <v>0.26</v>
      </c>
      <c r="H159" s="480">
        <v>1.75</v>
      </c>
    </row>
    <row r="160" spans="1:8">
      <c r="A160" s="554" t="s">
        <v>288</v>
      </c>
      <c r="B160" s="555">
        <f t="shared" si="0"/>
        <v>15.090000000000002</v>
      </c>
      <c r="C160" s="554">
        <f t="shared" si="1"/>
        <v>15.080000000000002</v>
      </c>
      <c r="D160" s="480">
        <v>9.9700000000000006</v>
      </c>
      <c r="E160" s="480">
        <v>0.16</v>
      </c>
      <c r="F160" s="480">
        <v>2.0699999999999998</v>
      </c>
      <c r="G160" s="480">
        <v>2.88</v>
      </c>
      <c r="H160" s="480">
        <v>0.01</v>
      </c>
    </row>
    <row r="161" spans="1:8">
      <c r="A161" s="554" t="s">
        <v>214</v>
      </c>
      <c r="B161" s="555">
        <f t="shared" si="0"/>
        <v>20.58</v>
      </c>
      <c r="C161" s="554">
        <f t="shared" si="1"/>
        <v>20.58</v>
      </c>
      <c r="D161" s="480">
        <v>0.67</v>
      </c>
      <c r="E161" s="480">
        <v>0.28000000000000003</v>
      </c>
      <c r="F161" s="480">
        <v>4.43</v>
      </c>
      <c r="G161" s="480">
        <v>15.2</v>
      </c>
      <c r="H161" s="480">
        <v>0</v>
      </c>
    </row>
    <row r="162" spans="1:8">
      <c r="A162" s="554" t="s">
        <v>277</v>
      </c>
      <c r="B162" s="555">
        <f t="shared" si="0"/>
        <v>2.33</v>
      </c>
      <c r="C162" s="554">
        <f t="shared" si="1"/>
        <v>2.3000000000000003</v>
      </c>
      <c r="D162" s="480">
        <v>0.35</v>
      </c>
      <c r="E162" s="480">
        <v>1.1000000000000001</v>
      </c>
      <c r="F162" s="480">
        <v>0.85</v>
      </c>
      <c r="H162" s="480">
        <v>0.03</v>
      </c>
    </row>
    <row r="163" spans="1:8">
      <c r="A163" s="554" t="s">
        <v>444</v>
      </c>
      <c r="B163" s="555">
        <f t="shared" si="0"/>
        <v>24.510000000000005</v>
      </c>
      <c r="C163" s="554">
        <f t="shared" si="1"/>
        <v>24.050000000000004</v>
      </c>
      <c r="D163" s="480">
        <v>18.39</v>
      </c>
      <c r="E163" s="480">
        <v>1.62</v>
      </c>
      <c r="F163" s="480">
        <v>1.05</v>
      </c>
      <c r="G163" s="480">
        <v>2.99</v>
      </c>
      <c r="H163" s="480">
        <v>0.46</v>
      </c>
    </row>
    <row r="164" spans="1:8">
      <c r="A164" s="554" t="s">
        <v>445</v>
      </c>
      <c r="B164" s="555">
        <f t="shared" si="0"/>
        <v>5.6800000000000006</v>
      </c>
      <c r="C164" s="554">
        <f t="shared" si="1"/>
        <v>5.4700000000000006</v>
      </c>
      <c r="D164" s="480">
        <v>1.34</v>
      </c>
      <c r="E164" s="480">
        <v>1.53</v>
      </c>
      <c r="F164" s="480">
        <v>2.44</v>
      </c>
      <c r="G164" s="480">
        <v>0.16</v>
      </c>
      <c r="H164" s="480">
        <v>0.21</v>
      </c>
    </row>
    <row r="165" spans="1:8">
      <c r="A165" s="554" t="s">
        <v>446</v>
      </c>
      <c r="B165" s="555">
        <f t="shared" si="0"/>
        <v>25.389999999999997</v>
      </c>
      <c r="C165" s="554">
        <f t="shared" si="1"/>
        <v>25.31</v>
      </c>
      <c r="D165" s="480">
        <v>6.75</v>
      </c>
      <c r="E165" s="480">
        <v>0.06</v>
      </c>
      <c r="F165" s="480">
        <v>4.63</v>
      </c>
      <c r="G165" s="480">
        <v>13.87</v>
      </c>
      <c r="H165" s="480">
        <v>0.08</v>
      </c>
    </row>
    <row r="166" spans="1:8">
      <c r="A166" s="554" t="s">
        <v>447</v>
      </c>
      <c r="B166" s="555">
        <f t="shared" si="0"/>
        <v>8.5500000000000007</v>
      </c>
      <c r="C166" s="554">
        <f t="shared" si="1"/>
        <v>8.4400000000000013</v>
      </c>
      <c r="D166" s="480">
        <v>0.26</v>
      </c>
      <c r="E166" s="480">
        <v>0.6</v>
      </c>
      <c r="F166" s="480">
        <v>4.7300000000000004</v>
      </c>
      <c r="G166" s="480">
        <v>2.85</v>
      </c>
      <c r="H166" s="480">
        <v>0.11</v>
      </c>
    </row>
    <row r="167" spans="1:8">
      <c r="A167" s="554" t="s">
        <v>325</v>
      </c>
      <c r="B167" s="555">
        <f t="shared" si="0"/>
        <v>4.0699999999999994</v>
      </c>
      <c r="C167" s="554">
        <f t="shared" si="1"/>
        <v>4.0299999999999994</v>
      </c>
      <c r="D167" s="480">
        <v>1.3</v>
      </c>
      <c r="E167" s="480">
        <v>0.6</v>
      </c>
      <c r="F167" s="480">
        <v>1.1599999999999999</v>
      </c>
      <c r="G167" s="480">
        <v>0.97</v>
      </c>
      <c r="H167" s="480">
        <v>0.04</v>
      </c>
    </row>
    <row r="168" spans="1:8">
      <c r="A168" s="554" t="s">
        <v>287</v>
      </c>
      <c r="B168" s="555">
        <f t="shared" si="0"/>
        <v>0.04</v>
      </c>
      <c r="C168" s="554">
        <f t="shared" si="1"/>
        <v>0.04</v>
      </c>
      <c r="D168" s="480">
        <v>0.04</v>
      </c>
      <c r="E168" s="480">
        <v>0</v>
      </c>
      <c r="F168" s="480">
        <v>0</v>
      </c>
      <c r="G168" s="480">
        <v>0</v>
      </c>
      <c r="H168" s="480">
        <v>0</v>
      </c>
    </row>
    <row r="169" spans="1:8">
      <c r="A169" s="554" t="s">
        <v>448</v>
      </c>
      <c r="B169" s="555">
        <f t="shared" si="0"/>
        <v>8.6399999999999988</v>
      </c>
      <c r="C169" s="554">
        <f t="shared" si="1"/>
        <v>8.2899999999999991</v>
      </c>
      <c r="D169" s="480">
        <v>0.01</v>
      </c>
      <c r="E169" s="480">
        <v>0</v>
      </c>
      <c r="F169" s="480">
        <v>8.2799999999999994</v>
      </c>
      <c r="G169" s="480">
        <v>0</v>
      </c>
      <c r="H169" s="480">
        <v>0.35</v>
      </c>
    </row>
    <row r="170" spans="1:8">
      <c r="A170" s="554" t="s">
        <v>449</v>
      </c>
      <c r="B170" s="555">
        <f t="shared" si="0"/>
        <v>5.08</v>
      </c>
      <c r="C170" s="554">
        <f t="shared" si="1"/>
        <v>5.08</v>
      </c>
      <c r="D170" s="480">
        <v>0.65</v>
      </c>
      <c r="E170" s="480">
        <v>0.09</v>
      </c>
      <c r="F170" s="480">
        <v>0.02</v>
      </c>
      <c r="G170" s="480">
        <v>4.32</v>
      </c>
      <c r="H170" s="480">
        <v>0</v>
      </c>
    </row>
    <row r="171" spans="1:8">
      <c r="A171" s="554" t="s">
        <v>450</v>
      </c>
      <c r="B171" s="555">
        <f t="shared" si="0"/>
        <v>17.559999999999999</v>
      </c>
      <c r="C171" s="554">
        <f t="shared" si="1"/>
        <v>7.54</v>
      </c>
      <c r="D171" s="480">
        <v>0.56999999999999995</v>
      </c>
      <c r="E171" s="480">
        <v>0</v>
      </c>
      <c r="F171" s="480">
        <v>4.84</v>
      </c>
      <c r="G171" s="480">
        <v>2.13</v>
      </c>
      <c r="H171" s="480">
        <v>10.02</v>
      </c>
    </row>
    <row r="172" spans="1:8">
      <c r="A172" s="554" t="s">
        <v>235</v>
      </c>
      <c r="B172" s="555">
        <f t="shared" si="0"/>
        <v>4.04</v>
      </c>
      <c r="C172" s="554">
        <f t="shared" si="1"/>
        <v>4.04</v>
      </c>
      <c r="D172" s="480">
        <v>2.81</v>
      </c>
      <c r="E172" s="480">
        <v>0.28999999999999998</v>
      </c>
      <c r="F172" s="480">
        <v>0.36</v>
      </c>
      <c r="G172" s="480">
        <v>0.57999999999999996</v>
      </c>
      <c r="H172" s="480">
        <v>0</v>
      </c>
    </row>
    <row r="173" spans="1:8">
      <c r="A173" s="554" t="s">
        <v>215</v>
      </c>
      <c r="B173" s="555">
        <f t="shared" si="0"/>
        <v>16.93</v>
      </c>
      <c r="C173" s="554">
        <f t="shared" si="1"/>
        <v>8.870000000000001</v>
      </c>
      <c r="D173" s="480">
        <v>1.42</v>
      </c>
      <c r="E173" s="480">
        <v>0</v>
      </c>
      <c r="F173" s="480">
        <v>7.45</v>
      </c>
      <c r="G173" s="480">
        <v>0</v>
      </c>
      <c r="H173" s="480">
        <v>8.06</v>
      </c>
    </row>
    <row r="174" spans="1:8">
      <c r="A174" s="554" t="s">
        <v>216</v>
      </c>
      <c r="B174" s="555">
        <f t="shared" si="0"/>
        <v>4.4099999999999993</v>
      </c>
      <c r="C174" s="554">
        <f t="shared" si="1"/>
        <v>4.0999999999999996</v>
      </c>
      <c r="D174" s="480">
        <v>0.54</v>
      </c>
      <c r="E174" s="480">
        <v>0.1</v>
      </c>
      <c r="F174" s="480">
        <v>2.59</v>
      </c>
      <c r="G174" s="480">
        <v>0.87</v>
      </c>
      <c r="H174" s="480">
        <v>0.31</v>
      </c>
    </row>
    <row r="175" spans="1:8">
      <c r="A175" s="286"/>
      <c r="B175" s="556"/>
      <c r="C175" s="286"/>
    </row>
    <row r="176" spans="1:8">
      <c r="A176" s="286"/>
      <c r="B176" s="556"/>
      <c r="C176" s="286"/>
    </row>
    <row r="177" spans="1:3">
      <c r="A177" s="286"/>
      <c r="B177" s="556"/>
      <c r="C177" s="286"/>
    </row>
    <row r="178" spans="1:3">
      <c r="A178" s="286"/>
      <c r="B178" s="556"/>
      <c r="C178" s="286"/>
    </row>
    <row r="179" spans="1:3">
      <c r="A179" s="286"/>
      <c r="B179" s="556"/>
      <c r="C179" s="286"/>
    </row>
    <row r="180" spans="1:3">
      <c r="A180" s="286"/>
      <c r="B180" s="556"/>
      <c r="C180" s="286"/>
    </row>
    <row r="181" spans="1:3">
      <c r="A181" s="286"/>
      <c r="B181" s="556"/>
      <c r="C181" s="286"/>
    </row>
    <row r="182" spans="1:3">
      <c r="A182" s="286"/>
      <c r="B182" s="556"/>
      <c r="C182" s="286"/>
    </row>
    <row r="183" spans="1:3">
      <c r="A183" s="286"/>
      <c r="B183" s="556"/>
      <c r="C183" s="286"/>
    </row>
    <row r="184" spans="1:3">
      <c r="A184" s="286"/>
      <c r="B184" s="556"/>
      <c r="C184" s="286"/>
    </row>
    <row r="185" spans="1:3">
      <c r="A185" s="286"/>
      <c r="B185" s="556"/>
      <c r="C185" s="286"/>
    </row>
    <row r="186" spans="1:3">
      <c r="A186" s="286"/>
      <c r="B186" s="556"/>
      <c r="C186" s="286"/>
    </row>
    <row r="187" spans="1:3">
      <c r="A187" s="286"/>
      <c r="B187" s="556"/>
      <c r="C187" s="286"/>
    </row>
    <row r="188" spans="1:3">
      <c r="A188" s="286"/>
      <c r="B188" s="556"/>
      <c r="C188" s="286"/>
    </row>
    <row r="189" spans="1:3">
      <c r="A189" s="286"/>
      <c r="B189" s="556"/>
      <c r="C189" s="286"/>
    </row>
    <row r="190" spans="1:3">
      <c r="A190" s="286"/>
      <c r="B190" s="556"/>
      <c r="C190" s="286"/>
    </row>
    <row r="191" spans="1:3">
      <c r="A191" s="286"/>
      <c r="B191" s="556"/>
      <c r="C191" s="286"/>
    </row>
    <row r="192" spans="1:3">
      <c r="A192" s="286"/>
      <c r="B192" s="556"/>
      <c r="C192" s="286"/>
    </row>
    <row r="193" spans="1:3">
      <c r="A193" s="286"/>
      <c r="B193" s="556"/>
      <c r="C193" s="286"/>
    </row>
    <row r="194" spans="1:3">
      <c r="A194" s="286"/>
      <c r="B194" s="556"/>
      <c r="C194" s="286"/>
    </row>
    <row r="195" spans="1:3">
      <c r="A195" s="286"/>
      <c r="B195" s="556"/>
      <c r="C195" s="286"/>
    </row>
    <row r="196" spans="1:3">
      <c r="A196" s="286"/>
      <c r="B196" s="556"/>
      <c r="C196" s="286"/>
    </row>
    <row r="197" spans="1:3">
      <c r="A197" s="286"/>
      <c r="B197" s="556"/>
      <c r="C197" s="286"/>
    </row>
    <row r="198" spans="1:3">
      <c r="A198" s="286"/>
      <c r="B198" s="556"/>
      <c r="C198" s="286"/>
    </row>
    <row r="199" spans="1:3">
      <c r="A199" s="286"/>
      <c r="B199" s="556"/>
      <c r="C199" s="286"/>
    </row>
    <row r="200" spans="1:3">
      <c r="A200" s="286"/>
      <c r="B200" s="556"/>
      <c r="C200" s="286"/>
    </row>
    <row r="201" spans="1:3">
      <c r="A201" s="286"/>
      <c r="B201" s="556"/>
      <c r="C201" s="286"/>
    </row>
    <row r="202" spans="1:3">
      <c r="A202" s="286"/>
      <c r="B202" s="556"/>
      <c r="C202" s="286"/>
    </row>
    <row r="203" spans="1:3">
      <c r="A203" s="286"/>
      <c r="B203" s="556"/>
      <c r="C203" s="286"/>
    </row>
    <row r="204" spans="1:3">
      <c r="A204" s="286"/>
      <c r="B204" s="556"/>
      <c r="C204" s="286"/>
    </row>
    <row r="205" spans="1:3">
      <c r="A205" s="286"/>
      <c r="B205" s="556"/>
      <c r="C205" s="286"/>
    </row>
    <row r="206" spans="1:3">
      <c r="A206" s="286"/>
      <c r="B206" s="556"/>
      <c r="C206" s="286"/>
    </row>
    <row r="207" spans="1:3">
      <c r="A207" s="286"/>
      <c r="B207" s="556"/>
      <c r="C207" s="286"/>
    </row>
    <row r="208" spans="1:3">
      <c r="A208" s="286"/>
      <c r="B208" s="556"/>
      <c r="C208" s="286"/>
    </row>
    <row r="209" spans="1:3">
      <c r="A209" s="286"/>
      <c r="B209" s="556"/>
      <c r="C209" s="286"/>
    </row>
    <row r="210" spans="1:3">
      <c r="A210" s="286"/>
      <c r="B210" s="556"/>
      <c r="C210" s="286"/>
    </row>
    <row r="211" spans="1:3">
      <c r="A211" s="286"/>
      <c r="B211" s="556"/>
      <c r="C211" s="286"/>
    </row>
    <row r="212" spans="1:3">
      <c r="A212" s="286"/>
      <c r="B212" s="556"/>
      <c r="C212" s="286"/>
    </row>
    <row r="213" spans="1:3">
      <c r="A213" s="286"/>
      <c r="B213" s="556"/>
      <c r="C213" s="286"/>
    </row>
    <row r="214" spans="1:3">
      <c r="A214" s="286"/>
      <c r="B214" s="556"/>
      <c r="C214" s="286"/>
    </row>
    <row r="215" spans="1:3">
      <c r="A215" s="286"/>
      <c r="B215" s="556"/>
      <c r="C215" s="286"/>
    </row>
    <row r="216" spans="1:3">
      <c r="A216" s="286"/>
      <c r="B216" s="556"/>
      <c r="C216" s="286"/>
    </row>
    <row r="217" spans="1:3">
      <c r="A217" s="286"/>
      <c r="B217" s="556"/>
      <c r="C217" s="286"/>
    </row>
    <row r="218" spans="1:3">
      <c r="A218" s="286"/>
      <c r="B218" s="556"/>
      <c r="C218" s="286"/>
    </row>
    <row r="219" spans="1:3">
      <c r="A219" s="286"/>
      <c r="B219" s="556"/>
      <c r="C219" s="286"/>
    </row>
    <row r="220" spans="1:3">
      <c r="A220" s="286"/>
      <c r="B220" s="556"/>
      <c r="C220" s="286"/>
    </row>
    <row r="221" spans="1:3">
      <c r="A221" s="286"/>
      <c r="B221" s="556"/>
      <c r="C221" s="286"/>
    </row>
    <row r="222" spans="1:3">
      <c r="A222" s="286"/>
      <c r="B222" s="556"/>
      <c r="C222" s="286"/>
    </row>
    <row r="223" spans="1:3">
      <c r="A223" s="286"/>
      <c r="B223" s="556"/>
      <c r="C223" s="286"/>
    </row>
    <row r="224" spans="1:3">
      <c r="A224" s="286"/>
      <c r="B224" s="556"/>
      <c r="C224" s="286"/>
    </row>
    <row r="225" spans="1:3">
      <c r="A225" s="286"/>
      <c r="B225" s="556"/>
      <c r="C225" s="286"/>
    </row>
    <row r="226" spans="1:3">
      <c r="A226" s="286"/>
      <c r="B226" s="556"/>
      <c r="C226" s="286"/>
    </row>
    <row r="227" spans="1:3">
      <c r="A227" s="286"/>
      <c r="B227" s="556"/>
      <c r="C227" s="286"/>
    </row>
    <row r="228" spans="1:3">
      <c r="A228" s="286"/>
      <c r="B228" s="556"/>
      <c r="C228" s="286"/>
    </row>
    <row r="229" spans="1:3">
      <c r="A229" s="286"/>
      <c r="B229" s="556"/>
      <c r="C229" s="286"/>
    </row>
    <row r="230" spans="1:3">
      <c r="A230" s="286"/>
      <c r="B230" s="556"/>
      <c r="C230" s="286"/>
    </row>
    <row r="231" spans="1:3">
      <c r="A231" s="286"/>
      <c r="B231" s="556"/>
      <c r="C231" s="286"/>
    </row>
    <row r="232" spans="1:3">
      <c r="A232" s="286"/>
      <c r="B232" s="556"/>
      <c r="C232" s="286"/>
    </row>
    <row r="233" spans="1:3">
      <c r="A233" s="286"/>
      <c r="B233" s="556"/>
      <c r="C233" s="286"/>
    </row>
    <row r="234" spans="1:3">
      <c r="A234" s="286"/>
      <c r="B234" s="556"/>
      <c r="C234" s="286"/>
    </row>
    <row r="235" spans="1:3">
      <c r="A235" s="286"/>
      <c r="B235" s="556"/>
      <c r="C235" s="286"/>
    </row>
    <row r="236" spans="1:3">
      <c r="A236" s="286"/>
      <c r="B236" s="556"/>
      <c r="C236" s="286"/>
    </row>
    <row r="237" spans="1:3">
      <c r="A237" s="286"/>
      <c r="B237" s="556"/>
      <c r="C237" s="286"/>
    </row>
    <row r="238" spans="1:3">
      <c r="A238" s="286"/>
      <c r="B238" s="556"/>
      <c r="C238" s="286"/>
    </row>
    <row r="239" spans="1:3">
      <c r="A239" s="286"/>
      <c r="B239" s="556"/>
      <c r="C239" s="286"/>
    </row>
    <row r="240" spans="1:3">
      <c r="A240" s="286"/>
      <c r="B240" s="556"/>
      <c r="C240" s="286"/>
    </row>
    <row r="241" spans="1:3">
      <c r="A241" s="286"/>
      <c r="B241" s="556"/>
      <c r="C241" s="286"/>
    </row>
    <row r="242" spans="1:3">
      <c r="A242" s="286"/>
      <c r="B242" s="556"/>
      <c r="C242" s="286"/>
    </row>
    <row r="243" spans="1:3">
      <c r="A243" s="286"/>
      <c r="B243" s="556"/>
      <c r="C243" s="286"/>
    </row>
    <row r="244" spans="1:3">
      <c r="A244" s="286"/>
      <c r="B244" s="556"/>
      <c r="C244" s="286"/>
    </row>
    <row r="245" spans="1:3">
      <c r="A245" s="286"/>
      <c r="B245" s="556"/>
      <c r="C245" s="286"/>
    </row>
    <row r="246" spans="1:3">
      <c r="A246" s="286"/>
      <c r="B246" s="556"/>
      <c r="C246" s="286"/>
    </row>
    <row r="247" spans="1:3">
      <c r="A247" s="286"/>
      <c r="B247" s="556"/>
      <c r="C247" s="286"/>
    </row>
    <row r="248" spans="1:3">
      <c r="A248" s="286"/>
      <c r="B248" s="556"/>
      <c r="C248" s="286"/>
    </row>
    <row r="249" spans="1:3">
      <c r="A249" s="286"/>
      <c r="B249" s="556"/>
      <c r="C249" s="286"/>
    </row>
    <row r="250" spans="1:3">
      <c r="A250" s="286"/>
      <c r="B250" s="556"/>
      <c r="C250" s="286"/>
    </row>
    <row r="251" spans="1:3">
      <c r="A251" s="286"/>
      <c r="B251" s="556"/>
      <c r="C251" s="286"/>
    </row>
    <row r="252" spans="1:3">
      <c r="A252" s="286"/>
      <c r="B252" s="556"/>
      <c r="C252" s="286"/>
    </row>
    <row r="253" spans="1:3">
      <c r="A253" s="286"/>
      <c r="B253" s="556"/>
      <c r="C253" s="286"/>
    </row>
    <row r="254" spans="1:3">
      <c r="A254" s="286"/>
      <c r="B254" s="556"/>
      <c r="C254" s="286"/>
    </row>
    <row r="255" spans="1:3">
      <c r="A255" s="286"/>
      <c r="B255" s="556"/>
      <c r="C255" s="286"/>
    </row>
    <row r="256" spans="1:3">
      <c r="A256" s="286"/>
      <c r="B256" s="556"/>
      <c r="C256" s="286"/>
    </row>
    <row r="257" spans="1:3">
      <c r="A257" s="286"/>
      <c r="B257" s="556"/>
      <c r="C257" s="286"/>
    </row>
    <row r="258" spans="1:3">
      <c r="A258" s="286"/>
      <c r="B258" s="556"/>
      <c r="C258" s="286"/>
    </row>
    <row r="259" spans="1:3">
      <c r="A259" s="286"/>
      <c r="B259" s="556"/>
      <c r="C259" s="286"/>
    </row>
    <row r="260" spans="1:3">
      <c r="A260" s="286"/>
      <c r="B260" s="556"/>
      <c r="C260" s="286"/>
    </row>
    <row r="261" spans="1:3">
      <c r="A261" s="286"/>
      <c r="B261" s="556"/>
      <c r="C261" s="286"/>
    </row>
    <row r="262" spans="1:3">
      <c r="A262" s="286"/>
      <c r="B262" s="556"/>
      <c r="C262" s="286"/>
    </row>
    <row r="263" spans="1:3">
      <c r="A263" s="286"/>
      <c r="B263" s="556"/>
      <c r="C263" s="286"/>
    </row>
    <row r="264" spans="1:3">
      <c r="A264" s="286"/>
      <c r="B264" s="556"/>
      <c r="C264" s="286"/>
    </row>
    <row r="265" spans="1:3">
      <c r="A265" s="286"/>
      <c r="B265" s="556"/>
      <c r="C265" s="286"/>
    </row>
    <row r="266" spans="1:3">
      <c r="A266" s="286"/>
      <c r="B266" s="556"/>
      <c r="C266" s="286"/>
    </row>
    <row r="267" spans="1:3">
      <c r="A267" s="286"/>
      <c r="B267" s="556"/>
      <c r="C267" s="286"/>
    </row>
    <row r="268" spans="1:3">
      <c r="A268" s="286"/>
      <c r="B268" s="556"/>
      <c r="C268" s="286"/>
    </row>
    <row r="269" spans="1:3">
      <c r="A269" s="286"/>
      <c r="B269" s="556"/>
      <c r="C269" s="286"/>
    </row>
    <row r="270" spans="1:3">
      <c r="A270" s="286"/>
      <c r="B270" s="556"/>
      <c r="C270" s="286"/>
    </row>
    <row r="271" spans="1:3">
      <c r="A271" s="286"/>
      <c r="B271" s="556"/>
      <c r="C271" s="286"/>
    </row>
    <row r="272" spans="1:3">
      <c r="A272" s="286"/>
      <c r="B272" s="556"/>
      <c r="C272" s="286"/>
    </row>
    <row r="273" spans="1:3">
      <c r="A273" s="286"/>
      <c r="B273" s="556"/>
      <c r="C273" s="286"/>
    </row>
    <row r="274" spans="1:3">
      <c r="A274" s="286"/>
      <c r="B274" s="556"/>
      <c r="C274" s="286"/>
    </row>
    <row r="275" spans="1:3">
      <c r="A275" s="286"/>
      <c r="B275" s="556"/>
      <c r="C275" s="286"/>
    </row>
    <row r="276" spans="1:3">
      <c r="A276" s="286"/>
      <c r="B276" s="556"/>
      <c r="C276" s="286"/>
    </row>
    <row r="277" spans="1:3">
      <c r="A277" s="286"/>
      <c r="B277" s="556"/>
      <c r="C277" s="286"/>
    </row>
    <row r="278" spans="1:3">
      <c r="A278" s="286"/>
      <c r="B278" s="556"/>
      <c r="C278" s="286"/>
    </row>
    <row r="279" spans="1:3">
      <c r="A279" s="286"/>
      <c r="B279" s="556"/>
      <c r="C279" s="286"/>
    </row>
    <row r="280" spans="1:3">
      <c r="A280" s="286"/>
      <c r="B280" s="556"/>
      <c r="C280" s="286"/>
    </row>
    <row r="281" spans="1:3">
      <c r="A281" s="286"/>
      <c r="B281" s="556"/>
      <c r="C281" s="286"/>
    </row>
    <row r="282" spans="1:3">
      <c r="A282" s="286"/>
      <c r="B282" s="556"/>
      <c r="C282" s="286"/>
    </row>
    <row r="283" spans="1:3">
      <c r="A283" s="286"/>
      <c r="B283" s="556"/>
      <c r="C283" s="286"/>
    </row>
    <row r="284" spans="1:3">
      <c r="A284" s="286"/>
      <c r="B284" s="556"/>
      <c r="C284" s="286"/>
    </row>
    <row r="285" spans="1:3">
      <c r="A285" s="286"/>
      <c r="B285" s="556"/>
      <c r="C285" s="286"/>
    </row>
    <row r="286" spans="1:3">
      <c r="A286" s="286"/>
      <c r="B286" s="556"/>
      <c r="C286" s="286"/>
    </row>
    <row r="287" spans="1:3">
      <c r="A287" s="286"/>
      <c r="B287" s="556"/>
      <c r="C287" s="286"/>
    </row>
    <row r="288" spans="1:3">
      <c r="A288" s="286"/>
      <c r="B288" s="556"/>
      <c r="C288" s="286"/>
    </row>
    <row r="289" spans="1:3">
      <c r="A289" s="286"/>
      <c r="B289" s="556"/>
      <c r="C289" s="286"/>
    </row>
    <row r="290" spans="1:3">
      <c r="A290" s="286"/>
      <c r="B290" s="556"/>
      <c r="C290" s="286"/>
    </row>
    <row r="291" spans="1:3">
      <c r="A291" s="286"/>
      <c r="B291" s="556"/>
      <c r="C291" s="286"/>
    </row>
    <row r="292" spans="1:3">
      <c r="A292" s="286"/>
      <c r="B292" s="556"/>
      <c r="C292" s="286"/>
    </row>
    <row r="293" spans="1:3">
      <c r="A293" s="286"/>
      <c r="B293" s="556"/>
      <c r="C293" s="286"/>
    </row>
    <row r="294" spans="1:3">
      <c r="A294" s="286"/>
      <c r="B294" s="556"/>
      <c r="C294" s="286"/>
    </row>
    <row r="295" spans="1:3">
      <c r="A295" s="286"/>
      <c r="B295" s="556"/>
      <c r="C295" s="286"/>
    </row>
    <row r="296" spans="1:3">
      <c r="A296" s="286"/>
      <c r="B296" s="556"/>
      <c r="C296" s="286"/>
    </row>
    <row r="297" spans="1:3">
      <c r="A297" s="286"/>
      <c r="B297" s="556"/>
      <c r="C297" s="286"/>
    </row>
    <row r="298" spans="1:3">
      <c r="A298" s="286"/>
      <c r="B298" s="556"/>
      <c r="C298" s="286"/>
    </row>
    <row r="299" spans="1:3">
      <c r="A299" s="286"/>
      <c r="B299" s="556"/>
      <c r="C299" s="286"/>
    </row>
    <row r="300" spans="1:3">
      <c r="A300" s="286"/>
      <c r="B300" s="556"/>
      <c r="C300" s="286"/>
    </row>
    <row r="301" spans="1:3">
      <c r="A301" s="286"/>
      <c r="B301" s="556"/>
      <c r="C301" s="286"/>
    </row>
    <row r="302" spans="1:3">
      <c r="A302" s="286"/>
      <c r="B302" s="556"/>
      <c r="C302" s="286"/>
    </row>
    <row r="303" spans="1:3">
      <c r="A303" s="286"/>
      <c r="B303" s="556"/>
      <c r="C303" s="286"/>
    </row>
    <row r="304" spans="1:3">
      <c r="A304" s="286"/>
      <c r="B304" s="556"/>
      <c r="C304" s="286"/>
    </row>
    <row r="305" spans="1:3">
      <c r="A305" s="286"/>
      <c r="B305" s="556"/>
      <c r="C305" s="286"/>
    </row>
    <row r="306" spans="1:3">
      <c r="A306" s="286"/>
      <c r="B306" s="556"/>
      <c r="C306" s="286"/>
    </row>
    <row r="307" spans="1:3">
      <c r="A307" s="286"/>
      <c r="B307" s="556"/>
      <c r="C307" s="286"/>
    </row>
    <row r="308" spans="1:3">
      <c r="A308" s="286"/>
      <c r="B308" s="556"/>
      <c r="C308" s="286"/>
    </row>
    <row r="309" spans="1:3">
      <c r="A309" s="286"/>
      <c r="B309" s="556"/>
      <c r="C309" s="286"/>
    </row>
    <row r="310" spans="1:3">
      <c r="A310" s="286"/>
      <c r="B310" s="556"/>
      <c r="C310" s="286"/>
    </row>
    <row r="311" spans="1:3">
      <c r="A311" s="286"/>
      <c r="B311" s="556"/>
      <c r="C311" s="286"/>
    </row>
    <row r="312" spans="1:3">
      <c r="A312" s="286"/>
      <c r="B312" s="556"/>
      <c r="C312" s="286"/>
    </row>
    <row r="313" spans="1:3">
      <c r="A313" s="286"/>
      <c r="B313" s="556"/>
      <c r="C313" s="286"/>
    </row>
    <row r="314" spans="1:3">
      <c r="A314" s="286"/>
      <c r="B314" s="556"/>
      <c r="C314" s="286"/>
    </row>
    <row r="315" spans="1:3">
      <c r="A315" s="286"/>
      <c r="B315" s="556"/>
      <c r="C315" s="286"/>
    </row>
    <row r="316" spans="1:3">
      <c r="A316" s="286"/>
      <c r="B316" s="556"/>
      <c r="C316" s="286"/>
    </row>
    <row r="317" spans="1:3">
      <c r="A317" s="286"/>
      <c r="B317" s="556"/>
      <c r="C317" s="286"/>
    </row>
    <row r="318" spans="1:3">
      <c r="A318" s="286"/>
      <c r="B318" s="556"/>
      <c r="C318" s="286"/>
    </row>
    <row r="319" spans="1:3">
      <c r="A319" s="286"/>
      <c r="B319" s="556"/>
      <c r="C319" s="286"/>
    </row>
    <row r="320" spans="1:3">
      <c r="A320" s="286"/>
      <c r="B320" s="556"/>
      <c r="C320" s="286"/>
    </row>
    <row r="321" spans="1:3">
      <c r="A321" s="286"/>
      <c r="B321" s="556"/>
      <c r="C321" s="286"/>
    </row>
    <row r="322" spans="1:3">
      <c r="A322" s="286"/>
      <c r="B322" s="556"/>
      <c r="C322" s="286"/>
    </row>
    <row r="323" spans="1:3">
      <c r="A323" s="286"/>
      <c r="B323" s="556"/>
      <c r="C323" s="286"/>
    </row>
    <row r="324" spans="1:3">
      <c r="A324" s="286"/>
      <c r="B324" s="556"/>
      <c r="C324" s="286"/>
    </row>
    <row r="325" spans="1:3">
      <c r="A325" s="286"/>
      <c r="B325" s="556"/>
      <c r="C325" s="286"/>
    </row>
    <row r="326" spans="1:3">
      <c r="A326" s="286"/>
      <c r="B326" s="556"/>
      <c r="C326" s="286"/>
    </row>
    <row r="327" spans="1:3">
      <c r="A327" s="286"/>
      <c r="B327" s="556"/>
      <c r="C327" s="286"/>
    </row>
    <row r="328" spans="1:3">
      <c r="A328" s="286"/>
      <c r="B328" s="556"/>
      <c r="C328" s="286"/>
    </row>
    <row r="329" spans="1:3">
      <c r="A329" s="286"/>
      <c r="B329" s="556"/>
      <c r="C329" s="286"/>
    </row>
    <row r="330" spans="1:3">
      <c r="A330" s="286"/>
      <c r="B330" s="556"/>
      <c r="C330" s="286"/>
    </row>
    <row r="331" spans="1:3">
      <c r="A331" s="286"/>
      <c r="B331" s="556"/>
      <c r="C331" s="286"/>
    </row>
    <row r="332" spans="1:3">
      <c r="A332" s="286"/>
      <c r="B332" s="556"/>
      <c r="C332" s="286"/>
    </row>
    <row r="333" spans="1:3">
      <c r="A333" s="286"/>
      <c r="B333" s="556"/>
      <c r="C333" s="286"/>
    </row>
    <row r="334" spans="1:3">
      <c r="A334" s="286"/>
      <c r="B334" s="556"/>
      <c r="C334" s="286"/>
    </row>
    <row r="335" spans="1:3">
      <c r="A335" s="286"/>
      <c r="B335" s="556"/>
      <c r="C335" s="286"/>
    </row>
    <row r="336" spans="1:3">
      <c r="A336" s="286"/>
      <c r="B336" s="556"/>
      <c r="C336" s="286"/>
    </row>
    <row r="337" spans="1:3">
      <c r="A337" s="286"/>
      <c r="B337" s="556"/>
      <c r="C337" s="286"/>
    </row>
    <row r="338" spans="1:3">
      <c r="A338" s="286"/>
      <c r="B338" s="556"/>
      <c r="C338" s="286"/>
    </row>
    <row r="339" spans="1:3">
      <c r="A339" s="286"/>
      <c r="B339" s="556"/>
      <c r="C339" s="286"/>
    </row>
    <row r="340" spans="1:3">
      <c r="A340" s="286"/>
      <c r="B340" s="556"/>
      <c r="C340" s="286"/>
    </row>
    <row r="341" spans="1:3">
      <c r="A341" s="286"/>
      <c r="B341" s="556"/>
      <c r="C341" s="286"/>
    </row>
    <row r="342" spans="1:3">
      <c r="A342" s="286"/>
      <c r="B342" s="556"/>
      <c r="C342" s="286"/>
    </row>
    <row r="343" spans="1:3">
      <c r="A343" s="286"/>
      <c r="B343" s="556"/>
      <c r="C343" s="286"/>
    </row>
    <row r="344" spans="1:3">
      <c r="A344" s="286"/>
      <c r="B344" s="556"/>
      <c r="C344" s="286"/>
    </row>
    <row r="345" spans="1:3">
      <c r="A345" s="286"/>
      <c r="B345" s="556"/>
      <c r="C345" s="286"/>
    </row>
    <row r="346" spans="1:3">
      <c r="A346" s="286"/>
      <c r="B346" s="556"/>
      <c r="C346" s="286"/>
    </row>
    <row r="347" spans="1:3">
      <c r="A347" s="286"/>
      <c r="B347" s="556"/>
      <c r="C347" s="286"/>
    </row>
    <row r="348" spans="1:3">
      <c r="A348" s="286"/>
      <c r="B348" s="556"/>
      <c r="C348" s="286"/>
    </row>
    <row r="349" spans="1:3">
      <c r="A349" s="286"/>
      <c r="B349" s="556"/>
      <c r="C349" s="286"/>
    </row>
    <row r="350" spans="1:3">
      <c r="A350" s="286"/>
      <c r="B350" s="556"/>
      <c r="C350" s="286"/>
    </row>
    <row r="351" spans="1:3">
      <c r="A351" s="286"/>
      <c r="B351" s="556"/>
      <c r="C351" s="286"/>
    </row>
    <row r="352" spans="1:3">
      <c r="A352" s="286"/>
      <c r="B352" s="556"/>
      <c r="C352" s="286"/>
    </row>
    <row r="353" spans="1:3">
      <c r="A353" s="286"/>
      <c r="B353" s="556"/>
      <c r="C353" s="286"/>
    </row>
    <row r="354" spans="1:3">
      <c r="A354" s="286"/>
      <c r="B354" s="556"/>
      <c r="C354" s="286"/>
    </row>
    <row r="355" spans="1:3">
      <c r="A355" s="286"/>
      <c r="B355" s="556"/>
      <c r="C355" s="286"/>
    </row>
    <row r="356" spans="1:3">
      <c r="A356" s="286"/>
      <c r="B356" s="556"/>
      <c r="C356" s="286"/>
    </row>
    <row r="357" spans="1:3">
      <c r="A357" s="286"/>
      <c r="B357" s="556"/>
      <c r="C357" s="286"/>
    </row>
    <row r="358" spans="1:3">
      <c r="A358" s="286"/>
      <c r="B358" s="556"/>
      <c r="C358" s="286"/>
    </row>
    <row r="359" spans="1:3">
      <c r="A359" s="286"/>
      <c r="B359" s="556"/>
      <c r="C359" s="286"/>
    </row>
    <row r="360" spans="1:3">
      <c r="A360" s="286"/>
      <c r="B360" s="556"/>
      <c r="C360" s="286"/>
    </row>
    <row r="361" spans="1:3">
      <c r="A361" s="286"/>
      <c r="B361" s="556"/>
      <c r="C361" s="286"/>
    </row>
    <row r="362" spans="1:3">
      <c r="A362" s="286"/>
      <c r="B362" s="556"/>
      <c r="C362" s="286"/>
    </row>
    <row r="363" spans="1:3">
      <c r="A363" s="286"/>
      <c r="B363" s="556"/>
      <c r="C363" s="286"/>
    </row>
    <row r="364" spans="1:3">
      <c r="A364" s="286"/>
      <c r="B364" s="556"/>
      <c r="C364" s="286"/>
    </row>
    <row r="365" spans="1:3">
      <c r="A365" s="286"/>
      <c r="B365" s="556"/>
      <c r="C365" s="286"/>
    </row>
    <row r="366" spans="1:3">
      <c r="A366" s="286"/>
      <c r="B366" s="556"/>
      <c r="C366" s="286"/>
    </row>
    <row r="367" spans="1:3">
      <c r="A367" s="286"/>
      <c r="B367" s="556"/>
      <c r="C367" s="286"/>
    </row>
    <row r="368" spans="1:3">
      <c r="A368" s="286"/>
      <c r="B368" s="556"/>
      <c r="C368" s="286"/>
    </row>
    <row r="369" spans="1:3">
      <c r="A369" s="286"/>
      <c r="B369" s="556"/>
      <c r="C369" s="286"/>
    </row>
    <row r="370" spans="1:3">
      <c r="A370" s="286"/>
      <c r="B370" s="556"/>
      <c r="C370" s="286"/>
    </row>
    <row r="371" spans="1:3">
      <c r="A371" s="286"/>
      <c r="B371" s="556"/>
      <c r="C371" s="286"/>
    </row>
    <row r="372" spans="1:3">
      <c r="A372" s="286"/>
      <c r="B372" s="556"/>
      <c r="C372" s="286"/>
    </row>
    <row r="373" spans="1:3">
      <c r="A373" s="286"/>
      <c r="B373" s="556"/>
      <c r="C373" s="286"/>
    </row>
    <row r="374" spans="1:3">
      <c r="A374" s="286"/>
      <c r="B374" s="556"/>
      <c r="C374" s="286"/>
    </row>
    <row r="375" spans="1:3">
      <c r="A375" s="286"/>
      <c r="B375" s="556"/>
      <c r="C375" s="286"/>
    </row>
    <row r="376" spans="1:3">
      <c r="A376" s="286"/>
      <c r="B376" s="556"/>
      <c r="C376" s="286"/>
    </row>
    <row r="377" spans="1:3">
      <c r="A377" s="286"/>
      <c r="B377" s="556"/>
      <c r="C377" s="286"/>
    </row>
    <row r="378" spans="1:3">
      <c r="A378" s="286"/>
      <c r="B378" s="556"/>
      <c r="C378" s="286"/>
    </row>
    <row r="379" spans="1:3">
      <c r="A379" s="286"/>
      <c r="B379" s="556"/>
      <c r="C379" s="286"/>
    </row>
    <row r="380" spans="1:3">
      <c r="A380" s="286"/>
      <c r="B380" s="556"/>
      <c r="C380" s="286"/>
    </row>
    <row r="381" spans="1:3">
      <c r="A381" s="286"/>
      <c r="B381" s="556"/>
      <c r="C381" s="286"/>
    </row>
    <row r="382" spans="1:3">
      <c r="A382" s="286"/>
      <c r="B382" s="556"/>
      <c r="C382" s="286"/>
    </row>
    <row r="383" spans="1:3">
      <c r="A383" s="286"/>
      <c r="B383" s="556"/>
      <c r="C383" s="286"/>
    </row>
    <row r="384" spans="1:3">
      <c r="A384" s="286"/>
      <c r="B384" s="556"/>
      <c r="C384" s="286"/>
    </row>
    <row r="385" spans="1:3">
      <c r="A385" s="286"/>
      <c r="B385" s="556"/>
      <c r="C385" s="286"/>
    </row>
    <row r="386" spans="1:3">
      <c r="A386" s="286"/>
      <c r="B386" s="556"/>
      <c r="C386" s="286"/>
    </row>
    <row r="387" spans="1:3">
      <c r="A387" s="286"/>
      <c r="B387" s="556"/>
      <c r="C387" s="286"/>
    </row>
    <row r="388" spans="1:3">
      <c r="A388" s="286"/>
      <c r="B388" s="556"/>
      <c r="C388" s="286"/>
    </row>
    <row r="389" spans="1:3">
      <c r="A389" s="286"/>
      <c r="B389" s="556"/>
      <c r="C389" s="286"/>
    </row>
    <row r="390" spans="1:3">
      <c r="A390" s="286"/>
      <c r="B390" s="556"/>
      <c r="C390" s="286"/>
    </row>
    <row r="391" spans="1:3">
      <c r="A391" s="286"/>
      <c r="B391" s="556"/>
      <c r="C391" s="286"/>
    </row>
    <row r="392" spans="1:3">
      <c r="A392" s="286"/>
      <c r="B392" s="556"/>
      <c r="C392" s="286"/>
    </row>
    <row r="393" spans="1:3">
      <c r="A393" s="286"/>
      <c r="B393" s="556"/>
      <c r="C393" s="286"/>
    </row>
    <row r="394" spans="1:3">
      <c r="A394" s="286"/>
      <c r="B394" s="556"/>
      <c r="C394" s="286"/>
    </row>
    <row r="395" spans="1:3">
      <c r="A395" s="286"/>
      <c r="B395" s="556"/>
      <c r="C395" s="286"/>
    </row>
    <row r="396" spans="1:3">
      <c r="A396" s="286"/>
      <c r="B396" s="556"/>
      <c r="C396" s="286"/>
    </row>
    <row r="397" spans="1:3">
      <c r="A397" s="286"/>
      <c r="B397" s="556"/>
      <c r="C397" s="286"/>
    </row>
    <row r="398" spans="1:3">
      <c r="A398" s="286"/>
      <c r="B398" s="556"/>
      <c r="C398" s="286"/>
    </row>
    <row r="399" spans="1:3">
      <c r="A399" s="286"/>
      <c r="B399" s="556"/>
      <c r="C399" s="286"/>
    </row>
    <row r="400" spans="1:3">
      <c r="A400" s="286"/>
      <c r="B400" s="556"/>
      <c r="C400" s="286"/>
    </row>
    <row r="401" spans="1:3">
      <c r="A401" s="286"/>
      <c r="B401" s="556"/>
      <c r="C401" s="286"/>
    </row>
    <row r="402" spans="1:3">
      <c r="A402" s="286"/>
      <c r="B402" s="556"/>
      <c r="C402" s="286"/>
    </row>
    <row r="403" spans="1:3">
      <c r="A403" s="286"/>
      <c r="B403" s="556"/>
      <c r="C403" s="286"/>
    </row>
    <row r="404" spans="1:3">
      <c r="A404" s="286"/>
      <c r="B404" s="556"/>
      <c r="C404" s="286"/>
    </row>
    <row r="405" spans="1:3">
      <c r="A405" s="286"/>
      <c r="B405" s="556"/>
      <c r="C405" s="286"/>
    </row>
    <row r="406" spans="1:3">
      <c r="A406" s="286"/>
      <c r="B406" s="556"/>
      <c r="C406" s="286"/>
    </row>
    <row r="407" spans="1:3">
      <c r="A407" s="286"/>
      <c r="B407" s="556"/>
      <c r="C407" s="286"/>
    </row>
    <row r="408" spans="1:3">
      <c r="A408" s="286"/>
      <c r="B408" s="556"/>
      <c r="C408" s="286"/>
    </row>
    <row r="409" spans="1:3">
      <c r="A409" s="286"/>
      <c r="B409" s="556"/>
      <c r="C409" s="286"/>
    </row>
    <row r="410" spans="1:3">
      <c r="A410" s="286"/>
      <c r="B410" s="556"/>
      <c r="C410" s="286"/>
    </row>
    <row r="411" spans="1:3">
      <c r="A411" s="286"/>
      <c r="B411" s="556"/>
      <c r="C411" s="286"/>
    </row>
    <row r="412" spans="1:3">
      <c r="A412" s="286"/>
      <c r="B412" s="556"/>
      <c r="C412" s="286"/>
    </row>
    <row r="413" spans="1:3">
      <c r="A413" s="286"/>
      <c r="B413" s="556"/>
      <c r="C413" s="286"/>
    </row>
    <row r="414" spans="1:3">
      <c r="A414" s="286"/>
      <c r="B414" s="556"/>
      <c r="C414" s="286"/>
    </row>
    <row r="415" spans="1:3">
      <c r="A415" s="286"/>
      <c r="B415" s="556"/>
      <c r="C415" s="286"/>
    </row>
    <row r="416" spans="1:3">
      <c r="A416" s="286"/>
      <c r="B416" s="556"/>
      <c r="C416" s="286"/>
    </row>
    <row r="417" spans="1:3">
      <c r="A417" s="286"/>
      <c r="B417" s="556"/>
      <c r="C417" s="286"/>
    </row>
    <row r="418" spans="1:3">
      <c r="A418" s="286"/>
      <c r="B418" s="556"/>
      <c r="C418" s="286"/>
    </row>
    <row r="419" spans="1:3">
      <c r="A419" s="286"/>
      <c r="B419" s="556"/>
      <c r="C419" s="286"/>
    </row>
    <row r="420" spans="1:3">
      <c r="A420" s="286"/>
      <c r="B420" s="556"/>
      <c r="C420" s="286"/>
    </row>
    <row r="421" spans="1:3">
      <c r="A421" s="286"/>
      <c r="B421" s="556"/>
      <c r="C421" s="286"/>
    </row>
    <row r="422" spans="1:3">
      <c r="A422" s="286"/>
      <c r="B422" s="556"/>
      <c r="C422" s="286"/>
    </row>
    <row r="423" spans="1:3">
      <c r="A423" s="286"/>
      <c r="B423" s="556"/>
      <c r="C423" s="286"/>
    </row>
    <row r="424" spans="1:3">
      <c r="A424" s="286"/>
      <c r="B424" s="556"/>
      <c r="C424" s="286"/>
    </row>
    <row r="425" spans="1:3">
      <c r="A425" s="286"/>
      <c r="B425" s="556"/>
      <c r="C425" s="286"/>
    </row>
    <row r="426" spans="1:3">
      <c r="A426" s="286"/>
      <c r="B426" s="556"/>
      <c r="C426" s="286"/>
    </row>
    <row r="427" spans="1:3">
      <c r="A427" s="286"/>
      <c r="B427" s="556"/>
      <c r="C427" s="286"/>
    </row>
    <row r="428" spans="1:3">
      <c r="A428" s="286"/>
      <c r="B428" s="556"/>
      <c r="C428" s="286"/>
    </row>
    <row r="429" spans="1:3">
      <c r="A429" s="286"/>
      <c r="B429" s="556"/>
      <c r="C429" s="286"/>
    </row>
    <row r="430" spans="1:3">
      <c r="A430" s="286"/>
      <c r="B430" s="556"/>
      <c r="C430" s="286"/>
    </row>
    <row r="431" spans="1:3">
      <c r="A431" s="286"/>
      <c r="B431" s="556"/>
      <c r="C431" s="286"/>
    </row>
    <row r="432" spans="1:3">
      <c r="A432" s="286"/>
      <c r="B432" s="556"/>
      <c r="C432" s="286"/>
    </row>
    <row r="433" spans="1:3">
      <c r="A433" s="286"/>
      <c r="B433" s="556"/>
      <c r="C433" s="286"/>
    </row>
    <row r="434" spans="1:3">
      <c r="A434" s="286"/>
      <c r="B434" s="556"/>
      <c r="C434" s="286"/>
    </row>
    <row r="435" spans="1:3">
      <c r="A435" s="286"/>
      <c r="B435" s="556"/>
      <c r="C435" s="286"/>
    </row>
    <row r="436" spans="1:3">
      <c r="A436" s="286"/>
      <c r="B436" s="556"/>
      <c r="C436" s="286"/>
    </row>
    <row r="437" spans="1:3">
      <c r="A437" s="286"/>
      <c r="B437" s="556"/>
      <c r="C437" s="286"/>
    </row>
    <row r="438" spans="1:3">
      <c r="A438" s="286"/>
      <c r="B438" s="556"/>
      <c r="C438" s="286"/>
    </row>
    <row r="439" spans="1:3">
      <c r="A439" s="286"/>
      <c r="B439" s="556"/>
      <c r="C439" s="286"/>
    </row>
    <row r="440" spans="1:3">
      <c r="A440" s="286"/>
      <c r="B440" s="556"/>
      <c r="C440" s="286"/>
    </row>
    <row r="441" spans="1:3">
      <c r="A441" s="286"/>
      <c r="B441" s="556"/>
      <c r="C441" s="286"/>
    </row>
    <row r="442" spans="1:3">
      <c r="A442" s="286"/>
      <c r="B442" s="556"/>
      <c r="C442" s="286"/>
    </row>
    <row r="443" spans="1:3">
      <c r="A443" s="286"/>
      <c r="B443" s="556"/>
      <c r="C443" s="286"/>
    </row>
    <row r="444" spans="1:3">
      <c r="A444" s="286"/>
      <c r="B444" s="556"/>
      <c r="C444" s="286"/>
    </row>
    <row r="445" spans="1:3">
      <c r="A445" s="286"/>
      <c r="B445" s="556"/>
      <c r="C445" s="286"/>
    </row>
    <row r="446" spans="1:3">
      <c r="A446" s="286"/>
      <c r="B446" s="556"/>
      <c r="C446" s="286"/>
    </row>
    <row r="447" spans="1:3">
      <c r="A447" s="286"/>
      <c r="B447" s="556"/>
      <c r="C447" s="286"/>
    </row>
    <row r="448" spans="1:3">
      <c r="A448" s="286"/>
      <c r="B448" s="556"/>
      <c r="C448" s="286"/>
    </row>
    <row r="449" spans="1:3">
      <c r="A449" s="286"/>
      <c r="B449" s="556"/>
      <c r="C449" s="286"/>
    </row>
    <row r="450" spans="1:3">
      <c r="A450" s="286"/>
      <c r="B450" s="556"/>
      <c r="C450" s="286"/>
    </row>
    <row r="451" spans="1:3">
      <c r="A451" s="286"/>
      <c r="B451" s="556"/>
      <c r="C451" s="286"/>
    </row>
    <row r="452" spans="1:3">
      <c r="A452" s="286"/>
      <c r="B452" s="556"/>
      <c r="C452" s="286"/>
    </row>
    <row r="453" spans="1:3">
      <c r="A453" s="286"/>
      <c r="B453" s="556"/>
      <c r="C453" s="286"/>
    </row>
    <row r="454" spans="1:3">
      <c r="A454" s="286"/>
      <c r="B454" s="556"/>
      <c r="C454" s="286"/>
    </row>
    <row r="455" spans="1:3">
      <c r="A455" s="286"/>
      <c r="B455" s="556"/>
      <c r="C455" s="286"/>
    </row>
    <row r="456" spans="1:3">
      <c r="A456" s="286"/>
      <c r="B456" s="556"/>
      <c r="C456" s="286"/>
    </row>
    <row r="457" spans="1:3">
      <c r="A457" s="286"/>
      <c r="B457" s="556"/>
      <c r="C457" s="286"/>
    </row>
    <row r="458" spans="1:3">
      <c r="A458" s="286"/>
      <c r="B458" s="556"/>
      <c r="C458" s="286"/>
    </row>
    <row r="459" spans="1:3">
      <c r="A459" s="286"/>
      <c r="B459" s="556"/>
      <c r="C459" s="286"/>
    </row>
    <row r="460" spans="1:3">
      <c r="A460" s="286"/>
      <c r="B460" s="556"/>
      <c r="C460" s="286"/>
    </row>
    <row r="461" spans="1:3">
      <c r="A461" s="286"/>
      <c r="B461" s="556"/>
      <c r="C461" s="286"/>
    </row>
    <row r="462" spans="1:3">
      <c r="A462" s="286"/>
      <c r="B462" s="556"/>
      <c r="C462" s="286"/>
    </row>
    <row r="463" spans="1:3">
      <c r="A463" s="286"/>
      <c r="B463" s="556"/>
      <c r="C463" s="286"/>
    </row>
    <row r="464" spans="1:3">
      <c r="A464" s="286"/>
      <c r="B464" s="556"/>
      <c r="C464" s="286"/>
    </row>
    <row r="465" spans="1:3">
      <c r="A465" s="286"/>
      <c r="B465" s="556"/>
      <c r="C465" s="286"/>
    </row>
    <row r="466" spans="1:3">
      <c r="A466" s="286"/>
      <c r="B466" s="556"/>
      <c r="C466" s="286"/>
    </row>
    <row r="467" spans="1:3">
      <c r="A467" s="286"/>
      <c r="B467" s="556"/>
      <c r="C467" s="286"/>
    </row>
    <row r="468" spans="1:3">
      <c r="A468" s="286"/>
      <c r="B468" s="556"/>
      <c r="C468" s="286"/>
    </row>
    <row r="469" spans="1:3">
      <c r="A469" s="286"/>
      <c r="B469" s="556"/>
      <c r="C469" s="286"/>
    </row>
    <row r="470" spans="1:3">
      <c r="A470" s="286"/>
      <c r="B470" s="556"/>
      <c r="C470" s="286"/>
    </row>
    <row r="471" spans="1:3">
      <c r="A471" s="286"/>
      <c r="B471" s="556"/>
      <c r="C471" s="286"/>
    </row>
    <row r="472" spans="1:3">
      <c r="A472" s="286"/>
      <c r="B472" s="556"/>
      <c r="C472" s="286"/>
    </row>
    <row r="473" spans="1:3">
      <c r="A473" s="286"/>
      <c r="B473" s="556"/>
      <c r="C473" s="286"/>
    </row>
    <row r="474" spans="1:3">
      <c r="A474" s="286"/>
      <c r="B474" s="556"/>
      <c r="C474" s="286"/>
    </row>
    <row r="475" spans="1:3">
      <c r="A475" s="286"/>
      <c r="B475" s="556"/>
      <c r="C475" s="286"/>
    </row>
    <row r="476" spans="1:3">
      <c r="A476" s="286"/>
      <c r="B476" s="556"/>
      <c r="C476" s="286"/>
    </row>
    <row r="477" spans="1:3">
      <c r="A477" s="286"/>
      <c r="B477" s="556"/>
      <c r="C477" s="286"/>
    </row>
    <row r="478" spans="1:3">
      <c r="A478" s="286"/>
      <c r="B478" s="556"/>
      <c r="C478" s="286"/>
    </row>
    <row r="479" spans="1:3">
      <c r="A479" s="286"/>
      <c r="B479" s="556"/>
      <c r="C479" s="286"/>
    </row>
    <row r="480" spans="1:3">
      <c r="A480" s="286"/>
      <c r="B480" s="556"/>
      <c r="C480" s="286"/>
    </row>
    <row r="481" spans="1:3">
      <c r="A481" s="286"/>
      <c r="B481" s="556"/>
      <c r="C481" s="286"/>
    </row>
    <row r="482" spans="1:3">
      <c r="A482" s="286"/>
      <c r="B482" s="556"/>
      <c r="C482" s="286"/>
    </row>
    <row r="483" spans="1:3">
      <c r="A483" s="286"/>
      <c r="B483" s="556"/>
      <c r="C483" s="286"/>
    </row>
    <row r="484" spans="1:3">
      <c r="A484" s="286"/>
      <c r="B484" s="556"/>
      <c r="C484" s="286"/>
    </row>
    <row r="485" spans="1:3">
      <c r="A485" s="286"/>
      <c r="B485" s="556"/>
      <c r="C485" s="286"/>
    </row>
    <row r="486" spans="1:3">
      <c r="A486" s="286"/>
      <c r="B486" s="556"/>
      <c r="C486" s="286"/>
    </row>
    <row r="487" spans="1:3">
      <c r="A487" s="286"/>
      <c r="B487" s="556"/>
      <c r="C487" s="286"/>
    </row>
    <row r="488" spans="1:3">
      <c r="A488" s="286"/>
      <c r="B488" s="556"/>
      <c r="C488" s="286"/>
    </row>
    <row r="489" spans="1:3">
      <c r="A489" s="286"/>
      <c r="B489" s="556"/>
      <c r="C489" s="286"/>
    </row>
    <row r="490" spans="1:3">
      <c r="A490" s="286"/>
      <c r="B490" s="556"/>
      <c r="C490" s="286"/>
    </row>
    <row r="491" spans="1:3">
      <c r="A491" s="286"/>
      <c r="B491" s="556"/>
      <c r="C491" s="286"/>
    </row>
    <row r="492" spans="1:3">
      <c r="A492" s="286"/>
      <c r="B492" s="556"/>
      <c r="C492" s="286"/>
    </row>
    <row r="493" spans="1:3">
      <c r="A493" s="286"/>
      <c r="B493" s="556"/>
      <c r="C493" s="286"/>
    </row>
    <row r="494" spans="1:3">
      <c r="A494" s="286"/>
      <c r="B494" s="556"/>
      <c r="C494" s="286"/>
    </row>
    <row r="495" spans="1:3">
      <c r="A495" s="286"/>
      <c r="B495" s="556"/>
      <c r="C495" s="286"/>
    </row>
    <row r="496" spans="1:3">
      <c r="A496" s="286"/>
      <c r="B496" s="556"/>
      <c r="C496" s="286"/>
    </row>
    <row r="497" spans="1:3">
      <c r="A497" s="286"/>
      <c r="B497" s="556"/>
      <c r="C497" s="286"/>
    </row>
    <row r="498" spans="1:3">
      <c r="A498" s="286"/>
      <c r="B498" s="556"/>
      <c r="C498" s="286"/>
    </row>
    <row r="499" spans="1:3">
      <c r="A499" s="286"/>
      <c r="B499" s="556"/>
      <c r="C499" s="286"/>
    </row>
    <row r="500" spans="1:3">
      <c r="A500" s="286"/>
      <c r="B500" s="556"/>
      <c r="C500" s="286"/>
    </row>
    <row r="501" spans="1:3">
      <c r="A501" s="286"/>
      <c r="B501" s="556"/>
      <c r="C501" s="286"/>
    </row>
    <row r="502" spans="1:3">
      <c r="A502" s="286"/>
      <c r="B502" s="556"/>
      <c r="C502" s="286"/>
    </row>
    <row r="503" spans="1:3">
      <c r="A503" s="286"/>
      <c r="B503" s="556"/>
      <c r="C503" s="286"/>
    </row>
    <row r="504" spans="1:3">
      <c r="A504" s="286"/>
      <c r="B504" s="556"/>
      <c r="C504" s="286"/>
    </row>
    <row r="505" spans="1:3">
      <c r="A505" s="286"/>
      <c r="B505" s="556"/>
      <c r="C505" s="286"/>
    </row>
    <row r="506" spans="1:3">
      <c r="A506" s="286"/>
      <c r="B506" s="556"/>
      <c r="C506" s="286"/>
    </row>
    <row r="507" spans="1:3">
      <c r="A507" s="286"/>
      <c r="B507" s="556"/>
      <c r="C507" s="286"/>
    </row>
    <row r="508" spans="1:3">
      <c r="A508" s="286"/>
      <c r="B508" s="556"/>
      <c r="C508" s="286"/>
    </row>
    <row r="509" spans="1:3">
      <c r="A509" s="286"/>
      <c r="B509" s="556"/>
      <c r="C509" s="286"/>
    </row>
    <row r="510" spans="1:3">
      <c r="A510" s="286"/>
      <c r="B510" s="556"/>
      <c r="C510" s="286"/>
    </row>
    <row r="511" spans="1:3">
      <c r="A511" s="286"/>
      <c r="B511" s="556"/>
      <c r="C511" s="286"/>
    </row>
    <row r="512" spans="1:3">
      <c r="A512" s="286"/>
      <c r="B512" s="556"/>
      <c r="C512" s="286"/>
    </row>
    <row r="513" spans="1:3">
      <c r="A513" s="286"/>
      <c r="B513" s="556"/>
      <c r="C513" s="286"/>
    </row>
    <row r="514" spans="1:3">
      <c r="A514" s="286"/>
      <c r="B514" s="556"/>
      <c r="C514" s="286"/>
    </row>
    <row r="515" spans="1:3">
      <c r="A515" s="286"/>
      <c r="B515" s="556"/>
      <c r="C515" s="286"/>
    </row>
    <row r="516" spans="1:3">
      <c r="A516" s="286"/>
      <c r="B516" s="556"/>
      <c r="C516" s="286"/>
    </row>
    <row r="517" spans="1:3">
      <c r="A517" s="286"/>
      <c r="B517" s="556"/>
      <c r="C517" s="286"/>
    </row>
    <row r="518" spans="1:3">
      <c r="A518" s="286"/>
      <c r="B518" s="556"/>
      <c r="C518" s="286"/>
    </row>
    <row r="519" spans="1:3">
      <c r="A519" s="286"/>
      <c r="B519" s="556"/>
      <c r="C519" s="286"/>
    </row>
    <row r="520" spans="1:3">
      <c r="A520" s="286"/>
      <c r="B520" s="556"/>
      <c r="C520" s="286"/>
    </row>
    <row r="521" spans="1:3">
      <c r="A521" s="286"/>
      <c r="B521" s="556"/>
      <c r="C521" s="286"/>
    </row>
    <row r="522" spans="1:3">
      <c r="A522" s="286"/>
      <c r="B522" s="556"/>
      <c r="C522" s="286"/>
    </row>
    <row r="523" spans="1:3">
      <c r="A523" s="286"/>
      <c r="B523" s="556"/>
      <c r="C523" s="286"/>
    </row>
    <row r="524" spans="1:3">
      <c r="A524" s="286"/>
      <c r="B524" s="556"/>
      <c r="C524" s="286"/>
    </row>
    <row r="525" spans="1:3">
      <c r="A525" s="286"/>
      <c r="B525" s="556"/>
      <c r="C525" s="286"/>
    </row>
    <row r="526" spans="1:3">
      <c r="A526" s="286"/>
      <c r="B526" s="556"/>
      <c r="C526" s="286"/>
    </row>
    <row r="527" spans="1:3">
      <c r="A527" s="286"/>
      <c r="B527" s="556"/>
      <c r="C527" s="286"/>
    </row>
    <row r="528" spans="1:3">
      <c r="A528" s="286"/>
      <c r="B528" s="556"/>
      <c r="C528" s="286"/>
    </row>
    <row r="529" spans="1:3">
      <c r="A529" s="286"/>
      <c r="B529" s="556"/>
      <c r="C529" s="286"/>
    </row>
    <row r="530" spans="1:3">
      <c r="A530" s="286"/>
      <c r="B530" s="556"/>
      <c r="C530" s="286"/>
    </row>
    <row r="531" spans="1:3">
      <c r="A531" s="286"/>
      <c r="B531" s="556"/>
      <c r="C531" s="286"/>
    </row>
    <row r="532" spans="1:3">
      <c r="A532" s="286"/>
      <c r="B532" s="556"/>
      <c r="C532" s="286"/>
    </row>
    <row r="533" spans="1:3">
      <c r="A533" s="286"/>
      <c r="B533" s="556"/>
      <c r="C533" s="286"/>
    </row>
    <row r="534" spans="1:3">
      <c r="A534" s="286"/>
      <c r="B534" s="556"/>
      <c r="C534" s="286"/>
    </row>
    <row r="535" spans="1:3">
      <c r="A535" s="286"/>
      <c r="B535" s="556"/>
      <c r="C535" s="286"/>
    </row>
    <row r="536" spans="1:3">
      <c r="A536" s="286"/>
      <c r="B536" s="556"/>
      <c r="C536" s="286"/>
    </row>
    <row r="537" spans="1:3">
      <c r="A537" s="286"/>
      <c r="B537" s="556"/>
      <c r="C537" s="286"/>
    </row>
    <row r="538" spans="1:3">
      <c r="A538" s="286"/>
      <c r="B538" s="556"/>
      <c r="C538" s="286"/>
    </row>
    <row r="539" spans="1:3">
      <c r="A539" s="286"/>
      <c r="B539" s="556"/>
      <c r="C539" s="286"/>
    </row>
    <row r="540" spans="1:3">
      <c r="A540" s="286"/>
      <c r="B540" s="556"/>
      <c r="C540" s="286"/>
    </row>
    <row r="541" spans="1:3">
      <c r="A541" s="286"/>
      <c r="B541" s="556"/>
      <c r="C541" s="286"/>
    </row>
    <row r="542" spans="1:3">
      <c r="A542" s="286"/>
      <c r="B542" s="556"/>
      <c r="C542" s="286"/>
    </row>
    <row r="543" spans="1:3">
      <c r="A543" s="286"/>
      <c r="B543" s="556"/>
      <c r="C543" s="286"/>
    </row>
    <row r="544" spans="1:3">
      <c r="A544" s="286"/>
      <c r="B544" s="556"/>
      <c r="C544" s="286"/>
    </row>
    <row r="545" spans="1:3">
      <c r="A545" s="286"/>
      <c r="B545" s="556"/>
      <c r="C545" s="286"/>
    </row>
    <row r="546" spans="1:3">
      <c r="A546" s="286"/>
      <c r="B546" s="556"/>
      <c r="C546" s="286"/>
    </row>
    <row r="547" spans="1:3">
      <c r="A547" s="286"/>
      <c r="B547" s="556"/>
      <c r="C547" s="286"/>
    </row>
    <row r="548" spans="1:3">
      <c r="A548" s="286"/>
      <c r="B548" s="556"/>
      <c r="C548" s="286"/>
    </row>
    <row r="549" spans="1:3">
      <c r="A549" s="286"/>
      <c r="B549" s="556"/>
      <c r="C549" s="286"/>
    </row>
    <row r="550" spans="1:3">
      <c r="A550" s="286"/>
      <c r="B550" s="556"/>
      <c r="C550" s="286"/>
    </row>
    <row r="551" spans="1:3">
      <c r="A551" s="286"/>
      <c r="B551" s="556"/>
      <c r="C551" s="286"/>
    </row>
    <row r="552" spans="1:3">
      <c r="A552" s="286"/>
      <c r="B552" s="556"/>
      <c r="C552" s="286"/>
    </row>
    <row r="553" spans="1:3">
      <c r="A553" s="286"/>
      <c r="B553" s="556"/>
      <c r="C553" s="286"/>
    </row>
    <row r="554" spans="1:3">
      <c r="A554" s="286"/>
      <c r="B554" s="556"/>
      <c r="C554" s="286"/>
    </row>
    <row r="555" spans="1:3">
      <c r="A555" s="286"/>
      <c r="B555" s="556"/>
      <c r="C555" s="286"/>
    </row>
    <row r="556" spans="1:3">
      <c r="A556" s="286"/>
      <c r="B556" s="556"/>
      <c r="C556" s="286"/>
    </row>
    <row r="557" spans="1:3">
      <c r="A557" s="286"/>
      <c r="B557" s="556"/>
      <c r="C557" s="286"/>
    </row>
    <row r="558" spans="1:3">
      <c r="A558" s="286"/>
      <c r="B558" s="556"/>
      <c r="C558" s="286"/>
    </row>
    <row r="559" spans="1:3">
      <c r="A559" s="286"/>
      <c r="B559" s="556"/>
      <c r="C559" s="286"/>
    </row>
    <row r="560" spans="1:3">
      <c r="A560" s="286"/>
      <c r="B560" s="556"/>
      <c r="C560" s="286"/>
    </row>
    <row r="561" spans="1:3">
      <c r="A561" s="286"/>
      <c r="B561" s="556"/>
      <c r="C561" s="286"/>
    </row>
    <row r="562" spans="1:3">
      <c r="A562" s="286"/>
      <c r="B562" s="556"/>
      <c r="C562" s="286"/>
    </row>
    <row r="563" spans="1:3">
      <c r="A563" s="286"/>
      <c r="B563" s="556"/>
      <c r="C563" s="286"/>
    </row>
    <row r="564" spans="1:3">
      <c r="A564" s="286"/>
      <c r="B564" s="556"/>
      <c r="C564" s="286"/>
    </row>
    <row r="565" spans="1:3">
      <c r="A565" s="286"/>
      <c r="B565" s="556"/>
      <c r="C565" s="286"/>
    </row>
    <row r="566" spans="1:3">
      <c r="A566" s="286"/>
      <c r="B566" s="556"/>
      <c r="C566" s="286"/>
    </row>
    <row r="567" spans="1:3">
      <c r="A567" s="286"/>
      <c r="B567" s="556"/>
      <c r="C567" s="286"/>
    </row>
    <row r="568" spans="1:3">
      <c r="A568" s="286"/>
      <c r="B568" s="556"/>
      <c r="C568" s="286"/>
    </row>
    <row r="569" spans="1:3">
      <c r="A569" s="286"/>
      <c r="B569" s="556"/>
      <c r="C569" s="286"/>
    </row>
    <row r="570" spans="1:3">
      <c r="A570" s="286"/>
      <c r="B570" s="556"/>
      <c r="C570" s="286"/>
    </row>
    <row r="571" spans="1:3">
      <c r="A571" s="286"/>
      <c r="B571" s="556"/>
      <c r="C571" s="286"/>
    </row>
    <row r="572" spans="1:3">
      <c r="A572" s="286"/>
      <c r="B572" s="556"/>
      <c r="C572" s="286"/>
    </row>
    <row r="573" spans="1:3">
      <c r="A573" s="286"/>
      <c r="B573" s="556"/>
      <c r="C573" s="286"/>
    </row>
    <row r="574" spans="1:3">
      <c r="A574" s="286"/>
      <c r="B574" s="556"/>
      <c r="C574" s="286"/>
    </row>
    <row r="575" spans="1:3">
      <c r="A575" s="286"/>
      <c r="B575" s="556"/>
      <c r="C575" s="286"/>
    </row>
    <row r="576" spans="1:3">
      <c r="A576" s="286"/>
      <c r="B576" s="556"/>
      <c r="C576" s="286"/>
    </row>
    <row r="577" spans="1:3">
      <c r="A577" s="286"/>
      <c r="B577" s="556"/>
      <c r="C577" s="286"/>
    </row>
    <row r="578" spans="1:3">
      <c r="A578" s="286"/>
      <c r="B578" s="556"/>
      <c r="C578" s="286"/>
    </row>
    <row r="579" spans="1:3">
      <c r="A579" s="286"/>
      <c r="B579" s="556"/>
      <c r="C579" s="286"/>
    </row>
    <row r="580" spans="1:3">
      <c r="A580" s="286"/>
      <c r="B580" s="556"/>
      <c r="C580" s="286"/>
    </row>
    <row r="581" spans="1:3">
      <c r="A581" s="286"/>
      <c r="B581" s="556"/>
      <c r="C581" s="286"/>
    </row>
    <row r="582" spans="1:3">
      <c r="A582" s="286"/>
      <c r="B582" s="556"/>
      <c r="C582" s="286"/>
    </row>
    <row r="583" spans="1:3">
      <c r="A583" s="286"/>
      <c r="B583" s="556"/>
      <c r="C583" s="286"/>
    </row>
    <row r="584" spans="1:3">
      <c r="A584" s="286"/>
      <c r="B584" s="556"/>
      <c r="C584" s="286"/>
    </row>
    <row r="585" spans="1:3">
      <c r="A585" s="286"/>
      <c r="B585" s="556"/>
      <c r="C585" s="286"/>
    </row>
    <row r="586" spans="1:3">
      <c r="A586" s="286"/>
      <c r="B586" s="556"/>
      <c r="C586" s="286"/>
    </row>
    <row r="587" spans="1:3">
      <c r="A587" s="286"/>
      <c r="B587" s="556"/>
      <c r="C587" s="286"/>
    </row>
    <row r="588" spans="1:3">
      <c r="A588" s="286"/>
      <c r="B588" s="556"/>
      <c r="C588" s="286"/>
    </row>
    <row r="589" spans="1:3">
      <c r="A589" s="286"/>
      <c r="B589" s="556"/>
      <c r="C589" s="286"/>
    </row>
    <row r="590" spans="1:3">
      <c r="A590" s="286"/>
      <c r="B590" s="556"/>
      <c r="C590" s="286"/>
    </row>
    <row r="591" spans="1:3">
      <c r="A591" s="286"/>
      <c r="B591" s="556"/>
      <c r="C591" s="286"/>
    </row>
    <row r="592" spans="1:3">
      <c r="A592" s="286"/>
      <c r="B592" s="556"/>
      <c r="C592" s="286"/>
    </row>
    <row r="593" spans="1:3">
      <c r="A593" s="286"/>
      <c r="B593" s="556"/>
      <c r="C593" s="286"/>
    </row>
    <row r="594" spans="1:3">
      <c r="A594" s="286"/>
      <c r="B594" s="556"/>
      <c r="C594" s="286"/>
    </row>
    <row r="595" spans="1:3">
      <c r="A595" s="286"/>
      <c r="B595" s="556"/>
      <c r="C595" s="286"/>
    </row>
    <row r="596" spans="1:3">
      <c r="A596" s="286"/>
      <c r="B596" s="556"/>
      <c r="C596" s="286"/>
    </row>
    <row r="597" spans="1:3">
      <c r="A597" s="286"/>
      <c r="B597" s="556"/>
      <c r="C597" s="286"/>
    </row>
    <row r="598" spans="1:3">
      <c r="A598" s="286"/>
      <c r="B598" s="556"/>
      <c r="C598" s="286"/>
    </row>
    <row r="599" spans="1:3">
      <c r="A599" s="286"/>
      <c r="B599" s="556"/>
      <c r="C599" s="286"/>
    </row>
    <row r="600" spans="1:3">
      <c r="A600" s="286"/>
      <c r="B600" s="556"/>
      <c r="C600" s="286"/>
    </row>
    <row r="601" spans="1:3">
      <c r="A601" s="286"/>
      <c r="B601" s="556"/>
      <c r="C601" s="286"/>
    </row>
    <row r="602" spans="1:3">
      <c r="A602" s="286"/>
      <c r="B602" s="556"/>
      <c r="C602" s="286"/>
    </row>
    <row r="603" spans="1:3">
      <c r="A603" s="286"/>
      <c r="B603" s="556"/>
      <c r="C603" s="286"/>
    </row>
    <row r="604" spans="1:3">
      <c r="A604" s="286"/>
      <c r="B604" s="556"/>
      <c r="C604" s="286"/>
    </row>
    <row r="605" spans="1:3">
      <c r="A605" s="286"/>
      <c r="B605" s="556"/>
      <c r="C605" s="286"/>
    </row>
    <row r="606" spans="1:3">
      <c r="A606" s="286"/>
      <c r="B606" s="556"/>
      <c r="C606" s="286"/>
    </row>
    <row r="607" spans="1:3">
      <c r="A607" s="286"/>
      <c r="B607" s="556"/>
      <c r="C607" s="286"/>
    </row>
    <row r="608" spans="1:3">
      <c r="A608" s="286"/>
      <c r="B608" s="556"/>
      <c r="C608" s="286"/>
    </row>
    <row r="609" spans="1:3">
      <c r="A609" s="286"/>
      <c r="B609" s="556"/>
      <c r="C609" s="286"/>
    </row>
    <row r="610" spans="1:3">
      <c r="A610" s="286"/>
      <c r="B610" s="556"/>
      <c r="C610" s="286"/>
    </row>
    <row r="611" spans="1:3">
      <c r="A611" s="286"/>
      <c r="B611" s="556"/>
      <c r="C611" s="286"/>
    </row>
    <row r="612" spans="1:3">
      <c r="A612" s="286"/>
      <c r="B612" s="556"/>
      <c r="C612" s="286"/>
    </row>
    <row r="613" spans="1:3">
      <c r="A613" s="286"/>
      <c r="B613" s="556"/>
      <c r="C613" s="286"/>
    </row>
    <row r="614" spans="1:3">
      <c r="A614" s="286"/>
      <c r="B614" s="556"/>
      <c r="C614" s="286"/>
    </row>
    <row r="615" spans="1:3">
      <c r="A615" s="286"/>
      <c r="B615" s="556"/>
      <c r="C615" s="286"/>
    </row>
    <row r="616" spans="1:3">
      <c r="A616" s="286"/>
      <c r="B616" s="556"/>
      <c r="C616" s="286"/>
    </row>
    <row r="617" spans="1:3">
      <c r="A617" s="286"/>
      <c r="B617" s="556"/>
      <c r="C617" s="286"/>
    </row>
    <row r="618" spans="1:3">
      <c r="A618" s="286"/>
      <c r="B618" s="556"/>
      <c r="C618" s="286"/>
    </row>
    <row r="619" spans="1:3">
      <c r="A619" s="286"/>
      <c r="B619" s="556"/>
      <c r="C619" s="286"/>
    </row>
    <row r="620" spans="1:3">
      <c r="A620" s="286"/>
      <c r="B620" s="556"/>
      <c r="C620" s="286"/>
    </row>
    <row r="621" spans="1:3">
      <c r="A621" s="286"/>
      <c r="B621" s="556"/>
      <c r="C621" s="286"/>
    </row>
    <row r="622" spans="1:3">
      <c r="A622" s="286"/>
      <c r="B622" s="556"/>
      <c r="C622" s="286"/>
    </row>
    <row r="623" spans="1:3">
      <c r="A623" s="286"/>
      <c r="B623" s="556"/>
      <c r="C623" s="286"/>
    </row>
    <row r="624" spans="1:3">
      <c r="A624" s="286"/>
      <c r="B624" s="556"/>
      <c r="C624" s="286"/>
    </row>
    <row r="625" spans="1:3">
      <c r="A625" s="286"/>
      <c r="B625" s="556"/>
      <c r="C625" s="286"/>
    </row>
    <row r="626" spans="1:3">
      <c r="A626" s="286"/>
      <c r="B626" s="556"/>
      <c r="C626" s="286"/>
    </row>
    <row r="627" spans="1:3">
      <c r="A627" s="286"/>
      <c r="B627" s="556"/>
      <c r="C627" s="286"/>
    </row>
    <row r="628" spans="1:3">
      <c r="A628" s="286"/>
      <c r="B628" s="556"/>
      <c r="C628" s="286"/>
    </row>
    <row r="629" spans="1:3">
      <c r="A629" s="286"/>
      <c r="B629" s="556"/>
      <c r="C629" s="286"/>
    </row>
    <row r="630" spans="1:3">
      <c r="A630" s="286"/>
      <c r="B630" s="556"/>
      <c r="C630" s="286"/>
    </row>
    <row r="631" spans="1:3">
      <c r="A631" s="286"/>
      <c r="B631" s="556"/>
      <c r="C631" s="286"/>
    </row>
    <row r="632" spans="1:3">
      <c r="A632" s="286"/>
      <c r="B632" s="556"/>
      <c r="C632" s="286"/>
    </row>
    <row r="633" spans="1:3">
      <c r="A633" s="286"/>
      <c r="B633" s="556"/>
      <c r="C633" s="286"/>
    </row>
    <row r="634" spans="1:3">
      <c r="A634" s="286"/>
      <c r="B634" s="556"/>
      <c r="C634" s="286"/>
    </row>
    <row r="635" spans="1:3">
      <c r="A635" s="286"/>
      <c r="B635" s="556"/>
      <c r="C635" s="286"/>
    </row>
    <row r="636" spans="1:3">
      <c r="A636" s="286"/>
      <c r="B636" s="556"/>
      <c r="C636" s="286"/>
    </row>
    <row r="637" spans="1:3">
      <c r="A637" s="286"/>
      <c r="B637" s="556"/>
      <c r="C637" s="286"/>
    </row>
    <row r="638" spans="1:3">
      <c r="A638" s="286"/>
      <c r="B638" s="556"/>
      <c r="C638" s="286"/>
    </row>
    <row r="639" spans="1:3">
      <c r="A639" s="286"/>
      <c r="B639" s="556"/>
      <c r="C639" s="286"/>
    </row>
    <row r="640" spans="1:3">
      <c r="A640" s="286"/>
      <c r="B640" s="556"/>
      <c r="C640" s="286"/>
    </row>
    <row r="641" spans="1:3">
      <c r="A641" s="286"/>
      <c r="B641" s="556"/>
      <c r="C641" s="286"/>
    </row>
    <row r="642" spans="1:3">
      <c r="A642" s="286"/>
      <c r="B642" s="556"/>
      <c r="C642" s="286"/>
    </row>
    <row r="643" spans="1:3">
      <c r="A643" s="286"/>
      <c r="B643" s="556"/>
      <c r="C643" s="286"/>
    </row>
    <row r="644" spans="1:3">
      <c r="A644" s="286"/>
      <c r="B644" s="556"/>
      <c r="C644" s="286"/>
    </row>
    <row r="645" spans="1:3">
      <c r="A645" s="286"/>
      <c r="B645" s="556"/>
      <c r="C645" s="286"/>
    </row>
    <row r="646" spans="1:3">
      <c r="A646" s="286"/>
      <c r="B646" s="556"/>
      <c r="C646" s="286"/>
    </row>
    <row r="647" spans="1:3">
      <c r="A647" s="286"/>
      <c r="B647" s="556"/>
      <c r="C647" s="286"/>
    </row>
    <row r="648" spans="1:3">
      <c r="A648" s="286"/>
      <c r="B648" s="556"/>
      <c r="C648" s="286"/>
    </row>
    <row r="649" spans="1:3">
      <c r="A649" s="286"/>
      <c r="B649" s="556"/>
      <c r="C649" s="286"/>
    </row>
    <row r="650" spans="1:3">
      <c r="A650" s="286"/>
      <c r="B650" s="556"/>
      <c r="C650" s="286"/>
    </row>
    <row r="651" spans="1:3">
      <c r="A651" s="286"/>
      <c r="B651" s="556"/>
      <c r="C651" s="286"/>
    </row>
    <row r="652" spans="1:3">
      <c r="A652" s="286"/>
      <c r="B652" s="556"/>
      <c r="C652" s="286"/>
    </row>
    <row r="653" spans="1:3">
      <c r="A653" s="286"/>
      <c r="B653" s="556"/>
      <c r="C653" s="286"/>
    </row>
    <row r="654" spans="1:3">
      <c r="A654" s="286"/>
      <c r="B654" s="556"/>
      <c r="C654" s="286"/>
    </row>
    <row r="655" spans="1:3">
      <c r="A655" s="286"/>
      <c r="B655" s="556"/>
      <c r="C655" s="286"/>
    </row>
    <row r="656" spans="1:3">
      <c r="A656" s="286"/>
      <c r="B656" s="556"/>
      <c r="C656" s="286"/>
    </row>
    <row r="657" spans="1:3">
      <c r="A657" s="286"/>
      <c r="B657" s="556"/>
      <c r="C657" s="286"/>
    </row>
    <row r="658" spans="1:3">
      <c r="A658" s="286"/>
      <c r="B658" s="556"/>
      <c r="C658" s="286"/>
    </row>
    <row r="659" spans="1:3">
      <c r="A659" s="286"/>
      <c r="B659" s="556"/>
      <c r="C659" s="286"/>
    </row>
    <row r="660" spans="1:3">
      <c r="A660" s="286"/>
      <c r="B660" s="556"/>
      <c r="C660" s="286"/>
    </row>
    <row r="661" spans="1:3">
      <c r="A661" s="286"/>
      <c r="B661" s="556"/>
      <c r="C661" s="286"/>
    </row>
    <row r="662" spans="1:3">
      <c r="A662" s="286"/>
      <c r="B662" s="556"/>
      <c r="C662" s="286"/>
    </row>
    <row r="663" spans="1:3">
      <c r="A663" s="286"/>
      <c r="B663" s="556"/>
      <c r="C663" s="286"/>
    </row>
    <row r="664" spans="1:3">
      <c r="A664" s="286"/>
      <c r="B664" s="556"/>
      <c r="C664" s="286"/>
    </row>
    <row r="665" spans="1:3">
      <c r="A665" s="286"/>
      <c r="B665" s="556"/>
      <c r="C665" s="286"/>
    </row>
    <row r="666" spans="1:3">
      <c r="A666" s="286"/>
      <c r="B666" s="556"/>
      <c r="C666" s="286"/>
    </row>
    <row r="667" spans="1:3">
      <c r="A667" s="286"/>
      <c r="B667" s="556"/>
      <c r="C667" s="286"/>
    </row>
    <row r="668" spans="1:3">
      <c r="A668" s="286"/>
      <c r="B668" s="556"/>
      <c r="C668" s="286"/>
    </row>
    <row r="669" spans="1:3">
      <c r="A669" s="286"/>
      <c r="B669" s="556"/>
      <c r="C669" s="286"/>
    </row>
    <row r="670" spans="1:3">
      <c r="A670" s="286"/>
      <c r="B670" s="556"/>
      <c r="C670" s="286"/>
    </row>
    <row r="671" spans="1:3">
      <c r="A671" s="286"/>
      <c r="B671" s="556"/>
      <c r="C671" s="286"/>
    </row>
    <row r="672" spans="1:3">
      <c r="A672" s="286"/>
      <c r="B672" s="556"/>
      <c r="C672" s="286"/>
    </row>
    <row r="673" spans="1:3">
      <c r="A673" s="286"/>
      <c r="B673" s="556"/>
      <c r="C673" s="286"/>
    </row>
    <row r="674" spans="1:3">
      <c r="A674" s="286"/>
      <c r="B674" s="556"/>
      <c r="C674" s="286"/>
    </row>
    <row r="675" spans="1:3">
      <c r="A675" s="286"/>
      <c r="B675" s="556"/>
      <c r="C675" s="286"/>
    </row>
    <row r="676" spans="1:3">
      <c r="A676" s="286"/>
      <c r="B676" s="556"/>
      <c r="C676" s="286"/>
    </row>
    <row r="677" spans="1:3">
      <c r="A677" s="286"/>
      <c r="B677" s="556"/>
      <c r="C677" s="286"/>
    </row>
    <row r="678" spans="1:3">
      <c r="A678" s="286"/>
      <c r="B678" s="556"/>
      <c r="C678" s="286"/>
    </row>
    <row r="679" spans="1:3">
      <c r="A679" s="286"/>
      <c r="B679" s="556"/>
      <c r="C679" s="286"/>
    </row>
    <row r="680" spans="1:3">
      <c r="A680" s="286"/>
      <c r="B680" s="556"/>
      <c r="C680" s="286"/>
    </row>
    <row r="681" spans="1:3">
      <c r="A681" s="286"/>
      <c r="B681" s="556"/>
      <c r="C681" s="286"/>
    </row>
    <row r="682" spans="1:3">
      <c r="A682" s="286"/>
      <c r="B682" s="556"/>
      <c r="C682" s="286"/>
    </row>
    <row r="683" spans="1:3">
      <c r="A683" s="286"/>
      <c r="B683" s="556"/>
      <c r="C683" s="286"/>
    </row>
    <row r="684" spans="1:3">
      <c r="A684" s="286"/>
      <c r="B684" s="556"/>
      <c r="C684" s="286"/>
    </row>
    <row r="685" spans="1:3">
      <c r="A685" s="286"/>
      <c r="B685" s="556"/>
      <c r="C685" s="286"/>
    </row>
    <row r="686" spans="1:3">
      <c r="A686" s="286"/>
      <c r="B686" s="556"/>
      <c r="C686" s="286"/>
    </row>
    <row r="687" spans="1:3">
      <c r="A687" s="286"/>
      <c r="B687" s="556"/>
      <c r="C687" s="286"/>
    </row>
    <row r="688" spans="1:3">
      <c r="A688" s="286"/>
      <c r="B688" s="556"/>
      <c r="C688" s="286"/>
    </row>
    <row r="689" spans="1:3">
      <c r="A689" s="286"/>
      <c r="B689" s="556"/>
      <c r="C689" s="286"/>
    </row>
    <row r="690" spans="1:3">
      <c r="A690" s="286"/>
      <c r="B690" s="556"/>
      <c r="C690" s="286"/>
    </row>
    <row r="691" spans="1:3">
      <c r="A691" s="286"/>
      <c r="B691" s="556"/>
      <c r="C691" s="286"/>
    </row>
    <row r="692" spans="1:3">
      <c r="A692" s="286"/>
      <c r="B692" s="556"/>
      <c r="C692" s="286"/>
    </row>
    <row r="693" spans="1:3">
      <c r="A693" s="286"/>
      <c r="B693" s="556"/>
      <c r="C693" s="286"/>
    </row>
    <row r="694" spans="1:3">
      <c r="A694" s="286"/>
      <c r="B694" s="556"/>
      <c r="C694" s="286"/>
    </row>
    <row r="695" spans="1:3">
      <c r="A695" s="286"/>
      <c r="B695" s="556"/>
      <c r="C695" s="286"/>
    </row>
    <row r="696" spans="1:3">
      <c r="A696" s="286"/>
      <c r="B696" s="556"/>
      <c r="C696" s="286"/>
    </row>
    <row r="697" spans="1:3">
      <c r="A697" s="286"/>
      <c r="B697" s="556"/>
      <c r="C697" s="286"/>
    </row>
    <row r="698" spans="1:3">
      <c r="A698" s="286"/>
      <c r="B698" s="556"/>
      <c r="C698" s="286"/>
    </row>
    <row r="699" spans="1:3">
      <c r="A699" s="286"/>
      <c r="B699" s="556"/>
      <c r="C699" s="286"/>
    </row>
    <row r="700" spans="1:3">
      <c r="A700" s="286"/>
      <c r="B700" s="556"/>
      <c r="C700" s="286"/>
    </row>
    <row r="701" spans="1:3">
      <c r="A701" s="286"/>
      <c r="B701" s="556"/>
      <c r="C701" s="286"/>
    </row>
    <row r="702" spans="1:3">
      <c r="A702" s="286"/>
      <c r="B702" s="556"/>
      <c r="C702" s="286"/>
    </row>
    <row r="703" spans="1:3">
      <c r="A703" s="286"/>
      <c r="B703" s="556"/>
      <c r="C703" s="286"/>
    </row>
    <row r="704" spans="1:3">
      <c r="A704" s="286"/>
      <c r="B704" s="556"/>
      <c r="C704" s="286"/>
    </row>
    <row r="705" spans="1:3">
      <c r="A705" s="286"/>
      <c r="B705" s="556"/>
      <c r="C705" s="286"/>
    </row>
    <row r="706" spans="1:3">
      <c r="A706" s="286"/>
      <c r="B706" s="556"/>
      <c r="C706" s="286"/>
    </row>
    <row r="707" spans="1:3">
      <c r="A707" s="286"/>
      <c r="B707" s="556"/>
      <c r="C707" s="286"/>
    </row>
    <row r="708" spans="1:3">
      <c r="A708" s="286"/>
      <c r="B708" s="556"/>
      <c r="C708" s="286"/>
    </row>
    <row r="709" spans="1:3">
      <c r="A709" s="286"/>
      <c r="B709" s="556"/>
      <c r="C709" s="286"/>
    </row>
    <row r="710" spans="1:3">
      <c r="A710" s="286"/>
      <c r="B710" s="556"/>
      <c r="C710" s="286"/>
    </row>
    <row r="711" spans="1:3">
      <c r="A711" s="286"/>
      <c r="B711" s="556"/>
      <c r="C711" s="286"/>
    </row>
    <row r="712" spans="1:3">
      <c r="A712" s="286"/>
      <c r="B712" s="556"/>
      <c r="C712" s="286"/>
    </row>
    <row r="713" spans="1:3">
      <c r="A713" s="286"/>
      <c r="B713" s="556"/>
      <c r="C713" s="286"/>
    </row>
    <row r="714" spans="1:3">
      <c r="A714" s="286"/>
      <c r="B714" s="556"/>
      <c r="C714" s="286"/>
    </row>
    <row r="715" spans="1:3">
      <c r="A715" s="286"/>
      <c r="B715" s="556"/>
      <c r="C715" s="286"/>
    </row>
    <row r="716" spans="1:3">
      <c r="A716" s="286"/>
      <c r="B716" s="556"/>
      <c r="C716" s="286"/>
    </row>
    <row r="717" spans="1:3">
      <c r="A717" s="286"/>
      <c r="B717" s="556"/>
      <c r="C717" s="286"/>
    </row>
    <row r="718" spans="1:3">
      <c r="A718" s="286"/>
      <c r="B718" s="556"/>
      <c r="C718" s="286"/>
    </row>
    <row r="719" spans="1:3">
      <c r="A719" s="286"/>
      <c r="B719" s="556"/>
      <c r="C719" s="286"/>
    </row>
    <row r="720" spans="1:3">
      <c r="A720" s="286"/>
      <c r="B720" s="556"/>
      <c r="C720" s="286"/>
    </row>
    <row r="721" spans="1:3">
      <c r="A721" s="286"/>
      <c r="B721" s="556"/>
      <c r="C721" s="286"/>
    </row>
    <row r="722" spans="1:3">
      <c r="A722" s="286"/>
      <c r="B722" s="556"/>
      <c r="C722" s="286"/>
    </row>
    <row r="723" spans="1:3">
      <c r="A723" s="286"/>
      <c r="B723" s="556"/>
      <c r="C723" s="286"/>
    </row>
    <row r="724" spans="1:3">
      <c r="A724" s="286"/>
      <c r="B724" s="556"/>
      <c r="C724" s="286"/>
    </row>
    <row r="725" spans="1:3">
      <c r="A725" s="286"/>
      <c r="B725" s="556"/>
      <c r="C725" s="286"/>
    </row>
    <row r="726" spans="1:3">
      <c r="A726" s="286"/>
      <c r="B726" s="556"/>
      <c r="C726" s="286"/>
    </row>
    <row r="727" spans="1:3">
      <c r="A727" s="286"/>
      <c r="B727" s="556"/>
      <c r="C727" s="286"/>
    </row>
    <row r="728" spans="1:3">
      <c r="A728" s="286"/>
      <c r="B728" s="556"/>
      <c r="C728" s="286"/>
    </row>
    <row r="729" spans="1:3">
      <c r="A729" s="286"/>
      <c r="B729" s="556"/>
      <c r="C729" s="286"/>
    </row>
    <row r="730" spans="1:3">
      <c r="A730" s="286"/>
      <c r="B730" s="556"/>
      <c r="C730" s="286"/>
    </row>
    <row r="731" spans="1:3">
      <c r="A731" s="286"/>
      <c r="B731" s="556"/>
      <c r="C731" s="286"/>
    </row>
    <row r="732" spans="1:3">
      <c r="A732" s="286"/>
      <c r="B732" s="556"/>
      <c r="C732" s="286"/>
    </row>
    <row r="733" spans="1:3">
      <c r="A733" s="286"/>
      <c r="B733" s="556"/>
      <c r="C733" s="286"/>
    </row>
    <row r="734" spans="1:3">
      <c r="A734" s="286"/>
      <c r="B734" s="556"/>
      <c r="C734" s="286"/>
    </row>
    <row r="735" spans="1:3">
      <c r="A735" s="286"/>
      <c r="B735" s="556"/>
      <c r="C735" s="286"/>
    </row>
    <row r="736" spans="1:3">
      <c r="A736" s="286"/>
      <c r="B736" s="556"/>
      <c r="C736" s="286"/>
    </row>
    <row r="737" spans="1:3">
      <c r="A737" s="286"/>
      <c r="B737" s="556"/>
      <c r="C737" s="286"/>
    </row>
    <row r="738" spans="1:3">
      <c r="A738" s="286"/>
      <c r="B738" s="556"/>
      <c r="C738" s="286"/>
    </row>
    <row r="739" spans="1:3">
      <c r="A739" s="286"/>
      <c r="B739" s="556"/>
      <c r="C739" s="286"/>
    </row>
    <row r="740" spans="1:3">
      <c r="A740" s="286"/>
      <c r="B740" s="556"/>
      <c r="C740" s="286"/>
    </row>
    <row r="741" spans="1:3">
      <c r="A741" s="286"/>
      <c r="B741" s="556"/>
      <c r="C741" s="286"/>
    </row>
    <row r="742" spans="1:3">
      <c r="A742" s="286"/>
      <c r="B742" s="556"/>
      <c r="C742" s="286"/>
    </row>
    <row r="743" spans="1:3">
      <c r="A743" s="286"/>
      <c r="B743" s="556"/>
      <c r="C743" s="286"/>
    </row>
    <row r="744" spans="1:3">
      <c r="A744" s="286"/>
      <c r="B744" s="556"/>
      <c r="C744" s="286"/>
    </row>
    <row r="745" spans="1:3">
      <c r="A745" s="286"/>
      <c r="B745" s="556"/>
      <c r="C745" s="286"/>
    </row>
    <row r="746" spans="1:3">
      <c r="A746" s="286"/>
      <c r="B746" s="556"/>
      <c r="C746" s="286"/>
    </row>
    <row r="747" spans="1:3">
      <c r="A747" s="286"/>
      <c r="B747" s="556"/>
      <c r="C747" s="286"/>
    </row>
    <row r="748" spans="1:3">
      <c r="A748" s="286"/>
      <c r="B748" s="556"/>
      <c r="C748" s="286"/>
    </row>
    <row r="749" spans="1:3">
      <c r="A749" s="286"/>
      <c r="B749" s="556"/>
      <c r="C749" s="286"/>
    </row>
    <row r="750" spans="1:3">
      <c r="A750" s="286"/>
      <c r="B750" s="556"/>
      <c r="C750" s="286"/>
    </row>
    <row r="751" spans="1:3">
      <c r="A751" s="286"/>
      <c r="B751" s="556"/>
      <c r="C751" s="286"/>
    </row>
    <row r="752" spans="1:3">
      <c r="A752" s="286"/>
      <c r="B752" s="556"/>
      <c r="C752" s="286"/>
    </row>
    <row r="753" spans="1:3">
      <c r="A753" s="286"/>
      <c r="B753" s="556"/>
      <c r="C753" s="286"/>
    </row>
    <row r="754" spans="1:3">
      <c r="A754" s="286"/>
      <c r="B754" s="556"/>
      <c r="C754" s="286"/>
    </row>
    <row r="755" spans="1:3">
      <c r="A755" s="286"/>
      <c r="B755" s="556"/>
      <c r="C755" s="286"/>
    </row>
    <row r="756" spans="1:3">
      <c r="A756" s="286"/>
      <c r="B756" s="556"/>
      <c r="C756" s="286"/>
    </row>
    <row r="757" spans="1:3">
      <c r="A757" s="286"/>
      <c r="B757" s="556"/>
      <c r="C757" s="286"/>
    </row>
    <row r="758" spans="1:3">
      <c r="A758" s="286"/>
      <c r="B758" s="556"/>
      <c r="C758" s="286"/>
    </row>
    <row r="759" spans="1:3">
      <c r="A759" s="286"/>
      <c r="B759" s="556"/>
      <c r="C759" s="286"/>
    </row>
    <row r="760" spans="1:3">
      <c r="A760" s="286"/>
      <c r="B760" s="556"/>
      <c r="C760" s="286"/>
    </row>
    <row r="761" spans="1:3">
      <c r="A761" s="286"/>
      <c r="B761" s="556"/>
      <c r="C761" s="286"/>
    </row>
    <row r="762" spans="1:3">
      <c r="A762" s="286"/>
      <c r="B762" s="556"/>
      <c r="C762" s="286"/>
    </row>
    <row r="763" spans="1:3">
      <c r="A763" s="286"/>
      <c r="B763" s="556"/>
      <c r="C763" s="286"/>
    </row>
    <row r="764" spans="1:3">
      <c r="A764" s="286"/>
      <c r="B764" s="556"/>
      <c r="C764" s="286"/>
    </row>
    <row r="765" spans="1:3">
      <c r="A765" s="286"/>
      <c r="B765" s="556"/>
      <c r="C765" s="286"/>
    </row>
    <row r="766" spans="1:3">
      <c r="A766" s="286"/>
      <c r="B766" s="556"/>
      <c r="C766" s="286"/>
    </row>
    <row r="767" spans="1:3">
      <c r="A767" s="286"/>
      <c r="B767" s="556"/>
      <c r="C767" s="286"/>
    </row>
    <row r="768" spans="1:3">
      <c r="A768" s="286"/>
      <c r="B768" s="556"/>
      <c r="C768" s="286"/>
    </row>
    <row r="769" spans="1:3">
      <c r="A769" s="286"/>
      <c r="B769" s="556"/>
      <c r="C769" s="286"/>
    </row>
    <row r="770" spans="1:3">
      <c r="A770" s="286"/>
      <c r="B770" s="556"/>
      <c r="C770" s="286"/>
    </row>
    <row r="771" spans="1:3">
      <c r="A771" s="286"/>
      <c r="B771" s="556"/>
      <c r="C771" s="286"/>
    </row>
    <row r="772" spans="1:3">
      <c r="A772" s="286"/>
      <c r="B772" s="556"/>
      <c r="C772" s="286"/>
    </row>
    <row r="773" spans="1:3">
      <c r="A773" s="286"/>
      <c r="B773" s="556"/>
      <c r="C773" s="286"/>
    </row>
    <row r="774" spans="1:3">
      <c r="A774" s="286"/>
      <c r="B774" s="556"/>
      <c r="C774" s="286"/>
    </row>
    <row r="775" spans="1:3">
      <c r="A775" s="286"/>
      <c r="B775" s="556"/>
      <c r="C775" s="286"/>
    </row>
    <row r="776" spans="1:3">
      <c r="A776" s="286"/>
      <c r="B776" s="556"/>
      <c r="C776" s="286"/>
    </row>
    <row r="777" spans="1:3">
      <c r="A777" s="286"/>
      <c r="B777" s="556"/>
      <c r="C777" s="286"/>
    </row>
    <row r="778" spans="1:3">
      <c r="A778" s="286"/>
      <c r="B778" s="556"/>
      <c r="C778" s="286"/>
    </row>
    <row r="779" spans="1:3">
      <c r="A779" s="286"/>
      <c r="B779" s="556"/>
      <c r="C779" s="286"/>
    </row>
    <row r="780" spans="1:3">
      <c r="A780" s="286"/>
      <c r="B780" s="556"/>
      <c r="C780" s="286"/>
    </row>
    <row r="781" spans="1:3">
      <c r="A781" s="286"/>
      <c r="B781" s="556"/>
      <c r="C781" s="286"/>
    </row>
    <row r="782" spans="1:3">
      <c r="A782" s="286"/>
      <c r="B782" s="556"/>
      <c r="C782" s="286"/>
    </row>
    <row r="783" spans="1:3">
      <c r="A783" s="286"/>
      <c r="B783" s="556"/>
      <c r="C783" s="286"/>
    </row>
    <row r="784" spans="1:3">
      <c r="A784" s="286"/>
      <c r="B784" s="556"/>
      <c r="C784" s="286"/>
    </row>
    <row r="785" spans="1:3">
      <c r="A785" s="286"/>
      <c r="B785" s="556"/>
      <c r="C785" s="286"/>
    </row>
    <row r="786" spans="1:3">
      <c r="A786" s="286"/>
      <c r="B786" s="556"/>
      <c r="C786" s="286"/>
    </row>
    <row r="787" spans="1:3">
      <c r="A787" s="286"/>
      <c r="B787" s="556"/>
      <c r="C787" s="286"/>
    </row>
    <row r="788" spans="1:3">
      <c r="A788" s="286"/>
      <c r="B788" s="556"/>
      <c r="C788" s="286"/>
    </row>
    <row r="789" spans="1:3">
      <c r="A789" s="286"/>
      <c r="B789" s="556"/>
      <c r="C789" s="286"/>
    </row>
    <row r="790" spans="1:3">
      <c r="A790" s="286"/>
      <c r="B790" s="556"/>
      <c r="C790" s="286"/>
    </row>
    <row r="791" spans="1:3">
      <c r="A791" s="286"/>
      <c r="B791" s="556"/>
      <c r="C791" s="286"/>
    </row>
    <row r="792" spans="1:3">
      <c r="A792" s="286"/>
      <c r="B792" s="556"/>
      <c r="C792" s="286"/>
    </row>
    <row r="793" spans="1:3">
      <c r="A793" s="286"/>
      <c r="B793" s="556"/>
      <c r="C793" s="286"/>
    </row>
    <row r="794" spans="1:3">
      <c r="A794" s="286"/>
      <c r="B794" s="556"/>
      <c r="C794" s="286"/>
    </row>
    <row r="795" spans="1:3">
      <c r="A795" s="286"/>
      <c r="B795" s="556"/>
      <c r="C795" s="286"/>
    </row>
    <row r="796" spans="1:3">
      <c r="A796" s="286"/>
      <c r="B796" s="556"/>
      <c r="C796" s="286"/>
    </row>
    <row r="797" spans="1:3">
      <c r="A797" s="286"/>
      <c r="B797" s="556"/>
      <c r="C797" s="286"/>
    </row>
    <row r="798" spans="1:3">
      <c r="A798" s="286"/>
      <c r="B798" s="556"/>
      <c r="C798" s="286"/>
    </row>
    <row r="799" spans="1:3">
      <c r="A799" s="286"/>
      <c r="B799" s="556"/>
      <c r="C799" s="286"/>
    </row>
    <row r="800" spans="1:3">
      <c r="A800" s="286"/>
      <c r="B800" s="556"/>
      <c r="C800" s="286"/>
    </row>
    <row r="801" spans="1:3">
      <c r="A801" s="286"/>
      <c r="B801" s="556"/>
      <c r="C801" s="286"/>
    </row>
    <row r="802" spans="1:3">
      <c r="A802" s="286"/>
      <c r="B802" s="556"/>
      <c r="C802" s="286"/>
    </row>
    <row r="803" spans="1:3">
      <c r="A803" s="286"/>
      <c r="B803" s="556"/>
      <c r="C803" s="286"/>
    </row>
    <row r="804" spans="1:3">
      <c r="A804" s="286"/>
      <c r="B804" s="556"/>
      <c r="C804" s="286"/>
    </row>
    <row r="805" spans="1:3">
      <c r="A805" s="286"/>
      <c r="B805" s="556"/>
      <c r="C805" s="286"/>
    </row>
    <row r="806" spans="1:3">
      <c r="A806" s="286"/>
      <c r="B806" s="556"/>
      <c r="C806" s="286"/>
    </row>
    <row r="807" spans="1:3">
      <c r="A807" s="286"/>
      <c r="B807" s="556"/>
      <c r="C807" s="286"/>
    </row>
    <row r="808" spans="1:3">
      <c r="A808" s="286"/>
      <c r="B808" s="556"/>
      <c r="C808" s="286"/>
    </row>
    <row r="809" spans="1:3">
      <c r="A809" s="286"/>
      <c r="B809" s="556"/>
      <c r="C809" s="286"/>
    </row>
    <row r="810" spans="1:3">
      <c r="A810" s="286"/>
      <c r="B810" s="556"/>
      <c r="C810" s="286"/>
    </row>
    <row r="811" spans="1:3">
      <c r="A811" s="286"/>
      <c r="B811" s="556"/>
      <c r="C811" s="286"/>
    </row>
    <row r="812" spans="1:3">
      <c r="A812" s="286"/>
      <c r="B812" s="556"/>
      <c r="C812" s="286"/>
    </row>
    <row r="813" spans="1:3">
      <c r="A813" s="286"/>
      <c r="B813" s="556"/>
      <c r="C813" s="286"/>
    </row>
    <row r="814" spans="1:3">
      <c r="A814" s="286"/>
      <c r="B814" s="556"/>
      <c r="C814" s="286"/>
    </row>
    <row r="815" spans="1:3">
      <c r="A815" s="286"/>
      <c r="B815" s="556"/>
      <c r="C815" s="286"/>
    </row>
    <row r="816" spans="1:3">
      <c r="A816" s="286"/>
      <c r="B816" s="556"/>
      <c r="C816" s="286"/>
    </row>
    <row r="817" spans="1:3">
      <c r="A817" s="286"/>
      <c r="B817" s="556"/>
      <c r="C817" s="286"/>
    </row>
    <row r="818" spans="1:3">
      <c r="A818" s="286"/>
      <c r="B818" s="556"/>
      <c r="C818" s="286"/>
    </row>
    <row r="819" spans="1:3">
      <c r="A819" s="286"/>
      <c r="B819" s="556"/>
      <c r="C819" s="286"/>
    </row>
    <row r="820" spans="1:3">
      <c r="A820" s="286"/>
      <c r="B820" s="556"/>
      <c r="C820" s="286"/>
    </row>
    <row r="821" spans="1:3">
      <c r="A821" s="286"/>
      <c r="B821" s="556"/>
      <c r="C821" s="286"/>
    </row>
    <row r="822" spans="1:3">
      <c r="A822" s="286"/>
      <c r="B822" s="556"/>
      <c r="C822" s="286"/>
    </row>
    <row r="823" spans="1:3">
      <c r="A823" s="286"/>
      <c r="B823" s="556"/>
      <c r="C823" s="286"/>
    </row>
    <row r="824" spans="1:3">
      <c r="A824" s="286"/>
      <c r="B824" s="556"/>
      <c r="C824" s="286"/>
    </row>
    <row r="825" spans="1:3">
      <c r="A825" s="286"/>
      <c r="B825" s="556"/>
      <c r="C825" s="286"/>
    </row>
    <row r="826" spans="1:3">
      <c r="A826" s="286"/>
      <c r="B826" s="556"/>
      <c r="C826" s="286"/>
    </row>
    <row r="827" spans="1:3">
      <c r="A827" s="286"/>
      <c r="B827" s="556"/>
      <c r="C827" s="286"/>
    </row>
    <row r="828" spans="1:3">
      <c r="A828" s="286"/>
      <c r="B828" s="556"/>
      <c r="C828" s="286"/>
    </row>
    <row r="829" spans="1:3">
      <c r="A829" s="286"/>
      <c r="B829" s="556"/>
      <c r="C829" s="286"/>
    </row>
    <row r="830" spans="1:3">
      <c r="A830" s="286"/>
      <c r="B830" s="556"/>
      <c r="C830" s="286"/>
    </row>
    <row r="831" spans="1:3">
      <c r="A831" s="286"/>
      <c r="B831" s="556"/>
      <c r="C831" s="286"/>
    </row>
    <row r="832" spans="1:3">
      <c r="A832" s="286"/>
      <c r="B832" s="556"/>
      <c r="C832" s="286"/>
    </row>
    <row r="833" spans="1:3">
      <c r="A833" s="286"/>
      <c r="B833" s="556"/>
      <c r="C833" s="286"/>
    </row>
    <row r="834" spans="1:3">
      <c r="A834" s="286"/>
      <c r="B834" s="556"/>
      <c r="C834" s="286"/>
    </row>
    <row r="835" spans="1:3">
      <c r="A835" s="286"/>
      <c r="B835" s="556"/>
      <c r="C835" s="286"/>
    </row>
    <row r="836" spans="1:3">
      <c r="A836" s="286"/>
      <c r="B836" s="556"/>
      <c r="C836" s="286"/>
    </row>
    <row r="837" spans="1:3">
      <c r="A837" s="286"/>
      <c r="B837" s="556"/>
      <c r="C837" s="286"/>
    </row>
    <row r="838" spans="1:3">
      <c r="A838" s="286"/>
      <c r="B838" s="556"/>
      <c r="C838" s="286"/>
    </row>
    <row r="839" spans="1:3">
      <c r="A839" s="286"/>
      <c r="B839" s="556"/>
      <c r="C839" s="286"/>
    </row>
    <row r="840" spans="1:3">
      <c r="A840" s="286"/>
      <c r="B840" s="556"/>
      <c r="C840" s="286"/>
    </row>
    <row r="841" spans="1:3">
      <c r="A841" s="286"/>
      <c r="B841" s="556"/>
      <c r="C841" s="286"/>
    </row>
    <row r="842" spans="1:3">
      <c r="A842" s="286"/>
      <c r="B842" s="556"/>
      <c r="C842" s="286"/>
    </row>
    <row r="843" spans="1:3">
      <c r="A843" s="286"/>
      <c r="B843" s="556"/>
      <c r="C843" s="286"/>
    </row>
    <row r="844" spans="1:3">
      <c r="A844" s="286"/>
      <c r="B844" s="556"/>
      <c r="C844" s="286"/>
    </row>
    <row r="845" spans="1:3">
      <c r="A845" s="286"/>
      <c r="B845" s="556"/>
      <c r="C845" s="286"/>
    </row>
    <row r="846" spans="1:3">
      <c r="A846" s="286"/>
      <c r="B846" s="556"/>
      <c r="C846" s="286"/>
    </row>
    <row r="847" spans="1:3">
      <c r="A847" s="286"/>
      <c r="B847" s="556"/>
      <c r="C847" s="286"/>
    </row>
    <row r="848" spans="1:3">
      <c r="A848" s="286"/>
      <c r="B848" s="556"/>
      <c r="C848" s="286"/>
    </row>
    <row r="849" spans="1:3">
      <c r="A849" s="286"/>
      <c r="B849" s="556"/>
      <c r="C849" s="286"/>
    </row>
    <row r="850" spans="1:3">
      <c r="A850" s="286"/>
      <c r="B850" s="556"/>
      <c r="C850" s="286"/>
    </row>
    <row r="851" spans="1:3">
      <c r="A851" s="286"/>
      <c r="B851" s="556"/>
      <c r="C851" s="286"/>
    </row>
    <row r="852" spans="1:3">
      <c r="A852" s="286"/>
      <c r="B852" s="556"/>
      <c r="C852" s="286"/>
    </row>
    <row r="853" spans="1:3">
      <c r="A853" s="286"/>
      <c r="B853" s="556"/>
      <c r="C853" s="286"/>
    </row>
    <row r="854" spans="1:3">
      <c r="A854" s="286"/>
      <c r="B854" s="556"/>
      <c r="C854" s="286"/>
    </row>
    <row r="855" spans="1:3">
      <c r="A855" s="286"/>
      <c r="B855" s="556"/>
      <c r="C855" s="286"/>
    </row>
    <row r="856" spans="1:3">
      <c r="A856" s="286"/>
      <c r="B856" s="556"/>
      <c r="C856" s="286"/>
    </row>
    <row r="857" spans="1:3">
      <c r="A857" s="286"/>
      <c r="B857" s="556"/>
      <c r="C857" s="286"/>
    </row>
    <row r="858" spans="1:3">
      <c r="A858" s="286"/>
      <c r="B858" s="556"/>
      <c r="C858" s="286"/>
    </row>
    <row r="859" spans="1:3">
      <c r="A859" s="286"/>
      <c r="B859" s="556"/>
      <c r="C859" s="286"/>
    </row>
    <row r="860" spans="1:3">
      <c r="A860" s="286"/>
      <c r="B860" s="556"/>
      <c r="C860" s="286"/>
    </row>
    <row r="861" spans="1:3">
      <c r="A861" s="286"/>
      <c r="B861" s="556"/>
      <c r="C861" s="286"/>
    </row>
    <row r="862" spans="1:3">
      <c r="A862" s="286"/>
      <c r="B862" s="556"/>
      <c r="C862" s="286"/>
    </row>
    <row r="863" spans="1:3">
      <c r="A863" s="286"/>
      <c r="B863" s="556"/>
      <c r="C863" s="286"/>
    </row>
    <row r="864" spans="1:3">
      <c r="A864" s="286"/>
      <c r="B864" s="556"/>
      <c r="C864" s="286"/>
    </row>
    <row r="865" spans="1:3">
      <c r="A865" s="286"/>
      <c r="B865" s="556"/>
      <c r="C865" s="286"/>
    </row>
    <row r="866" spans="1:3">
      <c r="A866" s="286"/>
      <c r="B866" s="556"/>
      <c r="C866" s="286"/>
    </row>
    <row r="867" spans="1:3">
      <c r="A867" s="286"/>
      <c r="B867" s="556"/>
      <c r="C867" s="286"/>
    </row>
    <row r="868" spans="1:3">
      <c r="A868" s="286"/>
      <c r="B868" s="556"/>
      <c r="C868" s="286"/>
    </row>
    <row r="869" spans="1:3">
      <c r="A869" s="286"/>
      <c r="B869" s="556"/>
      <c r="C869" s="286"/>
    </row>
    <row r="870" spans="1:3">
      <c r="A870" s="286"/>
      <c r="B870" s="556"/>
      <c r="C870" s="286"/>
    </row>
    <row r="871" spans="1:3">
      <c r="A871" s="286"/>
      <c r="B871" s="556"/>
      <c r="C871" s="286"/>
    </row>
    <row r="872" spans="1:3">
      <c r="A872" s="286"/>
      <c r="B872" s="556"/>
      <c r="C872" s="286"/>
    </row>
    <row r="873" spans="1:3">
      <c r="A873" s="286"/>
      <c r="B873" s="556"/>
      <c r="C873" s="286"/>
    </row>
    <row r="874" spans="1:3">
      <c r="A874" s="286"/>
      <c r="B874" s="556"/>
      <c r="C874" s="286"/>
    </row>
    <row r="875" spans="1:3">
      <c r="A875" s="286"/>
      <c r="B875" s="556"/>
      <c r="C875" s="286"/>
    </row>
    <row r="876" spans="1:3">
      <c r="A876" s="286"/>
      <c r="B876" s="556"/>
      <c r="C876" s="286"/>
    </row>
    <row r="877" spans="1:3">
      <c r="A877" s="286"/>
      <c r="B877" s="556"/>
      <c r="C877" s="286"/>
    </row>
    <row r="878" spans="1:3">
      <c r="A878" s="286"/>
      <c r="B878" s="556"/>
      <c r="C878" s="286"/>
    </row>
    <row r="879" spans="1:3">
      <c r="A879" s="286"/>
      <c r="B879" s="556"/>
      <c r="C879" s="286"/>
    </row>
    <row r="880" spans="1:3">
      <c r="A880" s="286"/>
      <c r="B880" s="556"/>
      <c r="C880" s="286"/>
    </row>
    <row r="881" spans="1:3">
      <c r="A881" s="286"/>
      <c r="B881" s="556"/>
      <c r="C881" s="286"/>
    </row>
    <row r="882" spans="1:3">
      <c r="A882" s="286"/>
      <c r="B882" s="556"/>
      <c r="C882" s="286"/>
    </row>
    <row r="883" spans="1:3">
      <c r="A883" s="286"/>
      <c r="B883" s="556"/>
      <c r="C883" s="286"/>
    </row>
    <row r="884" spans="1:3">
      <c r="A884" s="286"/>
      <c r="B884" s="556"/>
      <c r="C884" s="286"/>
    </row>
    <row r="885" spans="1:3">
      <c r="A885" s="286"/>
      <c r="B885" s="556"/>
      <c r="C885" s="286"/>
    </row>
    <row r="886" spans="1:3">
      <c r="A886" s="286"/>
      <c r="B886" s="556"/>
      <c r="C886" s="286"/>
    </row>
    <row r="887" spans="1:3">
      <c r="A887" s="286"/>
      <c r="B887" s="556"/>
      <c r="C887" s="286"/>
    </row>
    <row r="888" spans="1:3">
      <c r="A888" s="286"/>
      <c r="B888" s="556"/>
      <c r="C888" s="286"/>
    </row>
    <row r="889" spans="1:3">
      <c r="A889" s="286"/>
      <c r="B889" s="556"/>
      <c r="C889" s="286"/>
    </row>
    <row r="890" spans="1:3">
      <c r="A890" s="286"/>
      <c r="B890" s="556"/>
      <c r="C890" s="286"/>
    </row>
    <row r="891" spans="1:3">
      <c r="A891" s="286"/>
      <c r="B891" s="556"/>
      <c r="C891" s="286"/>
    </row>
    <row r="892" spans="1:3">
      <c r="A892" s="286"/>
      <c r="B892" s="556"/>
      <c r="C892" s="286"/>
    </row>
    <row r="893" spans="1:3">
      <c r="A893" s="286"/>
      <c r="B893" s="556"/>
      <c r="C893" s="286"/>
    </row>
    <row r="894" spans="1:3">
      <c r="A894" s="286"/>
      <c r="B894" s="556"/>
      <c r="C894" s="286"/>
    </row>
    <row r="895" spans="1:3">
      <c r="A895" s="286"/>
      <c r="B895" s="556"/>
      <c r="C895" s="286"/>
    </row>
    <row r="896" spans="1:3">
      <c r="A896" s="286"/>
      <c r="B896" s="556"/>
      <c r="C896" s="286"/>
    </row>
    <row r="897" spans="1:3">
      <c r="A897" s="286"/>
      <c r="B897" s="556"/>
      <c r="C897" s="286"/>
    </row>
    <row r="898" spans="1:3">
      <c r="A898" s="286"/>
      <c r="B898" s="556"/>
      <c r="C898" s="286"/>
    </row>
    <row r="899" spans="1:3">
      <c r="A899" s="286"/>
      <c r="B899" s="556"/>
      <c r="C899" s="286"/>
    </row>
    <row r="900" spans="1:3">
      <c r="A900" s="286"/>
      <c r="B900" s="556"/>
      <c r="C900" s="286"/>
    </row>
    <row r="901" spans="1:3">
      <c r="A901" s="286"/>
      <c r="B901" s="556"/>
      <c r="C901" s="286"/>
    </row>
    <row r="902" spans="1:3">
      <c r="A902" s="286"/>
      <c r="B902" s="556"/>
      <c r="C902" s="286"/>
    </row>
    <row r="903" spans="1:3">
      <c r="A903" s="286"/>
      <c r="B903" s="556"/>
      <c r="C903" s="286"/>
    </row>
    <row r="904" spans="1:3">
      <c r="A904" s="286"/>
      <c r="B904" s="556"/>
      <c r="C904" s="286"/>
    </row>
    <row r="905" spans="1:3">
      <c r="A905" s="286"/>
      <c r="B905" s="556"/>
      <c r="C905" s="286"/>
    </row>
    <row r="906" spans="1:3">
      <c r="A906" s="286"/>
      <c r="B906" s="556"/>
      <c r="C906" s="286"/>
    </row>
    <row r="907" spans="1:3">
      <c r="A907" s="286"/>
      <c r="B907" s="556"/>
      <c r="C907" s="286"/>
    </row>
    <row r="908" spans="1:3">
      <c r="A908" s="286"/>
      <c r="B908" s="556"/>
      <c r="C908" s="286"/>
    </row>
    <row r="909" spans="1:3">
      <c r="A909" s="286"/>
      <c r="B909" s="556"/>
      <c r="C909" s="286"/>
    </row>
    <row r="910" spans="1:3">
      <c r="A910" s="286"/>
      <c r="B910" s="556"/>
      <c r="C910" s="286"/>
    </row>
    <row r="911" spans="1:3">
      <c r="A911" s="286"/>
      <c r="B911" s="556"/>
      <c r="C911" s="286"/>
    </row>
    <row r="912" spans="1:3">
      <c r="A912" s="286"/>
      <c r="B912" s="556"/>
      <c r="C912" s="286"/>
    </row>
    <row r="913" spans="1:3">
      <c r="A913" s="286"/>
      <c r="B913" s="556"/>
      <c r="C913" s="286"/>
    </row>
    <row r="914" spans="1:3">
      <c r="A914" s="286"/>
      <c r="B914" s="556"/>
      <c r="C914" s="286"/>
    </row>
    <row r="915" spans="1:3">
      <c r="A915" s="286"/>
      <c r="B915" s="556"/>
      <c r="C915" s="286"/>
    </row>
    <row r="916" spans="1:3">
      <c r="A916" s="286"/>
      <c r="B916" s="556"/>
      <c r="C916" s="286"/>
    </row>
    <row r="917" spans="1:3">
      <c r="A917" s="286"/>
      <c r="B917" s="556"/>
      <c r="C917" s="286"/>
    </row>
    <row r="918" spans="1:3">
      <c r="A918" s="286"/>
      <c r="B918" s="556"/>
      <c r="C918" s="286"/>
    </row>
    <row r="919" spans="1:3">
      <c r="A919" s="286"/>
      <c r="B919" s="556"/>
      <c r="C919" s="286"/>
    </row>
    <row r="920" spans="1:3">
      <c r="A920" s="286"/>
      <c r="B920" s="556"/>
      <c r="C920" s="286"/>
    </row>
    <row r="921" spans="1:3">
      <c r="A921" s="286"/>
      <c r="B921" s="556"/>
      <c r="C921" s="286"/>
    </row>
    <row r="922" spans="1:3">
      <c r="A922" s="286"/>
      <c r="B922" s="556"/>
      <c r="C922" s="286"/>
    </row>
    <row r="923" spans="1:3">
      <c r="A923" s="286"/>
      <c r="B923" s="556"/>
      <c r="C923" s="286"/>
    </row>
    <row r="924" spans="1:3">
      <c r="A924" s="286"/>
      <c r="B924" s="556"/>
      <c r="C924" s="286"/>
    </row>
    <row r="925" spans="1:3">
      <c r="A925" s="286"/>
      <c r="B925" s="556"/>
      <c r="C925" s="286"/>
    </row>
    <row r="926" spans="1:3">
      <c r="A926" s="286"/>
      <c r="B926" s="556"/>
      <c r="C926" s="286"/>
    </row>
    <row r="927" spans="1:3">
      <c r="A927" s="286"/>
      <c r="B927" s="556"/>
      <c r="C927" s="286"/>
    </row>
    <row r="928" spans="1:3">
      <c r="A928" s="286"/>
      <c r="B928" s="556"/>
      <c r="C928" s="286"/>
    </row>
    <row r="929" spans="1:3">
      <c r="A929" s="286"/>
      <c r="B929" s="556"/>
      <c r="C929" s="286"/>
    </row>
    <row r="930" spans="1:3">
      <c r="A930" s="286"/>
      <c r="B930" s="556"/>
      <c r="C930" s="286"/>
    </row>
    <row r="931" spans="1:3">
      <c r="A931" s="286"/>
      <c r="B931" s="556"/>
      <c r="C931" s="286"/>
    </row>
    <row r="932" spans="1:3">
      <c r="A932" s="286"/>
      <c r="B932" s="556"/>
      <c r="C932" s="286"/>
    </row>
    <row r="933" spans="1:3">
      <c r="A933" s="286"/>
      <c r="B933" s="556"/>
      <c r="C933" s="286"/>
    </row>
    <row r="934" spans="1:3">
      <c r="A934" s="286"/>
      <c r="B934" s="556"/>
      <c r="C934" s="286"/>
    </row>
    <row r="935" spans="1:3">
      <c r="A935" s="286"/>
      <c r="B935" s="556"/>
      <c r="C935" s="286"/>
    </row>
    <row r="936" spans="1:3">
      <c r="A936" s="286"/>
      <c r="B936" s="556"/>
      <c r="C936" s="286"/>
    </row>
    <row r="937" spans="1:3">
      <c r="A937" s="286"/>
      <c r="B937" s="556"/>
      <c r="C937" s="286"/>
    </row>
    <row r="938" spans="1:3">
      <c r="A938" s="286"/>
      <c r="B938" s="556"/>
      <c r="C938" s="286"/>
    </row>
    <row r="939" spans="1:3">
      <c r="A939" s="286"/>
      <c r="B939" s="556"/>
      <c r="C939" s="286"/>
    </row>
    <row r="940" spans="1:3">
      <c r="A940" s="286"/>
      <c r="B940" s="556"/>
      <c r="C940" s="286"/>
    </row>
    <row r="941" spans="1:3">
      <c r="A941" s="286"/>
      <c r="B941" s="556"/>
      <c r="C941" s="286"/>
    </row>
    <row r="942" spans="1:3">
      <c r="A942" s="286"/>
      <c r="B942" s="556"/>
      <c r="C942" s="286"/>
    </row>
    <row r="943" spans="1:3">
      <c r="A943" s="286"/>
      <c r="B943" s="556"/>
      <c r="C943" s="286"/>
    </row>
    <row r="944" spans="1:3">
      <c r="A944" s="286"/>
      <c r="B944" s="556"/>
      <c r="C944" s="286"/>
    </row>
    <row r="945" spans="1:3">
      <c r="A945" s="286"/>
      <c r="B945" s="556"/>
      <c r="C945" s="286"/>
    </row>
    <row r="946" spans="1:3">
      <c r="A946" s="286"/>
      <c r="B946" s="556"/>
      <c r="C946" s="286"/>
    </row>
    <row r="947" spans="1:3">
      <c r="A947" s="286"/>
      <c r="B947" s="556"/>
      <c r="C947" s="286"/>
    </row>
    <row r="948" spans="1:3">
      <c r="A948" s="286"/>
      <c r="B948" s="556"/>
      <c r="C948" s="286"/>
    </row>
    <row r="949" spans="1:3">
      <c r="A949" s="286"/>
      <c r="B949" s="556"/>
      <c r="C949" s="286"/>
    </row>
    <row r="950" spans="1:3">
      <c r="A950" s="286"/>
      <c r="B950" s="556"/>
      <c r="C950" s="286"/>
    </row>
    <row r="951" spans="1:3">
      <c r="A951" s="286"/>
      <c r="B951" s="556"/>
      <c r="C951" s="286"/>
    </row>
    <row r="952" spans="1:3">
      <c r="A952" s="286"/>
      <c r="B952" s="556"/>
      <c r="C952" s="286"/>
    </row>
    <row r="953" spans="1:3">
      <c r="A953" s="286"/>
      <c r="B953" s="556"/>
      <c r="C953" s="286"/>
    </row>
    <row r="954" spans="1:3">
      <c r="A954" s="286"/>
      <c r="B954" s="556"/>
      <c r="C954" s="286"/>
    </row>
    <row r="955" spans="1:3">
      <c r="A955" s="286"/>
      <c r="B955" s="556"/>
      <c r="C955" s="286"/>
    </row>
    <row r="956" spans="1:3">
      <c r="A956" s="286"/>
      <c r="B956" s="556"/>
      <c r="C956" s="286"/>
    </row>
    <row r="957" spans="1:3">
      <c r="A957" s="286"/>
      <c r="B957" s="556"/>
      <c r="C957" s="286"/>
    </row>
    <row r="958" spans="1:3">
      <c r="A958" s="286"/>
      <c r="B958" s="556"/>
      <c r="C958" s="286"/>
    </row>
    <row r="959" spans="1:3">
      <c r="A959" s="286"/>
      <c r="B959" s="556"/>
      <c r="C959" s="286"/>
    </row>
    <row r="960" spans="1:3">
      <c r="A960" s="286"/>
      <c r="B960" s="556"/>
      <c r="C960" s="286"/>
    </row>
    <row r="961" spans="1:3">
      <c r="A961" s="286"/>
      <c r="B961" s="556"/>
      <c r="C961" s="286"/>
    </row>
    <row r="962" spans="1:3">
      <c r="A962" s="286"/>
      <c r="B962" s="556"/>
      <c r="C962" s="286"/>
    </row>
    <row r="963" spans="1:3">
      <c r="A963" s="286"/>
      <c r="B963" s="556"/>
      <c r="C963" s="286"/>
    </row>
    <row r="964" spans="1:3">
      <c r="A964" s="286"/>
      <c r="B964" s="556"/>
      <c r="C964" s="286"/>
    </row>
    <row r="965" spans="1:3">
      <c r="A965" s="286"/>
      <c r="B965" s="556"/>
      <c r="C965" s="286"/>
    </row>
    <row r="966" spans="1:3">
      <c r="A966" s="286"/>
      <c r="B966" s="556"/>
      <c r="C966" s="286"/>
    </row>
    <row r="967" spans="1:3">
      <c r="A967" s="286"/>
      <c r="B967" s="556"/>
      <c r="C967" s="286"/>
    </row>
    <row r="968" spans="1:3">
      <c r="A968" s="286"/>
      <c r="B968" s="556"/>
      <c r="C968" s="286"/>
    </row>
    <row r="969" spans="1:3">
      <c r="A969" s="286"/>
      <c r="B969" s="556"/>
      <c r="C969" s="286"/>
    </row>
    <row r="970" spans="1:3">
      <c r="A970" s="286"/>
      <c r="B970" s="556"/>
      <c r="C970" s="286"/>
    </row>
    <row r="971" spans="1:3">
      <c r="A971" s="286"/>
      <c r="B971" s="556"/>
      <c r="C971" s="286"/>
    </row>
    <row r="972" spans="1:3">
      <c r="A972" s="286"/>
      <c r="B972" s="556"/>
      <c r="C972" s="286"/>
    </row>
    <row r="973" spans="1:3">
      <c r="A973" s="286"/>
      <c r="B973" s="556"/>
      <c r="C973" s="286"/>
    </row>
    <row r="974" spans="1:3">
      <c r="A974" s="286"/>
      <c r="B974" s="556"/>
      <c r="C974" s="286"/>
    </row>
    <row r="975" spans="1:3">
      <c r="A975" s="286"/>
      <c r="B975" s="556"/>
      <c r="C975" s="286"/>
    </row>
    <row r="976" spans="1:3">
      <c r="A976" s="286"/>
      <c r="B976" s="556"/>
      <c r="C976" s="286"/>
    </row>
    <row r="977" spans="1:3">
      <c r="A977" s="286"/>
      <c r="B977" s="556"/>
      <c r="C977" s="286"/>
    </row>
    <row r="978" spans="1:3">
      <c r="A978" s="286"/>
      <c r="B978" s="556"/>
      <c r="C978" s="286"/>
    </row>
    <row r="979" spans="1:3">
      <c r="A979" s="286"/>
      <c r="B979" s="556"/>
      <c r="C979" s="286"/>
    </row>
    <row r="980" spans="1:3">
      <c r="A980" s="286"/>
      <c r="B980" s="556"/>
      <c r="C980" s="286"/>
    </row>
    <row r="981" spans="1:3">
      <c r="A981" s="286"/>
      <c r="B981" s="556"/>
      <c r="C981" s="286"/>
    </row>
    <row r="982" spans="1:3">
      <c r="A982" s="286"/>
      <c r="B982" s="556"/>
      <c r="C982" s="286"/>
    </row>
    <row r="983" spans="1:3">
      <c r="A983" s="286"/>
      <c r="B983" s="556"/>
      <c r="C983" s="286"/>
    </row>
    <row r="984" spans="1:3">
      <c r="A984" s="286"/>
      <c r="B984" s="556"/>
      <c r="C984" s="286"/>
    </row>
    <row r="985" spans="1:3">
      <c r="A985" s="286"/>
      <c r="B985" s="556"/>
      <c r="C985" s="286"/>
    </row>
    <row r="986" spans="1:3">
      <c r="A986" s="286"/>
      <c r="B986" s="556"/>
      <c r="C986" s="286"/>
    </row>
    <row r="987" spans="1:3">
      <c r="A987" s="286"/>
      <c r="B987" s="556"/>
      <c r="C987" s="286"/>
    </row>
    <row r="988" spans="1:3">
      <c r="A988" s="286"/>
      <c r="B988" s="556"/>
      <c r="C988" s="286"/>
    </row>
    <row r="989" spans="1:3">
      <c r="A989" s="286"/>
      <c r="B989" s="556"/>
      <c r="C989" s="286"/>
    </row>
    <row r="990" spans="1:3">
      <c r="A990" s="286"/>
      <c r="B990" s="556"/>
      <c r="C990" s="286"/>
    </row>
    <row r="991" spans="1:3">
      <c r="A991" s="286"/>
      <c r="B991" s="556"/>
      <c r="C991" s="286"/>
    </row>
    <row r="992" spans="1:3">
      <c r="A992" s="286"/>
      <c r="B992" s="556"/>
      <c r="C992" s="286"/>
    </row>
    <row r="993" spans="1:3">
      <c r="A993" s="286"/>
      <c r="B993" s="556"/>
      <c r="C993" s="286"/>
    </row>
    <row r="994" spans="1:3">
      <c r="A994" s="286"/>
      <c r="B994" s="556"/>
      <c r="C994" s="286"/>
    </row>
    <row r="995" spans="1:3">
      <c r="A995" s="286"/>
      <c r="B995" s="556"/>
      <c r="C995" s="286"/>
    </row>
    <row r="996" spans="1:3">
      <c r="A996" s="286"/>
      <c r="B996" s="556"/>
      <c r="C996" s="286"/>
    </row>
    <row r="997" spans="1:3">
      <c r="A997" s="286"/>
      <c r="B997" s="556"/>
      <c r="C997" s="286"/>
    </row>
    <row r="998" spans="1:3">
      <c r="A998" s="286"/>
      <c r="B998" s="556"/>
      <c r="C998" s="286"/>
    </row>
    <row r="999" spans="1:3">
      <c r="A999" s="286"/>
      <c r="B999" s="556"/>
      <c r="C999" s="286"/>
    </row>
    <row r="1000" spans="1:3">
      <c r="A1000" s="286"/>
      <c r="B1000" s="556"/>
      <c r="C1000" s="286"/>
    </row>
    <row r="1001" spans="1:3">
      <c r="A1001" s="286"/>
      <c r="B1001" s="556"/>
      <c r="C1001" s="28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1"/>
  <sheetViews>
    <sheetView tabSelected="1" workbookViewId="0"/>
  </sheetViews>
  <sheetFormatPr defaultColWidth="14.42578125" defaultRowHeight="15.75" customHeight="1"/>
  <sheetData>
    <row r="1" spans="1:5">
      <c r="A1" s="222" t="s">
        <v>151</v>
      </c>
      <c r="C1" s="185"/>
    </row>
    <row r="2" spans="1:5">
      <c r="A2" s="557" t="s">
        <v>2609</v>
      </c>
      <c r="C2" s="185"/>
    </row>
    <row r="3" spans="1:5">
      <c r="A3" s="486" t="s">
        <v>279</v>
      </c>
      <c r="B3" s="492"/>
      <c r="C3" s="487" t="s">
        <v>2610</v>
      </c>
      <c r="D3" s="493"/>
      <c r="E3" s="493"/>
    </row>
    <row r="4" spans="1:5">
      <c r="A4" s="488" t="s">
        <v>468</v>
      </c>
      <c r="B4" s="494"/>
      <c r="C4" s="489" t="s">
        <v>2611</v>
      </c>
      <c r="D4" s="495"/>
      <c r="E4" s="495"/>
    </row>
    <row r="5" spans="1:5">
      <c r="A5" s="486" t="s">
        <v>240</v>
      </c>
      <c r="B5" s="492"/>
      <c r="C5" s="487" t="s">
        <v>2612</v>
      </c>
      <c r="D5" s="493"/>
      <c r="E5" s="493"/>
    </row>
    <row r="6" spans="1:5">
      <c r="A6" s="488" t="s">
        <v>219</v>
      </c>
      <c r="B6" s="494"/>
      <c r="C6" s="489" t="s">
        <v>2613</v>
      </c>
      <c r="D6" s="495"/>
      <c r="E6" s="495"/>
    </row>
    <row r="7" spans="1:5">
      <c r="A7" s="486" t="s">
        <v>472</v>
      </c>
      <c r="B7" s="492"/>
      <c r="C7" s="487" t="s">
        <v>2614</v>
      </c>
      <c r="D7" s="493"/>
      <c r="E7" s="493"/>
    </row>
    <row r="8" spans="1:5">
      <c r="A8" s="488" t="s">
        <v>173</v>
      </c>
      <c r="B8" s="494"/>
      <c r="C8" s="489" t="s">
        <v>2615</v>
      </c>
      <c r="D8" s="494"/>
      <c r="E8" s="497"/>
    </row>
    <row r="9" spans="1:5">
      <c r="A9" s="486" t="s">
        <v>405</v>
      </c>
      <c r="B9" s="492"/>
      <c r="C9" s="487" t="s">
        <v>2616</v>
      </c>
      <c r="D9" s="493"/>
      <c r="E9" s="493"/>
    </row>
    <row r="10" spans="1:5">
      <c r="A10" s="488" t="s">
        <v>307</v>
      </c>
      <c r="B10" s="494"/>
      <c r="C10" s="489" t="s">
        <v>2617</v>
      </c>
      <c r="D10" s="494"/>
      <c r="E10" s="497"/>
    </row>
    <row r="11" spans="1:5">
      <c r="A11" s="486" t="s">
        <v>280</v>
      </c>
      <c r="B11" s="492"/>
      <c r="C11" s="487" t="s">
        <v>2618</v>
      </c>
      <c r="D11" s="493"/>
      <c r="E11" s="493"/>
    </row>
    <row r="12" spans="1:5">
      <c r="A12" s="488" t="s">
        <v>478</v>
      </c>
      <c r="B12" s="494"/>
      <c r="C12" s="489" t="s">
        <v>2619</v>
      </c>
      <c r="D12" s="495"/>
      <c r="E12" s="495"/>
    </row>
    <row r="13" spans="1:5">
      <c r="A13" s="486" t="s">
        <v>480</v>
      </c>
      <c r="B13" s="492"/>
      <c r="C13" s="487" t="s">
        <v>2620</v>
      </c>
      <c r="D13" s="493"/>
      <c r="E13" s="493"/>
    </row>
    <row r="14" spans="1:5">
      <c r="A14" s="488" t="s">
        <v>292</v>
      </c>
      <c r="B14" s="494"/>
      <c r="C14" s="489" t="s">
        <v>2621</v>
      </c>
      <c r="D14" s="495"/>
      <c r="E14" s="495"/>
    </row>
    <row r="15" spans="1:5">
      <c r="A15" s="486" t="s">
        <v>483</v>
      </c>
      <c r="B15" s="492"/>
      <c r="C15" s="487" t="s">
        <v>2622</v>
      </c>
      <c r="D15" s="493"/>
      <c r="E15" s="493"/>
    </row>
    <row r="16" spans="1:5">
      <c r="A16" s="488" t="s">
        <v>241</v>
      </c>
      <c r="B16" s="494"/>
      <c r="C16" s="489" t="s">
        <v>2623</v>
      </c>
      <c r="D16" s="495"/>
      <c r="E16" s="495"/>
    </row>
    <row r="17" spans="1:5">
      <c r="A17" s="486" t="s">
        <v>406</v>
      </c>
      <c r="B17" s="492"/>
      <c r="C17" s="487" t="s">
        <v>2624</v>
      </c>
      <c r="D17" s="493"/>
      <c r="E17" s="493"/>
    </row>
    <row r="18" spans="1:5">
      <c r="A18" s="488" t="s">
        <v>407</v>
      </c>
      <c r="B18" s="494"/>
      <c r="C18" s="489" t="s">
        <v>2625</v>
      </c>
      <c r="D18" s="494"/>
      <c r="E18" s="497"/>
    </row>
    <row r="19" spans="1:5">
      <c r="A19" s="486" t="s">
        <v>236</v>
      </c>
      <c r="B19" s="492"/>
      <c r="C19" s="487" t="s">
        <v>2626</v>
      </c>
      <c r="D19" s="493"/>
      <c r="E19" s="493"/>
    </row>
    <row r="20" spans="1:5">
      <c r="A20" s="488" t="s">
        <v>408</v>
      </c>
      <c r="B20" s="494"/>
      <c r="C20" s="489" t="s">
        <v>2627</v>
      </c>
      <c r="D20" s="495"/>
      <c r="E20" s="495"/>
    </row>
    <row r="21" spans="1:5">
      <c r="A21" s="486" t="s">
        <v>242</v>
      </c>
      <c r="B21" s="492"/>
      <c r="C21" s="487" t="s">
        <v>2628</v>
      </c>
      <c r="D21" s="493"/>
      <c r="E21" s="493"/>
    </row>
    <row r="22" spans="1:5">
      <c r="A22" s="488" t="s">
        <v>243</v>
      </c>
      <c r="B22" s="494"/>
      <c r="C22" s="489" t="s">
        <v>2629</v>
      </c>
      <c r="D22" s="495"/>
      <c r="E22" s="495"/>
    </row>
    <row r="23" spans="1:5">
      <c r="A23" s="486" t="s">
        <v>492</v>
      </c>
      <c r="B23" s="492"/>
      <c r="C23" s="487" t="s">
        <v>2630</v>
      </c>
      <c r="D23" s="493"/>
      <c r="E23" s="493"/>
    </row>
    <row r="24" spans="1:5">
      <c r="A24" s="488" t="s">
        <v>308</v>
      </c>
      <c r="B24" s="494"/>
      <c r="C24" s="489" t="s">
        <v>2631</v>
      </c>
      <c r="D24" s="495"/>
      <c r="E24" s="495"/>
    </row>
    <row r="25" spans="1:5">
      <c r="A25" s="486" t="s">
        <v>174</v>
      </c>
      <c r="B25" s="492"/>
      <c r="C25" s="487" t="s">
        <v>2632</v>
      </c>
      <c r="D25" s="493"/>
      <c r="E25" s="493"/>
    </row>
    <row r="26" spans="1:5">
      <c r="A26" s="488" t="s">
        <v>496</v>
      </c>
      <c r="B26" s="494"/>
      <c r="C26" s="489" t="s">
        <v>2633</v>
      </c>
      <c r="D26" s="495"/>
      <c r="E26" s="495"/>
    </row>
    <row r="27" spans="1:5">
      <c r="A27" s="486" t="s">
        <v>498</v>
      </c>
      <c r="B27" s="492"/>
      <c r="C27" s="487" t="s">
        <v>2634</v>
      </c>
      <c r="D27" s="492"/>
      <c r="E27" s="496"/>
    </row>
    <row r="28" spans="1:5">
      <c r="A28" s="488" t="s">
        <v>244</v>
      </c>
      <c r="B28" s="494"/>
      <c r="C28" s="489" t="s">
        <v>2635</v>
      </c>
      <c r="D28" s="495"/>
      <c r="E28" s="495"/>
    </row>
    <row r="29" spans="1:5">
      <c r="A29" s="486" t="s">
        <v>175</v>
      </c>
      <c r="B29" s="492"/>
      <c r="C29" s="487" t="s">
        <v>2636</v>
      </c>
      <c r="D29" s="493"/>
      <c r="E29" s="493"/>
    </row>
    <row r="30" spans="1:5">
      <c r="A30" s="488" t="s">
        <v>310</v>
      </c>
      <c r="B30" s="494"/>
      <c r="C30" s="489" t="s">
        <v>2637</v>
      </c>
      <c r="D30" s="495"/>
      <c r="E30" s="495"/>
    </row>
    <row r="31" spans="1:5">
      <c r="A31" s="486" t="s">
        <v>293</v>
      </c>
      <c r="B31" s="492"/>
      <c r="C31" s="487" t="s">
        <v>2638</v>
      </c>
      <c r="D31" s="493"/>
      <c r="E31" s="493"/>
    </row>
    <row r="32" spans="1:5">
      <c r="A32" s="488" t="s">
        <v>245</v>
      </c>
      <c r="B32" s="494"/>
      <c r="C32" s="489" t="s">
        <v>2639</v>
      </c>
      <c r="D32" s="494"/>
      <c r="E32" s="497"/>
    </row>
    <row r="33" spans="1:5">
      <c r="A33" s="486" t="s">
        <v>176</v>
      </c>
      <c r="B33" s="492"/>
      <c r="C33" s="487" t="s">
        <v>2640</v>
      </c>
      <c r="D33" s="492"/>
      <c r="E33" s="496"/>
    </row>
    <row r="34" spans="1:5">
      <c r="A34" s="488" t="s">
        <v>294</v>
      </c>
      <c r="B34" s="494"/>
      <c r="C34" s="489" t="s">
        <v>2641</v>
      </c>
      <c r="D34" s="494"/>
      <c r="E34" s="497"/>
    </row>
    <row r="35" spans="1:5">
      <c r="A35" s="486" t="s">
        <v>178</v>
      </c>
      <c r="B35" s="492"/>
      <c r="C35" s="487" t="s">
        <v>2642</v>
      </c>
      <c r="D35" s="493"/>
      <c r="E35" s="493"/>
    </row>
    <row r="36" spans="1:5">
      <c r="A36" s="488" t="s">
        <v>290</v>
      </c>
      <c r="B36" s="494"/>
      <c r="C36" s="489" t="s">
        <v>2643</v>
      </c>
      <c r="D36" s="495"/>
      <c r="E36" s="495"/>
    </row>
    <row r="37" spans="1:5">
      <c r="A37" s="486" t="s">
        <v>179</v>
      </c>
      <c r="B37" s="492"/>
      <c r="C37" s="487" t="s">
        <v>2644</v>
      </c>
      <c r="D37" s="493"/>
      <c r="E37" s="493"/>
    </row>
    <row r="38" spans="1:5">
      <c r="A38" s="488" t="s">
        <v>510</v>
      </c>
      <c r="B38" s="494"/>
      <c r="C38" s="489" t="s">
        <v>2645</v>
      </c>
      <c r="D38" s="495"/>
      <c r="E38" s="495"/>
    </row>
    <row r="39" spans="1:5">
      <c r="A39" s="486" t="s">
        <v>180</v>
      </c>
      <c r="B39" s="492"/>
      <c r="C39" s="487" t="s">
        <v>2646</v>
      </c>
      <c r="D39" s="493"/>
      <c r="E39" s="493"/>
    </row>
    <row r="40" spans="1:5">
      <c r="A40" s="488" t="s">
        <v>513</v>
      </c>
      <c r="B40" s="494"/>
      <c r="C40" s="489" t="s">
        <v>2647</v>
      </c>
      <c r="D40" s="495"/>
      <c r="E40" s="495"/>
    </row>
    <row r="41" spans="1:5">
      <c r="A41" s="486" t="s">
        <v>181</v>
      </c>
      <c r="B41" s="492"/>
      <c r="C41" s="487" t="s">
        <v>2648</v>
      </c>
      <c r="D41" s="492"/>
      <c r="E41" s="496"/>
    </row>
    <row r="42" spans="1:5">
      <c r="A42" s="488" t="s">
        <v>311</v>
      </c>
      <c r="B42" s="494"/>
      <c r="C42" s="489" t="s">
        <v>2402</v>
      </c>
      <c r="D42" s="494"/>
      <c r="E42" s="497"/>
    </row>
    <row r="43" spans="1:5">
      <c r="A43" s="486" t="s">
        <v>295</v>
      </c>
      <c r="B43" s="492"/>
      <c r="C43" s="487" t="s">
        <v>2649</v>
      </c>
      <c r="D43" s="493"/>
      <c r="E43" s="493"/>
    </row>
    <row r="44" spans="1:5">
      <c r="A44" s="488" t="s">
        <v>312</v>
      </c>
      <c r="B44" s="494"/>
      <c r="C44" s="489" t="s">
        <v>2650</v>
      </c>
      <c r="D44" s="495"/>
      <c r="E44" s="495"/>
    </row>
    <row r="45" spans="1:5">
      <c r="A45" s="486" t="s">
        <v>415</v>
      </c>
      <c r="B45" s="492"/>
      <c r="C45" s="487" t="s">
        <v>2651</v>
      </c>
      <c r="D45" s="493"/>
      <c r="E45" s="493"/>
    </row>
    <row r="46" spans="1:5">
      <c r="A46" s="488" t="s">
        <v>313</v>
      </c>
      <c r="B46" s="494"/>
      <c r="C46" s="489" t="s">
        <v>2652</v>
      </c>
      <c r="D46" s="495"/>
      <c r="E46" s="495"/>
    </row>
    <row r="47" spans="1:5">
      <c r="A47" s="486" t="s">
        <v>521</v>
      </c>
      <c r="B47" s="492"/>
      <c r="C47" s="487" t="s">
        <v>2653</v>
      </c>
      <c r="D47" s="493"/>
      <c r="E47" s="493"/>
    </row>
    <row r="48" spans="1:5">
      <c r="A48" s="488" t="s">
        <v>246</v>
      </c>
      <c r="B48" s="494"/>
      <c r="C48" s="489" t="s">
        <v>2654</v>
      </c>
      <c r="D48" s="495"/>
      <c r="E48" s="495"/>
    </row>
    <row r="49" spans="1:5">
      <c r="A49" s="486" t="s">
        <v>416</v>
      </c>
      <c r="B49" s="492"/>
      <c r="C49" s="487" t="s">
        <v>2655</v>
      </c>
      <c r="D49" s="493"/>
      <c r="E49" s="493"/>
    </row>
    <row r="50" spans="1:5">
      <c r="A50" s="488" t="s">
        <v>417</v>
      </c>
      <c r="B50" s="494"/>
      <c r="C50" s="489" t="s">
        <v>2656</v>
      </c>
      <c r="D50" s="495"/>
      <c r="E50" s="495"/>
    </row>
    <row r="51" spans="1:5">
      <c r="A51" s="486" t="s">
        <v>247</v>
      </c>
      <c r="B51" s="492"/>
      <c r="C51" s="487" t="s">
        <v>2657</v>
      </c>
      <c r="D51" s="493"/>
      <c r="E51" s="493"/>
    </row>
    <row r="52" spans="1:5">
      <c r="A52" s="488" t="s">
        <v>527</v>
      </c>
      <c r="B52" s="494"/>
      <c r="C52" s="489" t="s">
        <v>2658</v>
      </c>
      <c r="D52" s="494"/>
      <c r="E52" s="497"/>
    </row>
    <row r="53" spans="1:5">
      <c r="A53" s="486" t="s">
        <v>248</v>
      </c>
      <c r="B53" s="492"/>
      <c r="C53" s="487" t="s">
        <v>2659</v>
      </c>
      <c r="D53" s="493"/>
      <c r="E53" s="493"/>
    </row>
    <row r="54" spans="1:5">
      <c r="A54" s="488" t="s">
        <v>184</v>
      </c>
      <c r="B54" s="494"/>
      <c r="C54" s="489" t="s">
        <v>2660</v>
      </c>
      <c r="D54" s="495"/>
      <c r="E54" s="495"/>
    </row>
    <row r="55" spans="1:5">
      <c r="A55" s="486" t="s">
        <v>419</v>
      </c>
      <c r="B55" s="492"/>
      <c r="C55" s="487" t="s">
        <v>2661</v>
      </c>
      <c r="D55" s="493"/>
      <c r="E55" s="493"/>
    </row>
    <row r="56" spans="1:5">
      <c r="A56" s="488" t="s">
        <v>420</v>
      </c>
      <c r="B56" s="494"/>
      <c r="C56" s="489" t="s">
        <v>2662</v>
      </c>
      <c r="D56" s="495"/>
      <c r="E56" s="495"/>
    </row>
    <row r="57" spans="1:5">
      <c r="A57" s="486" t="s">
        <v>533</v>
      </c>
      <c r="B57" s="492"/>
      <c r="C57" s="487" t="s">
        <v>2663</v>
      </c>
      <c r="D57" s="493"/>
      <c r="E57" s="493"/>
    </row>
    <row r="58" spans="1:5">
      <c r="A58" s="488" t="s">
        <v>535</v>
      </c>
      <c r="B58" s="494"/>
      <c r="C58" s="489" t="s">
        <v>2664</v>
      </c>
      <c r="D58" s="495"/>
      <c r="E58" s="495"/>
    </row>
    <row r="59" spans="1:5">
      <c r="A59" s="486" t="s">
        <v>537</v>
      </c>
      <c r="B59" s="492"/>
      <c r="C59" s="487" t="s">
        <v>2665</v>
      </c>
      <c r="D59" s="493"/>
      <c r="E59" s="493"/>
    </row>
    <row r="60" spans="1:5">
      <c r="A60" s="488" t="s">
        <v>314</v>
      </c>
      <c r="B60" s="494"/>
      <c r="C60" s="489" t="s">
        <v>2666</v>
      </c>
      <c r="D60" s="494"/>
      <c r="E60" s="497"/>
    </row>
    <row r="61" spans="1:5">
      <c r="A61" s="486" t="s">
        <v>224</v>
      </c>
      <c r="B61" s="492"/>
      <c r="C61" s="487" t="s">
        <v>2667</v>
      </c>
      <c r="D61" s="493"/>
      <c r="E61" s="493"/>
    </row>
    <row r="62" spans="1:5">
      <c r="A62" s="488" t="s">
        <v>315</v>
      </c>
      <c r="B62" s="494"/>
      <c r="C62" s="489" t="s">
        <v>2668</v>
      </c>
      <c r="D62" s="495"/>
      <c r="E62" s="495"/>
    </row>
    <row r="63" spans="1:5">
      <c r="A63" s="486" t="s">
        <v>249</v>
      </c>
      <c r="B63" s="492"/>
      <c r="C63" s="487" t="s">
        <v>2669</v>
      </c>
      <c r="D63" s="493"/>
      <c r="E63" s="493"/>
    </row>
    <row r="64" spans="1:5">
      <c r="A64" s="488" t="s">
        <v>421</v>
      </c>
      <c r="B64" s="494"/>
      <c r="C64" s="489" t="s">
        <v>2670</v>
      </c>
      <c r="D64" s="495"/>
      <c r="E64" s="495"/>
    </row>
    <row r="65" spans="1:5">
      <c r="A65" s="486" t="s">
        <v>187</v>
      </c>
      <c r="B65" s="492"/>
      <c r="C65" s="487" t="s">
        <v>2671</v>
      </c>
      <c r="D65" s="493"/>
      <c r="E65" s="493"/>
    </row>
    <row r="66" spans="1:5">
      <c r="A66" s="488" t="s">
        <v>545</v>
      </c>
      <c r="B66" s="494"/>
      <c r="C66" s="489" t="s">
        <v>2672</v>
      </c>
      <c r="D66" s="494"/>
      <c r="E66" s="497"/>
    </row>
    <row r="67" spans="1:5">
      <c r="A67" s="486" t="s">
        <v>103</v>
      </c>
      <c r="B67" s="492"/>
      <c r="C67" s="487" t="s">
        <v>2673</v>
      </c>
      <c r="D67" s="493"/>
      <c r="E67" s="493"/>
    </row>
    <row r="68" spans="1:5">
      <c r="A68" s="488" t="s">
        <v>548</v>
      </c>
      <c r="B68" s="494"/>
      <c r="C68" s="489" t="s">
        <v>2674</v>
      </c>
      <c r="D68" s="495"/>
      <c r="E68" s="495"/>
    </row>
    <row r="69" spans="1:5">
      <c r="A69" s="486" t="s">
        <v>550</v>
      </c>
      <c r="B69" s="492"/>
      <c r="C69" s="487" t="s">
        <v>2675</v>
      </c>
      <c r="D69" s="493"/>
      <c r="E69" s="493"/>
    </row>
    <row r="70" spans="1:5">
      <c r="A70" s="488" t="s">
        <v>422</v>
      </c>
      <c r="B70" s="494"/>
      <c r="C70" s="489" t="s">
        <v>2676</v>
      </c>
      <c r="D70" s="495"/>
      <c r="E70" s="495"/>
    </row>
    <row r="71" spans="1:5">
      <c r="A71" s="486" t="s">
        <v>250</v>
      </c>
      <c r="B71" s="492"/>
      <c r="C71" s="487" t="s">
        <v>2677</v>
      </c>
      <c r="D71" s="493"/>
      <c r="E71" s="493"/>
    </row>
    <row r="72" spans="1:5">
      <c r="A72" s="488" t="s">
        <v>251</v>
      </c>
      <c r="B72" s="494"/>
      <c r="C72" s="489" t="s">
        <v>2678</v>
      </c>
      <c r="D72" s="494"/>
      <c r="E72" s="497"/>
    </row>
    <row r="73" spans="1:5">
      <c r="A73" s="486" t="s">
        <v>423</v>
      </c>
      <c r="B73" s="492"/>
      <c r="C73" s="487" t="s">
        <v>2679</v>
      </c>
      <c r="D73" s="493"/>
      <c r="E73" s="493"/>
    </row>
    <row r="74" spans="1:5">
      <c r="A74" s="488" t="s">
        <v>188</v>
      </c>
      <c r="B74" s="494"/>
      <c r="C74" s="489" t="s">
        <v>2680</v>
      </c>
      <c r="D74" s="494"/>
      <c r="E74" s="497"/>
    </row>
    <row r="75" spans="1:5">
      <c r="A75" s="486" t="s">
        <v>424</v>
      </c>
      <c r="B75" s="492"/>
      <c r="C75" s="487" t="s">
        <v>2681</v>
      </c>
      <c r="D75" s="493"/>
      <c r="E75" s="493"/>
    </row>
    <row r="76" spans="1:5">
      <c r="A76" s="488" t="s">
        <v>282</v>
      </c>
      <c r="B76" s="494"/>
      <c r="C76" s="489" t="s">
        <v>2682</v>
      </c>
      <c r="D76" s="494"/>
      <c r="E76" s="497"/>
    </row>
    <row r="77" spans="1:5">
      <c r="A77" s="486" t="s">
        <v>252</v>
      </c>
      <c r="B77" s="492"/>
      <c r="C77" s="487" t="s">
        <v>2683</v>
      </c>
      <c r="D77" s="493"/>
      <c r="E77" s="493"/>
    </row>
    <row r="78" spans="1:5">
      <c r="A78" s="488" t="s">
        <v>190</v>
      </c>
      <c r="B78" s="494"/>
      <c r="C78" s="489" t="s">
        <v>2684</v>
      </c>
      <c r="D78" s="495"/>
      <c r="E78" s="495"/>
    </row>
    <row r="79" spans="1:5">
      <c r="A79" s="486" t="s">
        <v>253</v>
      </c>
      <c r="B79" s="492"/>
      <c r="C79" s="487" t="s">
        <v>2685</v>
      </c>
      <c r="D79" s="493"/>
      <c r="E79" s="493"/>
    </row>
    <row r="80" spans="1:5">
      <c r="A80" s="488" t="s">
        <v>425</v>
      </c>
      <c r="B80" s="494"/>
      <c r="C80" s="489" t="s">
        <v>2686</v>
      </c>
      <c r="D80" s="495"/>
      <c r="E80" s="495"/>
    </row>
    <row r="81" spans="1:5">
      <c r="A81" s="486" t="s">
        <v>316</v>
      </c>
      <c r="B81" s="492"/>
      <c r="C81" s="487" t="s">
        <v>2687</v>
      </c>
      <c r="D81" s="493"/>
      <c r="E81" s="493"/>
    </row>
    <row r="82" spans="1:5">
      <c r="A82" s="488" t="s">
        <v>191</v>
      </c>
      <c r="B82" s="494"/>
      <c r="C82" s="489" t="s">
        <v>2688</v>
      </c>
      <c r="D82" s="494"/>
      <c r="E82" s="497"/>
    </row>
    <row r="83" spans="1:5">
      <c r="A83" s="486" t="s">
        <v>192</v>
      </c>
      <c r="B83" s="492"/>
      <c r="C83" s="487" t="s">
        <v>2689</v>
      </c>
      <c r="D83" s="492"/>
      <c r="E83" s="496"/>
    </row>
    <row r="84" spans="1:5">
      <c r="A84" s="488" t="s">
        <v>317</v>
      </c>
      <c r="B84" s="494"/>
      <c r="C84" s="489" t="s">
        <v>2690</v>
      </c>
      <c r="D84" s="495"/>
      <c r="E84" s="495"/>
    </row>
    <row r="85" spans="1:5">
      <c r="A85" s="486" t="s">
        <v>426</v>
      </c>
      <c r="B85" s="492"/>
      <c r="C85" s="487" t="s">
        <v>2691</v>
      </c>
      <c r="D85" s="492"/>
      <c r="E85" s="496"/>
    </row>
    <row r="86" spans="1:5">
      <c r="A86" s="488" t="s">
        <v>318</v>
      </c>
      <c r="B86" s="494"/>
      <c r="C86" s="489" t="s">
        <v>2692</v>
      </c>
      <c r="D86" s="495"/>
      <c r="E86" s="495"/>
    </row>
    <row r="87" spans="1:5">
      <c r="A87" s="486" t="s">
        <v>569</v>
      </c>
      <c r="B87" s="492"/>
      <c r="C87" s="487" t="s">
        <v>2693</v>
      </c>
      <c r="D87" s="493"/>
      <c r="E87" s="493"/>
    </row>
    <row r="88" spans="1:5">
      <c r="A88" s="488" t="s">
        <v>254</v>
      </c>
      <c r="B88" s="494"/>
      <c r="C88" s="489" t="s">
        <v>2694</v>
      </c>
      <c r="D88" s="494"/>
      <c r="E88" s="497"/>
    </row>
    <row r="89" spans="1:5">
      <c r="A89" s="486" t="s">
        <v>255</v>
      </c>
      <c r="B89" s="492"/>
      <c r="C89" s="487" t="s">
        <v>2695</v>
      </c>
      <c r="D89" s="493"/>
      <c r="E89" s="493"/>
    </row>
    <row r="90" spans="1:5">
      <c r="A90" s="488" t="s">
        <v>237</v>
      </c>
      <c r="B90" s="494"/>
      <c r="C90" s="489" t="s">
        <v>2696</v>
      </c>
      <c r="D90" s="495"/>
      <c r="E90" s="495"/>
    </row>
    <row r="91" spans="1:5">
      <c r="A91" s="486" t="s">
        <v>296</v>
      </c>
      <c r="B91" s="492"/>
      <c r="C91" s="487" t="s">
        <v>2697</v>
      </c>
      <c r="D91" s="493"/>
      <c r="E91" s="493"/>
    </row>
    <row r="92" spans="1:5">
      <c r="A92" s="488" t="s">
        <v>225</v>
      </c>
      <c r="B92" s="494"/>
      <c r="C92" s="489" t="s">
        <v>2698</v>
      </c>
      <c r="D92" s="495"/>
      <c r="E92" s="495"/>
    </row>
    <row r="93" spans="1:5">
      <c r="A93" s="486" t="s">
        <v>226</v>
      </c>
      <c r="B93" s="492"/>
      <c r="C93" s="487" t="s">
        <v>2699</v>
      </c>
      <c r="D93" s="492"/>
      <c r="E93" s="496"/>
    </row>
    <row r="94" spans="1:5">
      <c r="A94" s="488" t="s">
        <v>256</v>
      </c>
      <c r="B94" s="494"/>
      <c r="C94" s="489" t="s">
        <v>2700</v>
      </c>
      <c r="D94" s="495"/>
      <c r="E94" s="495"/>
    </row>
    <row r="95" spans="1:5">
      <c r="A95" s="486" t="s">
        <v>227</v>
      </c>
      <c r="B95" s="492"/>
      <c r="C95" s="487" t="s">
        <v>2701</v>
      </c>
      <c r="D95" s="493"/>
      <c r="E95" s="493"/>
    </row>
    <row r="96" spans="1:5">
      <c r="A96" s="488" t="s">
        <v>257</v>
      </c>
      <c r="B96" s="494"/>
      <c r="C96" s="489" t="s">
        <v>2702</v>
      </c>
      <c r="D96" s="494"/>
      <c r="E96" s="497"/>
    </row>
    <row r="97" spans="1:5">
      <c r="A97" s="486" t="s">
        <v>428</v>
      </c>
      <c r="B97" s="492"/>
      <c r="C97" s="487" t="s">
        <v>2703</v>
      </c>
      <c r="D97" s="493"/>
      <c r="E97" s="493"/>
    </row>
    <row r="98" spans="1:5">
      <c r="A98" s="488" t="s">
        <v>297</v>
      </c>
      <c r="B98" s="494"/>
      <c r="C98" s="489" t="s">
        <v>2704</v>
      </c>
      <c r="D98" s="494"/>
      <c r="E98" s="497"/>
    </row>
    <row r="99" spans="1:5">
      <c r="A99" s="486" t="s">
        <v>228</v>
      </c>
      <c r="B99" s="492"/>
      <c r="C99" s="487" t="s">
        <v>2705</v>
      </c>
      <c r="D99" s="492"/>
      <c r="E99" s="496"/>
    </row>
    <row r="100" spans="1:5">
      <c r="A100" s="488" t="s">
        <v>283</v>
      </c>
      <c r="B100" s="494"/>
      <c r="C100" s="489" t="s">
        <v>2706</v>
      </c>
      <c r="D100" s="495"/>
      <c r="E100" s="495"/>
    </row>
    <row r="101" spans="1:5">
      <c r="A101" s="486" t="s">
        <v>193</v>
      </c>
      <c r="B101" s="492"/>
      <c r="C101" s="487" t="s">
        <v>2707</v>
      </c>
      <c r="D101" s="493"/>
      <c r="E101" s="493"/>
    </row>
    <row r="102" spans="1:5">
      <c r="A102" s="488" t="s">
        <v>429</v>
      </c>
      <c r="B102" s="494"/>
      <c r="C102" s="489" t="s">
        <v>2708</v>
      </c>
      <c r="D102" s="494"/>
      <c r="E102" s="497"/>
    </row>
    <row r="103" spans="1:5">
      <c r="A103" s="486" t="s">
        <v>229</v>
      </c>
      <c r="B103" s="492"/>
      <c r="C103" s="487" t="s">
        <v>2709</v>
      </c>
      <c r="D103" s="493"/>
      <c r="E103" s="493"/>
    </row>
    <row r="104" spans="1:5">
      <c r="A104" s="488" t="s">
        <v>430</v>
      </c>
      <c r="B104" s="494"/>
      <c r="C104" s="489" t="s">
        <v>2710</v>
      </c>
      <c r="D104" s="495"/>
      <c r="E104" s="495"/>
    </row>
    <row r="105" spans="1:5">
      <c r="A105" s="486" t="s">
        <v>588</v>
      </c>
      <c r="B105" s="492"/>
      <c r="C105" s="487" t="s">
        <v>2711</v>
      </c>
      <c r="D105" s="493"/>
      <c r="E105" s="493"/>
    </row>
    <row r="106" spans="1:5">
      <c r="A106" s="488" t="s">
        <v>590</v>
      </c>
      <c r="B106" s="494"/>
      <c r="C106" s="489" t="s">
        <v>2712</v>
      </c>
      <c r="D106" s="495"/>
      <c r="E106" s="495"/>
    </row>
    <row r="107" spans="1:5">
      <c r="A107" s="486" t="s">
        <v>258</v>
      </c>
      <c r="B107" s="492"/>
      <c r="C107" s="487" t="s">
        <v>2713</v>
      </c>
      <c r="D107" s="493"/>
      <c r="E107" s="493"/>
    </row>
    <row r="108" spans="1:5">
      <c r="A108" s="488" t="s">
        <v>593</v>
      </c>
      <c r="B108" s="494"/>
      <c r="C108" s="489" t="s">
        <v>2714</v>
      </c>
      <c r="D108" s="495"/>
      <c r="E108" s="495"/>
    </row>
    <row r="109" spans="1:5">
      <c r="A109" s="486" t="s">
        <v>230</v>
      </c>
      <c r="B109" s="492"/>
      <c r="C109" s="487" t="s">
        <v>2715</v>
      </c>
      <c r="D109" s="493"/>
      <c r="E109" s="493"/>
    </row>
    <row r="110" spans="1:5">
      <c r="A110" s="488" t="s">
        <v>194</v>
      </c>
      <c r="B110" s="494"/>
      <c r="C110" s="489" t="s">
        <v>2506</v>
      </c>
      <c r="D110" s="495"/>
      <c r="E110" s="495"/>
    </row>
    <row r="111" spans="1:5">
      <c r="A111" s="486" t="s">
        <v>195</v>
      </c>
      <c r="B111" s="492"/>
      <c r="C111" s="487" t="s">
        <v>2716</v>
      </c>
      <c r="D111" s="492"/>
      <c r="E111" s="496"/>
    </row>
    <row r="112" spans="1:5">
      <c r="A112" s="488" t="s">
        <v>259</v>
      </c>
      <c r="B112" s="494"/>
      <c r="C112" s="489" t="s">
        <v>2717</v>
      </c>
      <c r="D112" s="495"/>
      <c r="E112" s="495"/>
    </row>
    <row r="113" spans="1:5">
      <c r="A113" s="486" t="s">
        <v>599</v>
      </c>
      <c r="B113" s="492"/>
      <c r="C113" s="487" t="s">
        <v>2718</v>
      </c>
      <c r="D113" s="493"/>
      <c r="E113" s="493"/>
    </row>
    <row r="114" spans="1:5">
      <c r="A114" s="488" t="s">
        <v>260</v>
      </c>
      <c r="B114" s="494"/>
      <c r="C114" s="489" t="s">
        <v>2719</v>
      </c>
      <c r="D114" s="495"/>
      <c r="E114" s="495"/>
    </row>
    <row r="115" spans="1:5">
      <c r="A115" s="486" t="s">
        <v>602</v>
      </c>
      <c r="B115" s="492"/>
      <c r="C115" s="487" t="s">
        <v>2720</v>
      </c>
      <c r="D115" s="493"/>
      <c r="E115" s="493"/>
    </row>
    <row r="116" spans="1:5">
      <c r="A116" s="488" t="s">
        <v>196</v>
      </c>
      <c r="B116" s="494"/>
      <c r="C116" s="489" t="s">
        <v>2721</v>
      </c>
      <c r="D116" s="494"/>
      <c r="E116" s="497"/>
    </row>
    <row r="117" spans="1:5">
      <c r="A117" s="486" t="s">
        <v>197</v>
      </c>
      <c r="B117" s="492"/>
      <c r="C117" s="487" t="s">
        <v>2722</v>
      </c>
      <c r="D117" s="493"/>
      <c r="E117" s="493"/>
    </row>
    <row r="118" spans="1:5">
      <c r="A118" s="488" t="s">
        <v>298</v>
      </c>
      <c r="B118" s="494"/>
      <c r="C118" s="489" t="s">
        <v>2723</v>
      </c>
      <c r="D118" s="495"/>
      <c r="E118" s="495"/>
    </row>
    <row r="119" spans="1:5">
      <c r="A119" s="486" t="s">
        <v>432</v>
      </c>
      <c r="B119" s="492"/>
      <c r="C119" s="487" t="s">
        <v>2724</v>
      </c>
      <c r="D119" s="493"/>
      <c r="E119" s="493"/>
    </row>
    <row r="120" spans="1:5">
      <c r="A120" s="488" t="s">
        <v>198</v>
      </c>
      <c r="B120" s="494"/>
      <c r="C120" s="489" t="s">
        <v>2725</v>
      </c>
      <c r="D120" s="495"/>
      <c r="E120" s="495"/>
    </row>
    <row r="121" spans="1:5">
      <c r="A121" s="486" t="s">
        <v>261</v>
      </c>
      <c r="B121" s="492"/>
      <c r="C121" s="487" t="s">
        <v>2726</v>
      </c>
      <c r="D121" s="493"/>
      <c r="E121" s="493"/>
    </row>
    <row r="122" spans="1:5">
      <c r="A122" s="488" t="s">
        <v>199</v>
      </c>
      <c r="B122" s="494"/>
      <c r="C122" s="489" t="s">
        <v>2727</v>
      </c>
      <c r="D122" s="495"/>
      <c r="E122" s="495"/>
    </row>
    <row r="123" spans="1:5">
      <c r="A123" s="486" t="s">
        <v>200</v>
      </c>
      <c r="B123" s="492"/>
      <c r="C123" s="487" t="s">
        <v>2728</v>
      </c>
      <c r="D123" s="493"/>
      <c r="E123" s="493"/>
    </row>
    <row r="124" spans="1:5">
      <c r="A124" s="488" t="s">
        <v>612</v>
      </c>
      <c r="B124" s="494"/>
      <c r="C124" s="489" t="s">
        <v>2729</v>
      </c>
      <c r="D124" s="495"/>
      <c r="E124" s="495"/>
    </row>
    <row r="125" spans="1:5">
      <c r="A125" s="486" t="s">
        <v>319</v>
      </c>
      <c r="B125" s="492"/>
      <c r="C125" s="487" t="s">
        <v>2730</v>
      </c>
      <c r="D125" s="493"/>
      <c r="E125" s="493"/>
    </row>
    <row r="126" spans="1:5">
      <c r="A126" s="488" t="s">
        <v>615</v>
      </c>
      <c r="B126" s="494"/>
      <c r="C126" s="489" t="s">
        <v>2731</v>
      </c>
      <c r="D126" s="494"/>
      <c r="E126" s="497"/>
    </row>
    <row r="127" spans="1:5">
      <c r="A127" s="486" t="s">
        <v>616</v>
      </c>
      <c r="B127" s="492"/>
      <c r="C127" s="487" t="s">
        <v>2732</v>
      </c>
      <c r="D127" s="493"/>
      <c r="E127" s="493"/>
    </row>
    <row r="128" spans="1:5">
      <c r="A128" s="488" t="s">
        <v>618</v>
      </c>
      <c r="B128" s="494"/>
      <c r="C128" s="489" t="s">
        <v>2733</v>
      </c>
      <c r="D128" s="494"/>
      <c r="E128" s="497"/>
    </row>
    <row r="129" spans="1:5">
      <c r="A129" s="486" t="s">
        <v>285</v>
      </c>
      <c r="B129" s="492"/>
      <c r="C129" s="487" t="s">
        <v>2734</v>
      </c>
      <c r="D129" s="493"/>
      <c r="E129" s="493"/>
    </row>
    <row r="130" spans="1:5">
      <c r="A130" s="488" t="s">
        <v>262</v>
      </c>
      <c r="B130" s="494"/>
      <c r="C130" s="489" t="s">
        <v>2735</v>
      </c>
      <c r="D130" s="494"/>
      <c r="E130" s="497"/>
    </row>
    <row r="131" spans="1:5">
      <c r="A131" s="486" t="s">
        <v>220</v>
      </c>
      <c r="B131" s="492"/>
      <c r="C131" s="487" t="s">
        <v>2736</v>
      </c>
      <c r="D131" s="493"/>
      <c r="E131" s="493"/>
    </row>
    <row r="132" spans="1:5">
      <c r="A132" s="488" t="s">
        <v>201</v>
      </c>
      <c r="B132" s="494"/>
      <c r="C132" s="489" t="s">
        <v>2737</v>
      </c>
      <c r="D132" s="495"/>
      <c r="E132" s="495"/>
    </row>
    <row r="133" spans="1:5">
      <c r="A133" s="486" t="s">
        <v>299</v>
      </c>
      <c r="B133" s="492"/>
      <c r="C133" s="487" t="s">
        <v>2738</v>
      </c>
      <c r="D133" s="493"/>
      <c r="E133" s="493"/>
    </row>
    <row r="134" spans="1:5">
      <c r="A134" s="488" t="s">
        <v>202</v>
      </c>
      <c r="B134" s="494"/>
      <c r="C134" s="489" t="s">
        <v>2739</v>
      </c>
      <c r="D134" s="495"/>
      <c r="E134" s="495"/>
    </row>
    <row r="135" spans="1:5">
      <c r="A135" s="486" t="s">
        <v>238</v>
      </c>
      <c r="B135" s="492"/>
      <c r="C135" s="487" t="s">
        <v>2740</v>
      </c>
      <c r="D135" s="493"/>
      <c r="E135" s="493"/>
    </row>
    <row r="136" spans="1:5">
      <c r="A136" s="488" t="s">
        <v>627</v>
      </c>
      <c r="B136" s="494"/>
      <c r="C136" s="489" t="s">
        <v>2741</v>
      </c>
      <c r="D136" s="495"/>
      <c r="E136" s="495"/>
    </row>
    <row r="137" spans="1:5">
      <c r="A137" s="486" t="s">
        <v>263</v>
      </c>
      <c r="B137" s="492"/>
      <c r="C137" s="487" t="s">
        <v>2742</v>
      </c>
      <c r="D137" s="492"/>
      <c r="E137" s="496"/>
    </row>
    <row r="138" spans="1:5">
      <c r="A138" s="488" t="s">
        <v>630</v>
      </c>
      <c r="B138" s="494"/>
      <c r="C138" s="489" t="s">
        <v>2743</v>
      </c>
      <c r="D138" s="495"/>
      <c r="E138" s="495"/>
    </row>
    <row r="139" spans="1:5">
      <c r="A139" s="486" t="s">
        <v>433</v>
      </c>
      <c r="B139" s="492"/>
      <c r="C139" s="487" t="s">
        <v>2744</v>
      </c>
      <c r="D139" s="493"/>
      <c r="E139" s="493"/>
    </row>
    <row r="140" spans="1:5">
      <c r="A140" s="488" t="s">
        <v>300</v>
      </c>
      <c r="B140" s="494"/>
      <c r="C140" s="489" t="s">
        <v>2745</v>
      </c>
      <c r="D140" s="495"/>
      <c r="E140" s="495"/>
    </row>
    <row r="141" spans="1:5">
      <c r="A141" s="486" t="s">
        <v>320</v>
      </c>
      <c r="B141" s="492"/>
      <c r="C141" s="487" t="s">
        <v>2746</v>
      </c>
      <c r="D141" s="493"/>
      <c r="E141" s="493"/>
    </row>
    <row r="142" spans="1:5">
      <c r="A142" s="488" t="s">
        <v>203</v>
      </c>
      <c r="B142" s="494"/>
      <c r="C142" s="489" t="s">
        <v>2747</v>
      </c>
      <c r="D142" s="495"/>
      <c r="E142" s="495"/>
    </row>
    <row r="143" spans="1:5">
      <c r="A143" s="486" t="s">
        <v>204</v>
      </c>
      <c r="B143" s="492"/>
      <c r="C143" s="487" t="s">
        <v>2748</v>
      </c>
      <c r="D143" s="493"/>
      <c r="E143" s="493"/>
    </row>
    <row r="144" spans="1:5">
      <c r="A144" s="488" t="s">
        <v>301</v>
      </c>
      <c r="B144" s="494"/>
      <c r="C144" s="489" t="s">
        <v>2749</v>
      </c>
      <c r="D144" s="495"/>
      <c r="E144" s="495"/>
    </row>
    <row r="145" spans="1:5">
      <c r="A145" s="486" t="s">
        <v>264</v>
      </c>
      <c r="B145" s="492"/>
      <c r="C145" s="487" t="s">
        <v>2750</v>
      </c>
      <c r="D145" s="493"/>
      <c r="E145" s="493"/>
    </row>
    <row r="146" spans="1:5">
      <c r="A146" s="488" t="s">
        <v>639</v>
      </c>
      <c r="B146" s="494"/>
      <c r="C146" s="489" t="s">
        <v>2751</v>
      </c>
      <c r="D146" s="495"/>
      <c r="E146" s="495"/>
    </row>
    <row r="147" spans="1:5">
      <c r="A147" s="486" t="s">
        <v>641</v>
      </c>
      <c r="B147" s="492"/>
      <c r="C147" s="487" t="s">
        <v>2752</v>
      </c>
      <c r="D147" s="493"/>
      <c r="E147" s="493"/>
    </row>
    <row r="148" spans="1:5">
      <c r="A148" s="488" t="s">
        <v>643</v>
      </c>
      <c r="B148" s="494"/>
      <c r="C148" s="489" t="s">
        <v>2753</v>
      </c>
      <c r="D148" s="495"/>
      <c r="E148" s="495"/>
    </row>
    <row r="149" spans="1:5">
      <c r="A149" s="486" t="s">
        <v>265</v>
      </c>
      <c r="B149" s="492"/>
      <c r="C149" s="487" t="s">
        <v>2754</v>
      </c>
      <c r="D149" s="493"/>
      <c r="E149" s="493"/>
    </row>
    <row r="150" spans="1:5">
      <c r="A150" s="488" t="s">
        <v>646</v>
      </c>
      <c r="B150" s="494"/>
      <c r="C150" s="489" t="s">
        <v>2755</v>
      </c>
      <c r="D150" s="495"/>
      <c r="E150" s="495"/>
    </row>
    <row r="151" spans="1:5">
      <c r="A151" s="486" t="s">
        <v>231</v>
      </c>
      <c r="B151" s="492"/>
      <c r="C151" s="487" t="s">
        <v>2756</v>
      </c>
      <c r="D151" s="493"/>
      <c r="E151" s="493"/>
    </row>
    <row r="152" spans="1:5">
      <c r="A152" s="488" t="s">
        <v>239</v>
      </c>
      <c r="B152" s="494"/>
      <c r="C152" s="489" t="s">
        <v>2757</v>
      </c>
      <c r="D152" s="495"/>
      <c r="E152" s="495"/>
    </row>
    <row r="153" spans="1:5">
      <c r="A153" s="486" t="s">
        <v>321</v>
      </c>
      <c r="B153" s="492"/>
      <c r="C153" s="487" t="s">
        <v>2758</v>
      </c>
      <c r="D153" s="493"/>
      <c r="E153" s="493"/>
    </row>
    <row r="154" spans="1:5">
      <c r="A154" s="488" t="s">
        <v>322</v>
      </c>
      <c r="B154" s="494"/>
      <c r="C154" s="489" t="s">
        <v>2406</v>
      </c>
      <c r="D154" s="494"/>
      <c r="E154" s="497"/>
    </row>
    <row r="155" spans="1:5">
      <c r="A155" s="486" t="s">
        <v>323</v>
      </c>
      <c r="B155" s="492"/>
      <c r="C155" s="487" t="s">
        <v>2553</v>
      </c>
      <c r="D155" s="493"/>
      <c r="E155" s="493"/>
    </row>
    <row r="156" spans="1:5">
      <c r="A156" s="488" t="s">
        <v>434</v>
      </c>
      <c r="B156" s="494"/>
      <c r="C156" s="489" t="s">
        <v>2759</v>
      </c>
      <c r="D156" s="494"/>
      <c r="E156" s="497"/>
    </row>
    <row r="157" spans="1:5">
      <c r="A157" s="486" t="s">
        <v>266</v>
      </c>
      <c r="B157" s="492"/>
      <c r="C157" s="487" t="s">
        <v>2760</v>
      </c>
      <c r="D157" s="493"/>
      <c r="E157" s="493"/>
    </row>
    <row r="158" spans="1:5">
      <c r="A158" s="488" t="s">
        <v>655</v>
      </c>
      <c r="B158" s="494"/>
      <c r="C158" s="489" t="s">
        <v>2761</v>
      </c>
      <c r="D158" s="495"/>
      <c r="E158" s="495"/>
    </row>
    <row r="159" spans="1:5">
      <c r="A159" s="486" t="s">
        <v>267</v>
      </c>
      <c r="B159" s="492"/>
      <c r="C159" s="487" t="s">
        <v>2762</v>
      </c>
      <c r="D159" s="493"/>
      <c r="E159" s="493"/>
    </row>
    <row r="160" spans="1:5">
      <c r="A160" s="488" t="s">
        <v>269</v>
      </c>
      <c r="B160" s="494"/>
      <c r="C160" s="489" t="s">
        <v>2763</v>
      </c>
      <c r="D160" s="495"/>
      <c r="E160" s="495"/>
    </row>
    <row r="161" spans="1:5">
      <c r="A161" s="486" t="s">
        <v>659</v>
      </c>
      <c r="B161" s="492"/>
      <c r="C161" s="487" t="s">
        <v>2764</v>
      </c>
      <c r="D161" s="493"/>
      <c r="E161" s="493"/>
    </row>
    <row r="162" spans="1:5">
      <c r="A162" s="488" t="s">
        <v>205</v>
      </c>
      <c r="B162" s="494"/>
      <c r="C162" s="489" t="s">
        <v>2765</v>
      </c>
      <c r="D162" s="495"/>
      <c r="E162" s="495"/>
    </row>
    <row r="163" spans="1:5">
      <c r="A163" s="486" t="s">
        <v>436</v>
      </c>
      <c r="B163" s="492"/>
      <c r="C163" s="487" t="s">
        <v>2766</v>
      </c>
      <c r="D163" s="493"/>
      <c r="E163" s="493"/>
    </row>
    <row r="164" spans="1:5">
      <c r="A164" s="488" t="s">
        <v>437</v>
      </c>
      <c r="B164" s="494"/>
      <c r="C164" s="489" t="s">
        <v>2767</v>
      </c>
      <c r="D164" s="495"/>
      <c r="E164" s="495"/>
    </row>
    <row r="165" spans="1:5">
      <c r="A165" s="486" t="s">
        <v>438</v>
      </c>
      <c r="B165" s="492"/>
      <c r="C165" s="487" t="s">
        <v>2768</v>
      </c>
      <c r="D165" s="493"/>
      <c r="E165" s="493"/>
    </row>
    <row r="166" spans="1:5">
      <c r="A166" s="488" t="s">
        <v>439</v>
      </c>
      <c r="B166" s="494"/>
      <c r="C166" s="489" t="s">
        <v>2769</v>
      </c>
      <c r="D166" s="495"/>
      <c r="E166" s="495"/>
    </row>
    <row r="167" spans="1:5">
      <c r="A167" s="486" t="s">
        <v>206</v>
      </c>
      <c r="B167" s="492"/>
      <c r="C167" s="487" t="s">
        <v>2770</v>
      </c>
      <c r="D167" s="492"/>
      <c r="E167" s="496"/>
    </row>
    <row r="168" spans="1:5">
      <c r="A168" s="488" t="s">
        <v>232</v>
      </c>
      <c r="B168" s="494"/>
      <c r="C168" s="489" t="s">
        <v>2771</v>
      </c>
      <c r="D168" s="495"/>
      <c r="E168" s="495"/>
    </row>
    <row r="169" spans="1:5">
      <c r="A169" s="486" t="s">
        <v>207</v>
      </c>
      <c r="B169" s="492"/>
      <c r="C169" s="487" t="s">
        <v>2772</v>
      </c>
      <c r="D169" s="493"/>
      <c r="E169" s="493"/>
    </row>
    <row r="170" spans="1:5">
      <c r="A170" s="488" t="s">
        <v>271</v>
      </c>
      <c r="B170" s="494"/>
      <c r="C170" s="489" t="s">
        <v>2773</v>
      </c>
      <c r="D170" s="494"/>
      <c r="E170" s="497"/>
    </row>
    <row r="171" spans="1:5">
      <c r="A171" s="486" t="s">
        <v>670</v>
      </c>
      <c r="B171" s="492"/>
      <c r="C171" s="487" t="s">
        <v>2774</v>
      </c>
      <c r="D171" s="493"/>
      <c r="E171" s="493"/>
    </row>
    <row r="172" spans="1:5">
      <c r="A172" s="488" t="s">
        <v>208</v>
      </c>
      <c r="B172" s="494"/>
      <c r="C172" s="489" t="s">
        <v>2775</v>
      </c>
      <c r="D172" s="494"/>
      <c r="E172" s="497"/>
    </row>
    <row r="173" spans="1:5">
      <c r="A173" s="486" t="s">
        <v>272</v>
      </c>
      <c r="B173" s="492"/>
      <c r="C173" s="487" t="s">
        <v>2776</v>
      </c>
      <c r="D173" s="492"/>
      <c r="E173" s="496"/>
    </row>
    <row r="174" spans="1:5">
      <c r="A174" s="488" t="s">
        <v>273</v>
      </c>
      <c r="B174" s="494"/>
      <c r="C174" s="489" t="s">
        <v>2777</v>
      </c>
      <c r="D174" s="495"/>
      <c r="E174" s="495"/>
    </row>
    <row r="175" spans="1:5">
      <c r="A175" s="486" t="s">
        <v>675</v>
      </c>
      <c r="B175" s="492"/>
      <c r="C175" s="487" t="s">
        <v>2778</v>
      </c>
      <c r="D175" s="493"/>
      <c r="E175" s="493"/>
    </row>
    <row r="176" spans="1:5">
      <c r="A176" s="488" t="s">
        <v>440</v>
      </c>
      <c r="B176" s="494"/>
      <c r="C176" s="489" t="s">
        <v>2779</v>
      </c>
      <c r="D176" s="494"/>
      <c r="E176" s="497"/>
    </row>
    <row r="177" spans="1:5">
      <c r="A177" s="486" t="s">
        <v>210</v>
      </c>
      <c r="B177" s="492"/>
      <c r="C177" s="487" t="s">
        <v>2780</v>
      </c>
      <c r="D177" s="492"/>
      <c r="E177" s="496"/>
    </row>
    <row r="178" spans="1:5">
      <c r="A178" s="488" t="s">
        <v>679</v>
      </c>
      <c r="B178" s="494"/>
      <c r="C178" s="489" t="s">
        <v>2781</v>
      </c>
      <c r="D178" s="495"/>
      <c r="E178" s="495"/>
    </row>
    <row r="179" spans="1:5">
      <c r="A179" s="486" t="s">
        <v>681</v>
      </c>
      <c r="B179" s="492"/>
      <c r="C179" s="487" t="s">
        <v>2782</v>
      </c>
      <c r="D179" s="493"/>
      <c r="E179" s="493"/>
    </row>
    <row r="180" spans="1:5">
      <c r="A180" s="488" t="s">
        <v>304</v>
      </c>
      <c r="B180" s="494"/>
      <c r="C180" s="489" t="s">
        <v>2783</v>
      </c>
      <c r="D180" s="495"/>
      <c r="E180" s="495"/>
    </row>
    <row r="181" spans="1:5">
      <c r="A181" s="486" t="s">
        <v>684</v>
      </c>
      <c r="B181" s="492"/>
      <c r="C181" s="487" t="s">
        <v>2784</v>
      </c>
      <c r="D181" s="492"/>
      <c r="E181" s="496"/>
    </row>
    <row r="182" spans="1:5">
      <c r="A182" s="488" t="s">
        <v>686</v>
      </c>
      <c r="B182" s="494"/>
      <c r="C182" s="489" t="s">
        <v>2785</v>
      </c>
      <c r="D182" s="495"/>
      <c r="E182" s="495"/>
    </row>
    <row r="183" spans="1:5">
      <c r="A183" s="486" t="s">
        <v>688</v>
      </c>
      <c r="B183" s="492"/>
      <c r="C183" s="487" t="s">
        <v>2786</v>
      </c>
      <c r="D183" s="493"/>
      <c r="E183" s="493"/>
    </row>
    <row r="184" spans="1:5">
      <c r="A184" s="488" t="s">
        <v>274</v>
      </c>
      <c r="B184" s="494"/>
      <c r="C184" s="489" t="s">
        <v>2787</v>
      </c>
      <c r="D184" s="494"/>
      <c r="E184" s="497"/>
    </row>
    <row r="185" spans="1:5">
      <c r="A185" s="486" t="s">
        <v>441</v>
      </c>
      <c r="B185" s="492"/>
      <c r="C185" s="487" t="s">
        <v>2788</v>
      </c>
      <c r="D185" s="493"/>
      <c r="E185" s="493"/>
    </row>
    <row r="186" spans="1:5">
      <c r="A186" s="488" t="s">
        <v>221</v>
      </c>
      <c r="B186" s="494"/>
      <c r="C186" s="489" t="s">
        <v>2789</v>
      </c>
      <c r="D186" s="495"/>
      <c r="E186" s="495"/>
    </row>
    <row r="187" spans="1:5">
      <c r="A187" s="486" t="s">
        <v>693</v>
      </c>
      <c r="B187" s="492"/>
      <c r="C187" s="487" t="s">
        <v>2790</v>
      </c>
      <c r="D187" s="493"/>
      <c r="E187" s="493"/>
    </row>
    <row r="188" spans="1:5">
      <c r="A188" s="488" t="s">
        <v>324</v>
      </c>
      <c r="B188" s="494"/>
      <c r="C188" s="489" t="s">
        <v>2791</v>
      </c>
      <c r="D188" s="495"/>
      <c r="E188" s="495"/>
    </row>
    <row r="189" spans="1:5">
      <c r="A189" s="486" t="s">
        <v>275</v>
      </c>
      <c r="B189" s="492"/>
      <c r="C189" s="487" t="s">
        <v>2792</v>
      </c>
      <c r="D189" s="493"/>
      <c r="E189" s="493"/>
    </row>
    <row r="190" spans="1:5">
      <c r="A190" s="488" t="s">
        <v>276</v>
      </c>
      <c r="B190" s="494"/>
      <c r="C190" s="489" t="s">
        <v>1500</v>
      </c>
      <c r="D190" s="495"/>
      <c r="E190" s="495"/>
    </row>
    <row r="191" spans="1:5">
      <c r="A191" s="486" t="s">
        <v>698</v>
      </c>
      <c r="B191" s="492"/>
      <c r="C191" s="487" t="s">
        <v>2793</v>
      </c>
      <c r="D191" s="493"/>
      <c r="E191" s="493"/>
    </row>
    <row r="192" spans="1:5">
      <c r="A192" s="488" t="s">
        <v>286</v>
      </c>
      <c r="B192" s="494"/>
      <c r="C192" s="489" t="s">
        <v>2794</v>
      </c>
      <c r="D192" s="495"/>
      <c r="E192" s="495"/>
    </row>
    <row r="193" spans="1:5">
      <c r="A193" s="486" t="s">
        <v>212</v>
      </c>
      <c r="B193" s="492"/>
      <c r="C193" s="487" t="s">
        <v>2795</v>
      </c>
      <c r="D193" s="492"/>
      <c r="E193" s="496"/>
    </row>
    <row r="194" spans="1:5">
      <c r="A194" s="488" t="s">
        <v>305</v>
      </c>
      <c r="B194" s="494"/>
      <c r="C194" s="489" t="s">
        <v>2796</v>
      </c>
      <c r="D194" s="494"/>
      <c r="E194" s="497"/>
    </row>
    <row r="195" spans="1:5">
      <c r="A195" s="486" t="s">
        <v>703</v>
      </c>
      <c r="B195" s="492"/>
      <c r="C195" s="487" t="s">
        <v>2797</v>
      </c>
      <c r="D195" s="492"/>
      <c r="E195" s="496"/>
    </row>
    <row r="196" spans="1:5">
      <c r="A196" s="488" t="s">
        <v>213</v>
      </c>
      <c r="B196" s="494"/>
      <c r="C196" s="489" t="s">
        <v>2798</v>
      </c>
      <c r="D196" s="494"/>
      <c r="E196" s="497"/>
    </row>
    <row r="197" spans="1:5">
      <c r="A197" s="486" t="s">
        <v>443</v>
      </c>
      <c r="B197" s="492"/>
      <c r="C197" s="487" t="s">
        <v>2799</v>
      </c>
      <c r="D197" s="493"/>
      <c r="E197" s="493"/>
    </row>
    <row r="198" spans="1:5">
      <c r="A198" s="488" t="s">
        <v>222</v>
      </c>
      <c r="B198" s="494"/>
      <c r="C198" s="489" t="s">
        <v>2800</v>
      </c>
      <c r="D198" s="495"/>
      <c r="E198" s="495"/>
    </row>
    <row r="199" spans="1:5">
      <c r="A199" s="486" t="s">
        <v>288</v>
      </c>
      <c r="B199" s="492"/>
      <c r="C199" s="487" t="s">
        <v>2801</v>
      </c>
      <c r="D199" s="493"/>
      <c r="E199" s="493"/>
    </row>
    <row r="200" spans="1:5">
      <c r="A200" s="488" t="s">
        <v>289</v>
      </c>
      <c r="B200" s="494"/>
      <c r="C200" s="489" t="s">
        <v>2802</v>
      </c>
      <c r="D200" s="495"/>
      <c r="E200" s="495"/>
    </row>
    <row r="201" spans="1:5">
      <c r="A201" s="486" t="s">
        <v>710</v>
      </c>
      <c r="B201" s="492"/>
      <c r="C201" s="487" t="s">
        <v>2803</v>
      </c>
      <c r="D201" s="493"/>
      <c r="E201" s="493"/>
    </row>
    <row r="202" spans="1:5">
      <c r="A202" s="488" t="s">
        <v>214</v>
      </c>
      <c r="B202" s="494"/>
      <c r="C202" s="489" t="s">
        <v>2804</v>
      </c>
      <c r="D202" s="495"/>
      <c r="E202" s="495"/>
    </row>
    <row r="203" spans="1:5">
      <c r="A203" s="486" t="s">
        <v>277</v>
      </c>
      <c r="B203" s="492"/>
      <c r="C203" s="487" t="s">
        <v>2805</v>
      </c>
      <c r="D203" s="493"/>
      <c r="E203" s="493"/>
    </row>
    <row r="204" spans="1:5">
      <c r="A204" s="488" t="s">
        <v>444</v>
      </c>
      <c r="B204" s="494"/>
      <c r="C204" s="489" t="s">
        <v>2806</v>
      </c>
      <c r="D204" s="495"/>
      <c r="E204" s="495"/>
    </row>
    <row r="205" spans="1:5">
      <c r="A205" s="486" t="s">
        <v>715</v>
      </c>
      <c r="B205" s="492"/>
      <c r="C205" s="487" t="s">
        <v>2807</v>
      </c>
      <c r="D205" s="493"/>
      <c r="E205" s="493"/>
    </row>
    <row r="206" spans="1:5">
      <c r="A206" s="488" t="s">
        <v>717</v>
      </c>
      <c r="B206" s="494"/>
      <c r="C206" s="489" t="s">
        <v>2808</v>
      </c>
      <c r="D206" s="495"/>
      <c r="E206" s="495"/>
    </row>
    <row r="207" spans="1:5">
      <c r="A207" s="486" t="s">
        <v>325</v>
      </c>
      <c r="B207" s="492"/>
      <c r="C207" s="487" t="s">
        <v>2809</v>
      </c>
      <c r="D207" s="493"/>
      <c r="E207" s="493"/>
    </row>
    <row r="208" spans="1:5">
      <c r="A208" s="488" t="s">
        <v>287</v>
      </c>
      <c r="B208" s="494"/>
      <c r="C208" s="489" t="s">
        <v>2810</v>
      </c>
      <c r="D208" s="495"/>
      <c r="E208" s="495"/>
    </row>
    <row r="209" spans="1:5">
      <c r="A209" s="486" t="s">
        <v>448</v>
      </c>
      <c r="B209" s="492"/>
      <c r="C209" s="487" t="s">
        <v>2811</v>
      </c>
      <c r="D209" s="493"/>
      <c r="E209" s="493"/>
    </row>
    <row r="210" spans="1:5">
      <c r="A210" s="488" t="s">
        <v>326</v>
      </c>
      <c r="B210" s="494"/>
      <c r="C210" s="489" t="s">
        <v>2812</v>
      </c>
      <c r="D210" s="495"/>
      <c r="E210" s="495"/>
    </row>
    <row r="211" spans="1:5">
      <c r="A211" s="486" t="s">
        <v>306</v>
      </c>
      <c r="B211" s="492"/>
      <c r="C211" s="487" t="s">
        <v>2813</v>
      </c>
      <c r="D211" s="493"/>
      <c r="E211" s="493"/>
    </row>
    <row r="212" spans="1:5">
      <c r="A212" s="488" t="s">
        <v>724</v>
      </c>
      <c r="B212" s="494"/>
      <c r="C212" s="489" t="s">
        <v>2814</v>
      </c>
      <c r="D212" s="495"/>
      <c r="E212" s="495"/>
    </row>
    <row r="213" spans="1:5">
      <c r="A213" s="486" t="s">
        <v>726</v>
      </c>
      <c r="B213" s="492"/>
      <c r="C213" s="487" t="s">
        <v>2815</v>
      </c>
      <c r="D213" s="493"/>
      <c r="E213" s="493"/>
    </row>
    <row r="214" spans="1:5">
      <c r="A214" s="488" t="s">
        <v>728</v>
      </c>
      <c r="B214" s="494"/>
      <c r="C214" s="489" t="s">
        <v>2816</v>
      </c>
      <c r="D214" s="495"/>
      <c r="E214" s="495"/>
    </row>
    <row r="215" spans="1:5">
      <c r="A215" s="486" t="s">
        <v>235</v>
      </c>
      <c r="B215" s="492"/>
      <c r="C215" s="487" t="s">
        <v>2259</v>
      </c>
      <c r="D215" s="493"/>
      <c r="E215" s="493"/>
    </row>
    <row r="216" spans="1:5">
      <c r="A216" s="488" t="s">
        <v>731</v>
      </c>
      <c r="B216" s="494"/>
      <c r="C216" s="489" t="s">
        <v>2817</v>
      </c>
      <c r="D216" s="495"/>
      <c r="E216" s="495"/>
    </row>
    <row r="217" spans="1:5">
      <c r="A217" s="486" t="s">
        <v>215</v>
      </c>
      <c r="B217" s="492"/>
      <c r="C217" s="487" t="s">
        <v>2818</v>
      </c>
      <c r="D217" s="492"/>
      <c r="E217" s="496"/>
    </row>
    <row r="218" spans="1:5">
      <c r="A218" s="490" t="s">
        <v>216</v>
      </c>
      <c r="B218" s="550"/>
      <c r="C218" s="491" t="s">
        <v>2819</v>
      </c>
      <c r="D218" s="550"/>
      <c r="E218" s="551"/>
    </row>
    <row r="219" spans="1:5">
      <c r="C219" s="185"/>
    </row>
    <row r="220" spans="1:5">
      <c r="C220" s="185"/>
    </row>
    <row r="221" spans="1:5">
      <c r="C221" s="185"/>
    </row>
    <row r="222" spans="1:5">
      <c r="C222" s="185"/>
    </row>
    <row r="223" spans="1:5">
      <c r="C223" s="185"/>
    </row>
    <row r="224" spans="1:5">
      <c r="C224" s="185"/>
    </row>
    <row r="225" spans="3:3">
      <c r="C225" s="185"/>
    </row>
    <row r="226" spans="3:3">
      <c r="C226" s="185"/>
    </row>
    <row r="227" spans="3:3">
      <c r="C227" s="185"/>
    </row>
    <row r="228" spans="3:3">
      <c r="C228" s="185"/>
    </row>
    <row r="229" spans="3:3">
      <c r="C229" s="185"/>
    </row>
    <row r="230" spans="3:3">
      <c r="C230" s="185"/>
    </row>
    <row r="231" spans="3:3">
      <c r="C231" s="185"/>
    </row>
    <row r="232" spans="3:3">
      <c r="C232" s="185"/>
    </row>
    <row r="233" spans="3:3">
      <c r="C233" s="185"/>
    </row>
    <row r="234" spans="3:3">
      <c r="C234" s="185"/>
    </row>
    <row r="235" spans="3:3">
      <c r="C235" s="185"/>
    </row>
    <row r="236" spans="3:3">
      <c r="C236" s="185"/>
    </row>
    <row r="237" spans="3:3">
      <c r="C237" s="185"/>
    </row>
    <row r="238" spans="3:3">
      <c r="C238" s="185"/>
    </row>
    <row r="239" spans="3:3">
      <c r="C239" s="185"/>
    </row>
    <row r="240" spans="3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  <row r="1001" spans="3:3">
      <c r="C1001" s="185"/>
    </row>
  </sheetData>
  <hyperlinks>
    <hyperlink ref="A2" r:id="rId1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MAIN SHEET</vt:lpstr>
      <vt:lpstr>Copy of CHRISTINA-data-processe</vt:lpstr>
      <vt:lpstr>NUMBERS-DM</vt:lpstr>
      <vt:lpstr>CONSUMPTION</vt:lpstr>
      <vt:lpstr>NEW NUMBERS</vt:lpstr>
      <vt:lpstr>PC-absolute-reordered</vt:lpstr>
      <vt:lpstr>PC-by-population-REORDERED</vt:lpstr>
      <vt:lpstr>PRODUCTION</vt:lpstr>
      <vt:lpstr>% of supply</vt:lpstr>
      <vt:lpstr>PC-absolute</vt:lpstr>
      <vt:lpstr>PC-absolute-alphabetical</vt:lpstr>
      <vt:lpstr>PC-by-population</vt:lpstr>
      <vt:lpstr> PRODUCTION-CONSUMPTION-by-% of</vt:lpstr>
      <vt:lpstr>Copy of  PRODUCTION-CONSUMPTION</vt:lpstr>
      <vt:lpstr>Sankey data</vt:lpstr>
      <vt:lpstr>consumption &gt; nuts</vt:lpstr>
      <vt:lpstr>consumption &gt; WHOLE GRAINS</vt:lpstr>
      <vt:lpstr>consumption &gt; MILK</vt:lpstr>
      <vt:lpstr>consumption &gt; STARCHY VEG</vt:lpstr>
      <vt:lpstr>consumption &gt; EGG</vt:lpstr>
      <vt:lpstr>CONSUMPTION &gt; RED MEAT</vt:lpstr>
      <vt:lpstr>CONSUMPTION &gt; POULTRY</vt:lpstr>
      <vt:lpstr>ACTION</vt:lpstr>
      <vt:lpstr>nat geo diagram</vt:lpstr>
      <vt:lpstr>CALCS</vt:lpstr>
      <vt:lpstr>spare</vt:lpstr>
      <vt:lpstr>REGIONS</vt:lpstr>
      <vt:lpstr>Sheet27</vt:lpstr>
      <vt:lpstr>lancet chart</vt:lpstr>
      <vt:lpstr>Copy of CONSUMPTION-OLD</vt:lpstr>
      <vt:lpstr>OWID &gt; MILK consumption</vt:lpstr>
      <vt:lpstr>CONSUMPTION-OLD</vt:lpstr>
      <vt:lpstr>OWID &gt; EGG Consumption</vt:lpstr>
      <vt:lpstr>OWID &gt; Beef Consumption</vt:lpstr>
      <vt:lpstr>OWID &gt; Fish &amp; Seafood consumpti</vt:lpstr>
      <vt:lpstr>OWID &gt; Fruit Consumption</vt:lpstr>
      <vt:lpstr>OWID &gt; Pulses-OLD</vt:lpstr>
      <vt:lpstr>CONSUMPTION &gt; Pulses etc</vt:lpstr>
      <vt:lpstr>OWID &gt; Veg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2022-04-25T14:27:24Z</dcterms:created>
  <dcterms:modified xsi:type="dcterms:W3CDTF">2022-04-25T14:29:04Z</dcterms:modified>
</cp:coreProperties>
</file>