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jus\Desktop\"/>
    </mc:Choice>
  </mc:AlternateContent>
  <xr:revisionPtr revIDLastSave="0" documentId="8_{8CBF2780-8957-4FB0-BEBA-EBE2224CF48B}" xr6:coauthVersionLast="47" xr6:coauthVersionMax="47" xr10:uidLastSave="{00000000-0000-0000-0000-000000000000}"/>
  <bookViews>
    <workbookView xWindow="-110" yWindow="-110" windowWidth="19420" windowHeight="10420" xr2:uid="{1D2547D0-0232-45A9-82A6-C1FA39342A3E}"/>
  </bookViews>
  <sheets>
    <sheet name="Fixed Assets" sheetId="5" r:id="rId1"/>
    <sheet name="Free Cash Flow" sheetId="4" r:id="rId2"/>
    <sheet name="Net Working Capital" sheetId="6" r:id="rId3"/>
    <sheet name="WACC" sheetId="7" r:id="rId4"/>
    <sheet name="DCF" sheetId="8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9" i="8" l="1"/>
  <c r="H9" i="8"/>
  <c r="I9" i="8"/>
  <c r="J9" i="8"/>
  <c r="K9" i="8"/>
  <c r="G9" i="8"/>
  <c r="C14" i="8"/>
  <c r="E6" i="8"/>
  <c r="F6" i="8"/>
  <c r="G6" i="8"/>
  <c r="H6" i="8"/>
  <c r="I6" i="8"/>
  <c r="J6" i="8"/>
  <c r="K6" i="8"/>
  <c r="D6" i="8"/>
  <c r="C7" i="7"/>
  <c r="C10" i="7" s="1"/>
  <c r="C5" i="7"/>
  <c r="C16" i="7" s="1"/>
  <c r="I22" i="6"/>
  <c r="J22" i="6"/>
  <c r="K22" i="6"/>
  <c r="L22" i="6"/>
  <c r="H22" i="6"/>
  <c r="I23" i="6"/>
  <c r="J23" i="6"/>
  <c r="J9" i="6" s="1"/>
  <c r="J11" i="6" s="1"/>
  <c r="I21" i="4" s="1"/>
  <c r="K23" i="6"/>
  <c r="L23" i="6"/>
  <c r="H23" i="6"/>
  <c r="H9" i="6" s="1"/>
  <c r="H11" i="6" s="1"/>
  <c r="G21" i="4" s="1"/>
  <c r="H7" i="6"/>
  <c r="G20" i="4" s="1"/>
  <c r="I10" i="6"/>
  <c r="J10" i="6"/>
  <c r="K10" i="6"/>
  <c r="L10" i="6"/>
  <c r="H10" i="6"/>
  <c r="H6" i="6"/>
  <c r="I24" i="6"/>
  <c r="J24" i="6"/>
  <c r="K24" i="6"/>
  <c r="L24" i="6"/>
  <c r="H24" i="6"/>
  <c r="E24" i="6"/>
  <c r="F24" i="6"/>
  <c r="G24" i="6"/>
  <c r="D24" i="6"/>
  <c r="D23" i="6"/>
  <c r="D22" i="6"/>
  <c r="D20" i="6"/>
  <c r="F18" i="6"/>
  <c r="F20" i="6" s="1"/>
  <c r="G18" i="6"/>
  <c r="G20" i="6" s="1"/>
  <c r="H18" i="6"/>
  <c r="I18" i="6"/>
  <c r="J18" i="6"/>
  <c r="K18" i="6"/>
  <c r="L18" i="6"/>
  <c r="E18" i="6"/>
  <c r="E20" i="6" s="1"/>
  <c r="H17" i="4"/>
  <c r="I17" i="4"/>
  <c r="J17" i="4"/>
  <c r="K17" i="4"/>
  <c r="G17" i="4"/>
  <c r="H16" i="4"/>
  <c r="I16" i="4"/>
  <c r="J16" i="4"/>
  <c r="K16" i="4"/>
  <c r="G16" i="4"/>
  <c r="H15" i="4"/>
  <c r="I15" i="4"/>
  <c r="J15" i="4"/>
  <c r="K15" i="4"/>
  <c r="G15" i="4"/>
  <c r="H14" i="4"/>
  <c r="I14" i="4"/>
  <c r="J14" i="4"/>
  <c r="K14" i="4"/>
  <c r="G14" i="4"/>
  <c r="H13" i="4"/>
  <c r="I13" i="4"/>
  <c r="J13" i="4"/>
  <c r="K13" i="4"/>
  <c r="G13" i="4"/>
  <c r="H12" i="4"/>
  <c r="I12" i="4"/>
  <c r="J12" i="4"/>
  <c r="K12" i="4"/>
  <c r="G12" i="4"/>
  <c r="H11" i="4"/>
  <c r="I11" i="4"/>
  <c r="J11" i="4"/>
  <c r="K11" i="4"/>
  <c r="G11" i="4"/>
  <c r="H5" i="4"/>
  <c r="I5" i="4" s="1"/>
  <c r="J5" i="4" s="1"/>
  <c r="K5" i="4" s="1"/>
  <c r="G5" i="4"/>
  <c r="G9" i="4" s="1"/>
  <c r="C14" i="7"/>
  <c r="C17" i="7" s="1"/>
  <c r="H14" i="5"/>
  <c r="H6" i="5" s="1"/>
  <c r="G14" i="5"/>
  <c r="G6" i="5" s="1"/>
  <c r="E15" i="5"/>
  <c r="F15" i="5"/>
  <c r="E14" i="5"/>
  <c r="F14" i="5"/>
  <c r="D14" i="5"/>
  <c r="I14" i="5" s="1"/>
  <c r="I6" i="5" s="1"/>
  <c r="F30" i="4"/>
  <c r="E30" i="4"/>
  <c r="I30" i="4" s="1"/>
  <c r="D30" i="4"/>
  <c r="H30" i="4" s="1"/>
  <c r="E29" i="4"/>
  <c r="J29" i="4" s="1"/>
  <c r="F29" i="4"/>
  <c r="D29" i="4"/>
  <c r="H29" i="4" s="1"/>
  <c r="D27" i="4"/>
  <c r="F27" i="4"/>
  <c r="E27" i="4"/>
  <c r="E7" i="5"/>
  <c r="F7" i="5"/>
  <c r="D7" i="5"/>
  <c r="D15" i="5" s="1"/>
  <c r="D6" i="4"/>
  <c r="E6" i="4"/>
  <c r="F6" i="4"/>
  <c r="E11" i="6"/>
  <c r="D21" i="4" s="1"/>
  <c r="F11" i="6"/>
  <c r="E21" i="4" s="1"/>
  <c r="G11" i="6"/>
  <c r="F21" i="4" s="1"/>
  <c r="D11" i="6"/>
  <c r="E7" i="6"/>
  <c r="D20" i="4" s="1"/>
  <c r="F7" i="6"/>
  <c r="E20" i="4" s="1"/>
  <c r="G7" i="6"/>
  <c r="F20" i="4" s="1"/>
  <c r="D7" i="6"/>
  <c r="D10" i="4"/>
  <c r="E10" i="4"/>
  <c r="F10" i="4"/>
  <c r="G19" i="4" l="1"/>
  <c r="G18" i="4" s="1"/>
  <c r="G22" i="4" s="1"/>
  <c r="I9" i="6"/>
  <c r="I11" i="6" s="1"/>
  <c r="H21" i="4" s="1"/>
  <c r="G22" i="6"/>
  <c r="G23" i="6"/>
  <c r="F22" i="6"/>
  <c r="F23" i="6"/>
  <c r="E22" i="6"/>
  <c r="E23" i="6"/>
  <c r="L20" i="6"/>
  <c r="L5" i="6" s="1"/>
  <c r="K20" i="6"/>
  <c r="K5" i="6" s="1"/>
  <c r="I20" i="6"/>
  <c r="I5" i="6"/>
  <c r="J20" i="6"/>
  <c r="J5" i="6" s="1"/>
  <c r="H20" i="6"/>
  <c r="H5" i="6" s="1"/>
  <c r="C12" i="8"/>
  <c r="C15" i="8"/>
  <c r="C16" i="8" s="1"/>
  <c r="C9" i="7"/>
  <c r="C19" i="7" s="1"/>
  <c r="I8" i="5"/>
  <c r="I15" i="5"/>
  <c r="I7" i="5" s="1"/>
  <c r="G15" i="5"/>
  <c r="G7" i="5" s="1"/>
  <c r="G8" i="5" s="1"/>
  <c r="K15" i="5"/>
  <c r="K7" i="5" s="1"/>
  <c r="H15" i="5"/>
  <c r="H7" i="5" s="1"/>
  <c r="H8" i="5" s="1"/>
  <c r="J15" i="5"/>
  <c r="J7" i="5" s="1"/>
  <c r="J8" i="5" s="1"/>
  <c r="L15" i="5"/>
  <c r="G30" i="4"/>
  <c r="K30" i="4"/>
  <c r="J30" i="4"/>
  <c r="L14" i="5"/>
  <c r="I29" i="4"/>
  <c r="K14" i="5"/>
  <c r="K6" i="5" s="1"/>
  <c r="K8" i="5" s="1"/>
  <c r="J14" i="5"/>
  <c r="J6" i="5" s="1"/>
  <c r="G29" i="4"/>
  <c r="K29" i="4"/>
  <c r="D11" i="4"/>
  <c r="D13" i="4" s="1"/>
  <c r="D31" i="4" s="1"/>
  <c r="F11" i="4"/>
  <c r="F13" i="4" s="1"/>
  <c r="E11" i="4"/>
  <c r="E13" i="4" s="1"/>
  <c r="E31" i="4" s="1"/>
  <c r="G27" i="4"/>
  <c r="D15" i="4"/>
  <c r="F19" i="4"/>
  <c r="E19" i="4"/>
  <c r="D19" i="4"/>
  <c r="D18" i="4" s="1"/>
  <c r="C17" i="8" l="1"/>
  <c r="C21" i="8" s="1"/>
  <c r="C23" i="8" s="1"/>
  <c r="C25" i="8" s="1"/>
  <c r="L9" i="6"/>
  <c r="L11" i="6" s="1"/>
  <c r="K21" i="4" s="1"/>
  <c r="K9" i="6"/>
  <c r="K11" i="6" s="1"/>
  <c r="J21" i="4" s="1"/>
  <c r="E15" i="4"/>
  <c r="G8" i="4"/>
  <c r="G10" i="4" s="1"/>
  <c r="G6" i="4"/>
  <c r="H9" i="4"/>
  <c r="J31" i="4"/>
  <c r="K31" i="4"/>
  <c r="G31" i="4"/>
  <c r="H31" i="4"/>
  <c r="I31" i="4"/>
  <c r="F15" i="4"/>
  <c r="F31" i="4"/>
  <c r="F18" i="4"/>
  <c r="F22" i="4" s="1"/>
  <c r="D22" i="4"/>
  <c r="E18" i="4"/>
  <c r="E22" i="4" s="1"/>
  <c r="I6" i="6" l="1"/>
  <c r="I7" i="6" s="1"/>
  <c r="H20" i="4" s="1"/>
  <c r="H19" i="4" s="1"/>
  <c r="H18" i="4" s="1"/>
  <c r="H22" i="4" s="1"/>
  <c r="H6" i="4"/>
  <c r="H8" i="4"/>
  <c r="H10" i="4" s="1"/>
  <c r="I9" i="4"/>
  <c r="J9" i="4" l="1"/>
  <c r="I8" i="4"/>
  <c r="I10" i="4" s="1"/>
  <c r="I6" i="4"/>
  <c r="J6" i="6" l="1"/>
  <c r="J7" i="6" s="1"/>
  <c r="I20" i="4" s="1"/>
  <c r="I19" i="4" s="1"/>
  <c r="I18" i="4" s="1"/>
  <c r="I22" i="4" s="1"/>
  <c r="K9" i="4"/>
  <c r="J6" i="4"/>
  <c r="J8" i="4"/>
  <c r="J10" i="4" s="1"/>
  <c r="L6" i="6" l="1"/>
  <c r="L7" i="6" s="1"/>
  <c r="K20" i="4" s="1"/>
  <c r="K19" i="4" s="1"/>
  <c r="K18" i="4" s="1"/>
  <c r="K22" i="4" s="1"/>
  <c r="K6" i="6"/>
  <c r="K7" i="6" s="1"/>
  <c r="J20" i="4" s="1"/>
  <c r="J19" i="4" s="1"/>
  <c r="J18" i="4" s="1"/>
  <c r="J22" i="4" s="1"/>
  <c r="K6" i="4"/>
  <c r="K8" i="4"/>
  <c r="K10" i="4" s="1"/>
</calcChain>
</file>

<file path=xl/sharedStrings.xml><?xml version="1.0" encoding="utf-8"?>
<sst xmlns="http://schemas.openxmlformats.org/spreadsheetml/2006/main" count="92" uniqueCount="80">
  <si>
    <t>Total Income</t>
  </si>
  <si>
    <t>Operating Expenses</t>
  </si>
  <si>
    <t>Unlevered Free Cash Flow (mm)</t>
  </si>
  <si>
    <t>Fiscal Year</t>
  </si>
  <si>
    <t>Gross Profit</t>
  </si>
  <si>
    <t>Selling, General, Administrative</t>
  </si>
  <si>
    <t>Other Operating Expenses</t>
  </si>
  <si>
    <t>Total Operating Expenses</t>
  </si>
  <si>
    <t>EBITDA</t>
  </si>
  <si>
    <t>Depreciation &amp; Amortization</t>
  </si>
  <si>
    <t>Operating Profit (EBIT)</t>
  </si>
  <si>
    <t>Operating Taxes</t>
  </si>
  <si>
    <t>NOPAT (Net Operating Profit After Taxes)</t>
  </si>
  <si>
    <t>(+) Depreciation &amp; Amortization</t>
  </si>
  <si>
    <t>(-) Capital Expenditures</t>
  </si>
  <si>
    <t>(-) Change in NWC</t>
  </si>
  <si>
    <t>NWC</t>
  </si>
  <si>
    <t>Current Assets</t>
  </si>
  <si>
    <t>Current Liabilitites</t>
  </si>
  <si>
    <t>Unlevered Free Cash Flow</t>
  </si>
  <si>
    <t>Fixed Assets Schedule</t>
  </si>
  <si>
    <t>Beginning PP&amp;E</t>
  </si>
  <si>
    <t>D&amp;A</t>
  </si>
  <si>
    <t>CapEx</t>
  </si>
  <si>
    <t>Ending PP&amp;E</t>
  </si>
  <si>
    <t>Net Working Capital</t>
  </si>
  <si>
    <t>Accounts Receivables</t>
  </si>
  <si>
    <t>Other Current Assets</t>
  </si>
  <si>
    <t>Other Current Liabilities</t>
  </si>
  <si>
    <t>Current Liabilities</t>
  </si>
  <si>
    <t>-</t>
  </si>
  <si>
    <t>Assumptions</t>
  </si>
  <si>
    <t>Revenue Growth</t>
  </si>
  <si>
    <t>SG&amp;A % of Revenue</t>
  </si>
  <si>
    <t>Other OE % of Revenue</t>
  </si>
  <si>
    <t>Tax % of EBIT</t>
  </si>
  <si>
    <t>D&amp;A as a % of Beginning PP&amp;E</t>
  </si>
  <si>
    <t>CapEx as a % of Beginning PP&amp;E</t>
  </si>
  <si>
    <t>Revenue</t>
  </si>
  <si>
    <t>Days Sales Outstanding (DSO)</t>
  </si>
  <si>
    <t>Other Current Assets as a % of Revenue</t>
  </si>
  <si>
    <t>Accrued Expenses as a % of Revenue</t>
  </si>
  <si>
    <t>Other Current Liabilities as a % of Revenue</t>
  </si>
  <si>
    <t>Weighted Average Cost of Capital (WACC)</t>
  </si>
  <si>
    <t>Equity (mm)</t>
  </si>
  <si>
    <t>Debt (mm)</t>
  </si>
  <si>
    <t>Cost of Debt</t>
  </si>
  <si>
    <t>Tax Rate</t>
  </si>
  <si>
    <t>D/(D+E)</t>
  </si>
  <si>
    <t>After Tax Cost of Debt</t>
  </si>
  <si>
    <t>Risk Free Rate (10-Yr Treasury Yield)</t>
  </si>
  <si>
    <t>Expected Market Return</t>
  </si>
  <si>
    <t>Market Risk Premium</t>
  </si>
  <si>
    <t>Levered Beta</t>
  </si>
  <si>
    <t>E/(D+E)</t>
  </si>
  <si>
    <t>Cost of Equity</t>
  </si>
  <si>
    <t>WACC</t>
  </si>
  <si>
    <t>DCF ANALYSIS</t>
  </si>
  <si>
    <t>Projection Year</t>
  </si>
  <si>
    <t>Present Value of Free Cash Flow</t>
  </si>
  <si>
    <t>Implied Share Price Calculation</t>
  </si>
  <si>
    <t>Sum of PV of FCF</t>
  </si>
  <si>
    <t>Growth Rate</t>
  </si>
  <si>
    <t>Terminal Value</t>
  </si>
  <si>
    <t>PV of Terminal Value</t>
  </si>
  <si>
    <t>Enterprise Value</t>
  </si>
  <si>
    <t>(+) Cash</t>
  </si>
  <si>
    <t>(-) Debt</t>
  </si>
  <si>
    <t>(-) Minority Interest</t>
  </si>
  <si>
    <t>Equity Value</t>
  </si>
  <si>
    <t>Diluted Shares Outstanding (mm)</t>
  </si>
  <si>
    <t>Implied Share Price</t>
  </si>
  <si>
    <t>Curent Price</t>
  </si>
  <si>
    <t>Upside</t>
  </si>
  <si>
    <t>BUY/SELL</t>
  </si>
  <si>
    <t>Accounts Expense</t>
  </si>
  <si>
    <t>HOLD</t>
  </si>
  <si>
    <t>It is almost proper valued</t>
  </si>
  <si>
    <t>Name : Yajush Khatter</t>
  </si>
  <si>
    <t>Roll No: 402083003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</si>
</sst>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A"/>
    <numFmt numFmtId="165" formatCode="yyyy\E"/>
    <numFmt numFmtId="166" formatCode="0.0%"/>
    <numFmt numFmtId="167" formatCode="0.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</font>
    <font>
      <sz val="8"/>
      <color rgb="FF232A31"/>
      <name val="Arial"/>
      <family val="2"/>
    </font>
    <font>
      <sz val="11"/>
      <name val="Calibri"/>
      <family val="2"/>
    </font>
    <font>
      <sz val="11"/>
      <color rgb="FF0000FF"/>
      <name val="Calibri"/>
      <family val="2"/>
    </font>
    <font>
      <sz val="12"/>
      <color theme="0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rgb="FF232A31"/>
      <name val="Arial"/>
      <family val="2"/>
    </font>
    <font>
      <b/>
      <sz val="12"/>
      <color theme="1"/>
      <name val="Calibri"/>
      <family val="2"/>
    </font>
    <font>
      <sz val="11"/>
      <color rgb="FF232A31"/>
      <name val="Arial"/>
      <family val="2"/>
    </font>
    <font>
      <b/>
      <sz val="11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E8EBEF"/>
        <bgColor indexed="64"/>
      </patternFill>
    </fill>
    <fill>
      <patternFill patternType="solid">
        <fgColor rgb="FF2A3E68"/>
        <bgColor rgb="FF2A3E68"/>
      </patternFill>
    </fill>
    <fill>
      <patternFill patternType="solid">
        <fgColor rgb="FFD9E2F3"/>
        <bgColor rgb="FFD9E2F3"/>
      </patternFill>
    </fill>
    <fill>
      <patternFill patternType="solid">
        <fgColor rgb="FFE7E6E6"/>
        <bgColor rgb="FFE7E6E6"/>
      </patternFill>
    </fill>
    <fill>
      <patternFill patternType="solid">
        <fgColor theme="2"/>
        <bgColor indexed="64"/>
      </patternFill>
    </fill>
    <fill>
      <patternFill patternType="solid">
        <fgColor theme="5"/>
        <bgColor rgb="FF2A3E68"/>
      </patternFill>
    </fill>
    <fill>
      <patternFill patternType="solid">
        <fgColor theme="5"/>
        <bgColor rgb="FFD9E2F3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FFFF99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0" borderId="0"/>
  </cellStyleXfs>
  <cellXfs count="78">
    <xf numFmtId="0" fontId="0" fillId="0" borderId="0" xfId="0"/>
    <xf numFmtId="0" fontId="2" fillId="0" borderId="0" xfId="0" applyFont="1"/>
    <xf numFmtId="0" fontId="3" fillId="3" borderId="0" xfId="2" applyFont="1" applyFill="1"/>
    <xf numFmtId="0" fontId="4" fillId="4" borderId="1" xfId="2" applyFont="1" applyFill="1" applyBorder="1"/>
    <xf numFmtId="164" fontId="4" fillId="4" borderId="1" xfId="2" applyNumberFormat="1" applyFont="1" applyFill="1" applyBorder="1"/>
    <xf numFmtId="165" fontId="4" fillId="4" borderId="1" xfId="2" applyNumberFormat="1" applyFont="1" applyFill="1" applyBorder="1"/>
    <xf numFmtId="0" fontId="1" fillId="0" borderId="0" xfId="2"/>
    <xf numFmtId="0" fontId="6" fillId="0" borderId="2" xfId="2" applyFont="1" applyBorder="1"/>
    <xf numFmtId="3" fontId="0" fillId="0" borderId="0" xfId="0" applyNumberFormat="1"/>
    <xf numFmtId="3" fontId="7" fillId="0" borderId="3" xfId="0" applyNumberFormat="1" applyFont="1" applyBorder="1" applyAlignment="1">
      <alignment horizontal="center" vertical="center" wrapText="1"/>
    </xf>
    <xf numFmtId="0" fontId="4" fillId="5" borderId="0" xfId="2" applyFont="1" applyFill="1"/>
    <xf numFmtId="166" fontId="4" fillId="5" borderId="0" xfId="2" applyNumberFormat="1" applyFont="1" applyFill="1"/>
    <xf numFmtId="0" fontId="8" fillId="0" borderId="0" xfId="0" applyFont="1"/>
    <xf numFmtId="0" fontId="4" fillId="0" borderId="0" xfId="0" applyFont="1"/>
    <xf numFmtId="0" fontId="3" fillId="0" borderId="0" xfId="0" applyFont="1"/>
    <xf numFmtId="4" fontId="4" fillId="0" borderId="0" xfId="0" applyNumberFormat="1" applyFont="1"/>
    <xf numFmtId="10" fontId="4" fillId="0" borderId="0" xfId="0" applyNumberFormat="1" applyFont="1"/>
    <xf numFmtId="0" fontId="3" fillId="0" borderId="0" xfId="0" applyFont="1" applyAlignment="1">
      <alignment vertical="center" textRotation="90"/>
    </xf>
    <xf numFmtId="4" fontId="3" fillId="0" borderId="0" xfId="0" applyNumberFormat="1" applyFont="1"/>
    <xf numFmtId="0" fontId="12" fillId="0" borderId="4" xfId="0" applyFont="1" applyBorder="1"/>
    <xf numFmtId="3" fontId="13" fillId="0" borderId="4" xfId="0" applyNumberFormat="1" applyFont="1" applyBorder="1" applyAlignment="1">
      <alignment horizontal="center" vertical="center" wrapText="1"/>
    </xf>
    <xf numFmtId="4" fontId="12" fillId="0" borderId="4" xfId="0" applyNumberFormat="1" applyFont="1" applyBorder="1"/>
    <xf numFmtId="0" fontId="14" fillId="0" borderId="4" xfId="0" applyFont="1" applyBorder="1"/>
    <xf numFmtId="3" fontId="12" fillId="0" borderId="4" xfId="0" applyNumberFormat="1" applyFont="1" applyBorder="1"/>
    <xf numFmtId="0" fontId="10" fillId="7" borderId="4" xfId="0" applyFont="1" applyFill="1" applyBorder="1"/>
    <xf numFmtId="0" fontId="11" fillId="8" borderId="4" xfId="0" applyFont="1" applyFill="1" applyBorder="1"/>
    <xf numFmtId="164" fontId="11" fillId="8" borderId="4" xfId="0" applyNumberFormat="1" applyFont="1" applyFill="1" applyBorder="1"/>
    <xf numFmtId="165" fontId="11" fillId="8" borderId="4" xfId="0" applyNumberFormat="1" applyFont="1" applyFill="1" applyBorder="1"/>
    <xf numFmtId="0" fontId="4" fillId="5" borderId="4" xfId="2" applyFont="1" applyFill="1" applyBorder="1"/>
    <xf numFmtId="9" fontId="0" fillId="0" borderId="4" xfId="1" applyFont="1" applyBorder="1"/>
    <xf numFmtId="9" fontId="0" fillId="0" borderId="4" xfId="0" applyNumberFormat="1" applyBorder="1"/>
    <xf numFmtId="0" fontId="3" fillId="7" borderId="4" xfId="2" applyFont="1" applyFill="1" applyBorder="1"/>
    <xf numFmtId="0" fontId="4" fillId="8" borderId="4" xfId="2" applyFont="1" applyFill="1" applyBorder="1"/>
    <xf numFmtId="164" fontId="4" fillId="8" borderId="4" xfId="2" applyNumberFormat="1" applyFont="1" applyFill="1" applyBorder="1"/>
    <xf numFmtId="165" fontId="4" fillId="8" borderId="4" xfId="2" applyNumberFormat="1" applyFont="1" applyFill="1" applyBorder="1"/>
    <xf numFmtId="0" fontId="0" fillId="0" borderId="4" xfId="0" applyBorder="1"/>
    <xf numFmtId="0" fontId="2" fillId="0" borderId="4" xfId="0" applyFont="1" applyBorder="1"/>
    <xf numFmtId="0" fontId="1" fillId="0" borderId="4" xfId="0" applyFont="1" applyBorder="1"/>
    <xf numFmtId="0" fontId="5" fillId="0" borderId="4" xfId="0" applyFont="1" applyBorder="1" applyAlignment="1">
      <alignment vertical="center"/>
    </xf>
    <xf numFmtId="0" fontId="4" fillId="0" borderId="4" xfId="0" applyFont="1" applyBorder="1"/>
    <xf numFmtId="4" fontId="0" fillId="0" borderId="4" xfId="0" applyNumberFormat="1" applyBorder="1"/>
    <xf numFmtId="0" fontId="6" fillId="0" borderId="4" xfId="0" applyFont="1" applyBorder="1"/>
    <xf numFmtId="0" fontId="4" fillId="0" borderId="4" xfId="0" applyFont="1" applyBorder="1" applyAlignment="1">
      <alignment horizontal="left"/>
    </xf>
    <xf numFmtId="0" fontId="0" fillId="0" borderId="4" xfId="0" applyFont="1" applyBorder="1"/>
    <xf numFmtId="3" fontId="15" fillId="0" borderId="4" xfId="0" applyNumberFormat="1" applyFont="1" applyBorder="1" applyAlignment="1">
      <alignment horizontal="center" vertical="center" wrapText="1"/>
    </xf>
    <xf numFmtId="4" fontId="16" fillId="2" borderId="4" xfId="0" applyNumberFormat="1" applyFont="1" applyFill="1" applyBorder="1" applyAlignment="1">
      <alignment horizontal="right" vertical="center" wrapText="1"/>
    </xf>
    <xf numFmtId="0" fontId="15" fillId="0" borderId="4" xfId="0" applyFont="1" applyBorder="1" applyAlignment="1">
      <alignment horizontal="center" vertical="center" wrapText="1"/>
    </xf>
    <xf numFmtId="4" fontId="0" fillId="0" borderId="4" xfId="0" applyNumberFormat="1" applyFont="1" applyBorder="1"/>
    <xf numFmtId="3" fontId="0" fillId="0" borderId="4" xfId="0" applyNumberFormat="1" applyFont="1" applyBorder="1"/>
    <xf numFmtId="0" fontId="3" fillId="7" borderId="4" xfId="0" applyFont="1" applyFill="1" applyBorder="1"/>
    <xf numFmtId="0" fontId="4" fillId="8" borderId="4" xfId="0" applyFont="1" applyFill="1" applyBorder="1"/>
    <xf numFmtId="164" fontId="4" fillId="8" borderId="4" xfId="0" applyNumberFormat="1" applyFont="1" applyFill="1" applyBorder="1"/>
    <xf numFmtId="165" fontId="4" fillId="8" borderId="4" xfId="0" applyNumberFormat="1" applyFont="1" applyFill="1" applyBorder="1"/>
    <xf numFmtId="0" fontId="3" fillId="7" borderId="0" xfId="2" applyFont="1" applyFill="1"/>
    <xf numFmtId="0" fontId="4" fillId="8" borderId="1" xfId="2" applyFont="1" applyFill="1" applyBorder="1"/>
    <xf numFmtId="164" fontId="4" fillId="8" borderId="1" xfId="2" applyNumberFormat="1" applyFont="1" applyFill="1" applyBorder="1"/>
    <xf numFmtId="165" fontId="4" fillId="8" borderId="1" xfId="2" applyNumberFormat="1" applyFont="1" applyFill="1" applyBorder="1"/>
    <xf numFmtId="0" fontId="4" fillId="5" borderId="4" xfId="0" applyFont="1" applyFill="1" applyBorder="1"/>
    <xf numFmtId="3" fontId="15" fillId="6" borderId="4" xfId="0" applyNumberFormat="1" applyFont="1" applyFill="1" applyBorder="1"/>
    <xf numFmtId="3" fontId="4" fillId="5" borderId="4" xfId="0" applyNumberFormat="1" applyFont="1" applyFill="1" applyBorder="1"/>
    <xf numFmtId="167" fontId="4" fillId="5" borderId="4" xfId="0" applyNumberFormat="1" applyFont="1" applyFill="1" applyBorder="1"/>
    <xf numFmtId="166" fontId="4" fillId="5" borderId="4" xfId="0" applyNumberFormat="1" applyFont="1" applyFill="1" applyBorder="1"/>
    <xf numFmtId="0" fontId="3" fillId="7" borderId="4" xfId="0" applyFont="1" applyFill="1" applyBorder="1" applyAlignment="1">
      <alignment horizontal="center"/>
    </xf>
    <xf numFmtId="0" fontId="8" fillId="9" borderId="4" xfId="0" applyFont="1" applyFill="1" applyBorder="1"/>
    <xf numFmtId="3" fontId="9" fillId="0" borderId="4" xfId="0" applyNumberFormat="1" applyFont="1" applyBorder="1"/>
    <xf numFmtId="3" fontId="4" fillId="0" borderId="4" xfId="0" applyNumberFormat="1" applyFont="1" applyBorder="1"/>
    <xf numFmtId="166" fontId="4" fillId="0" borderId="4" xfId="0" applyNumberFormat="1" applyFont="1" applyBorder="1"/>
    <xf numFmtId="166" fontId="9" fillId="0" borderId="4" xfId="0" applyNumberFormat="1" applyFont="1" applyBorder="1"/>
    <xf numFmtId="166" fontId="6" fillId="0" borderId="4" xfId="0" applyNumberFormat="1" applyFont="1" applyBorder="1"/>
    <xf numFmtId="0" fontId="9" fillId="0" borderId="4" xfId="0" applyFont="1" applyBorder="1"/>
    <xf numFmtId="2" fontId="9" fillId="0" borderId="4" xfId="0" applyNumberFormat="1" applyFont="1" applyBorder="1"/>
    <xf numFmtId="3" fontId="6" fillId="0" borderId="4" xfId="0" applyNumberFormat="1" applyFont="1" applyBorder="1"/>
    <xf numFmtId="0" fontId="0" fillId="10" borderId="4" xfId="0" applyFill="1" applyBorder="1"/>
    <xf numFmtId="0" fontId="2" fillId="10" borderId="4" xfId="0" applyFont="1" applyFill="1" applyBorder="1"/>
    <xf numFmtId="0" fontId="0" fillId="10" borderId="0" xfId="0" applyFill="1"/>
    <xf numFmtId="0" fontId="6" fillId="11" borderId="4" xfId="0" applyFont="1" applyFill="1" applyBorder="1"/>
    <xf numFmtId="4" fontId="6" fillId="11" borderId="4" xfId="0" applyNumberFormat="1" applyFont="1" applyFill="1" applyBorder="1"/>
    <xf numFmtId="166" fontId="6" fillId="11" borderId="4" xfId="0" applyNumberFormat="1" applyFont="1" applyFill="1" applyBorder="1"/>
  </cellXfs>
  <cellStyles count="3">
    <cellStyle name="Normal" xfId="0" builtinId="0"/>
    <cellStyle name="Normal 2" xfId="2" xr:uid="{D62422DA-B7E8-4458-9AC2-A8C75E5DACBC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97507-E867-4569-BECC-064435225EC6}">
  <dimension ref="A1:L15"/>
  <sheetViews>
    <sheetView tabSelected="1" workbookViewId="0">
      <selection activeCell="B12" sqref="B12"/>
    </sheetView>
  </sheetViews>
  <sheetFormatPr defaultRowHeight="14.5" x14ac:dyDescent="0.35"/>
  <cols>
    <col min="1" max="1" width="11.36328125" customWidth="1"/>
    <col min="2" max="2" width="11.54296875" customWidth="1"/>
    <col min="3" max="3" width="27.1796875" bestFit="1" customWidth="1"/>
    <col min="4" max="6" width="14" bestFit="1" customWidth="1"/>
    <col min="7" max="11" width="13.6328125" bestFit="1" customWidth="1"/>
  </cols>
  <sheetData>
    <row r="1" spans="1:12" x14ac:dyDescent="0.35">
      <c r="A1" s="1" t="s">
        <v>78</v>
      </c>
      <c r="B1" s="1"/>
    </row>
    <row r="2" spans="1:12" x14ac:dyDescent="0.35">
      <c r="A2" s="1" t="s">
        <v>79</v>
      </c>
      <c r="B2" s="1"/>
    </row>
    <row r="3" spans="1:12" ht="15.5" x14ac:dyDescent="0.35">
      <c r="C3" s="24" t="s">
        <v>20</v>
      </c>
      <c r="D3" s="24"/>
      <c r="E3" s="24"/>
      <c r="F3" s="24"/>
      <c r="G3" s="24"/>
      <c r="H3" s="24"/>
      <c r="I3" s="24"/>
      <c r="J3" s="24"/>
      <c r="K3" s="24"/>
    </row>
    <row r="4" spans="1:12" ht="15.5" x14ac:dyDescent="0.35">
      <c r="C4" s="25" t="s">
        <v>3</v>
      </c>
      <c r="D4" s="26">
        <v>44196</v>
      </c>
      <c r="E4" s="26">
        <v>44561</v>
      </c>
      <c r="F4" s="26">
        <v>44926</v>
      </c>
      <c r="G4" s="27">
        <v>45291</v>
      </c>
      <c r="H4" s="27">
        <v>45657</v>
      </c>
      <c r="I4" s="27">
        <v>46022</v>
      </c>
      <c r="J4" s="27">
        <v>46387</v>
      </c>
      <c r="K4" s="27">
        <v>46752</v>
      </c>
    </row>
    <row r="5" spans="1:12" ht="15.5" x14ac:dyDescent="0.35">
      <c r="C5" s="19" t="s">
        <v>21</v>
      </c>
      <c r="D5" s="20">
        <v>43187800</v>
      </c>
      <c r="E5" s="20">
        <v>109084600</v>
      </c>
      <c r="F5" s="20">
        <v>117643200</v>
      </c>
      <c r="G5" s="20">
        <v>137398600</v>
      </c>
      <c r="H5" s="20">
        <v>137398601</v>
      </c>
      <c r="I5" s="20">
        <v>137398602</v>
      </c>
      <c r="J5" s="20">
        <v>137398603</v>
      </c>
      <c r="K5" s="20">
        <v>137398604</v>
      </c>
    </row>
    <row r="6" spans="1:12" ht="15.5" x14ac:dyDescent="0.35">
      <c r="C6" s="19" t="s">
        <v>22</v>
      </c>
      <c r="D6" s="20">
        <v>12800300</v>
      </c>
      <c r="E6" s="20">
        <v>13860200</v>
      </c>
      <c r="F6" s="20">
        <v>16816900</v>
      </c>
      <c r="G6" s="19">
        <f>G5*G14</f>
        <v>25940602.083570555</v>
      </c>
      <c r="H6" s="19">
        <f t="shared" ref="H6:K6" si="0">H5*H14</f>
        <v>25940602.27236871</v>
      </c>
      <c r="I6" s="19">
        <f t="shared" si="0"/>
        <v>25940602.461166866</v>
      </c>
      <c r="J6" s="19">
        <f t="shared" si="0"/>
        <v>25940602.649965018</v>
      </c>
      <c r="K6" s="19">
        <f t="shared" si="0"/>
        <v>25940602.838763174</v>
      </c>
    </row>
    <row r="7" spans="1:12" ht="15.5" x14ac:dyDescent="0.35">
      <c r="C7" s="19" t="s">
        <v>23</v>
      </c>
      <c r="D7" s="21">
        <f>D8-D5+D6</f>
        <v>78697100</v>
      </c>
      <c r="E7" s="21">
        <f t="shared" ref="E7:F7" si="1">E8-E5+E6</f>
        <v>22418800</v>
      </c>
      <c r="F7" s="21">
        <f t="shared" si="1"/>
        <v>36572300</v>
      </c>
      <c r="G7" s="19">
        <f>G5*G15</f>
        <v>107106744.38500208</v>
      </c>
      <c r="H7" s="19">
        <f t="shared" ref="H7:K7" si="2">H5*H15</f>
        <v>107106745.16453509</v>
      </c>
      <c r="I7" s="19">
        <f t="shared" si="2"/>
        <v>107106745.9440681</v>
      </c>
      <c r="J7" s="19">
        <f t="shared" si="2"/>
        <v>107106746.7236011</v>
      </c>
      <c r="K7" s="19">
        <f t="shared" si="2"/>
        <v>107106747.50313412</v>
      </c>
    </row>
    <row r="8" spans="1:12" ht="15.5" x14ac:dyDescent="0.35">
      <c r="C8" s="22" t="s">
        <v>24</v>
      </c>
      <c r="D8" s="20">
        <v>109084600</v>
      </c>
      <c r="E8" s="20">
        <v>117643200</v>
      </c>
      <c r="F8" s="20">
        <v>137398600</v>
      </c>
      <c r="G8" s="23">
        <f>G5-G6+G7</f>
        <v>218564742.30143154</v>
      </c>
      <c r="H8" s="23">
        <f t="shared" ref="H8:K8" si="3">H5-H6+H7</f>
        <v>218564743.89216638</v>
      </c>
      <c r="I8" s="23">
        <f t="shared" si="3"/>
        <v>218564745.48290125</v>
      </c>
      <c r="J8" s="23">
        <f t="shared" si="3"/>
        <v>218564747.07363608</v>
      </c>
      <c r="K8" s="23">
        <f t="shared" si="3"/>
        <v>218564748.66437095</v>
      </c>
    </row>
    <row r="12" spans="1:12" x14ac:dyDescent="0.35">
      <c r="C12" s="31" t="s">
        <v>31</v>
      </c>
      <c r="D12" s="31"/>
      <c r="E12" s="31"/>
      <c r="F12" s="31"/>
      <c r="G12" s="31"/>
      <c r="H12" s="31"/>
      <c r="I12" s="31"/>
      <c r="J12" s="31"/>
      <c r="K12" s="31"/>
      <c r="L12" s="31"/>
    </row>
    <row r="13" spans="1:12" x14ac:dyDescent="0.35">
      <c r="C13" s="32" t="s">
        <v>3</v>
      </c>
      <c r="D13" s="33">
        <v>43830</v>
      </c>
      <c r="E13" s="33">
        <v>44196</v>
      </c>
      <c r="F13" s="33">
        <v>44561</v>
      </c>
      <c r="G13" s="33">
        <v>44926</v>
      </c>
      <c r="H13" s="34">
        <v>45291</v>
      </c>
      <c r="I13" s="34">
        <v>45657</v>
      </c>
      <c r="J13" s="34">
        <v>46022</v>
      </c>
      <c r="K13" s="34">
        <v>46387</v>
      </c>
      <c r="L13" s="34">
        <v>46752</v>
      </c>
    </row>
    <row r="14" spans="1:12" x14ac:dyDescent="0.35">
      <c r="C14" s="28" t="s">
        <v>36</v>
      </c>
      <c r="D14" s="29">
        <f>D6/D5</f>
        <v>0.29638694260879228</v>
      </c>
      <c r="E14" s="29">
        <f t="shared" ref="E14:F14" si="4">E6/E5</f>
        <v>0.12705918158933524</v>
      </c>
      <c r="F14" s="29">
        <f t="shared" si="4"/>
        <v>0.14294833870550955</v>
      </c>
      <c r="G14" s="30">
        <f>AVERAGE($D$14:$F$14)</f>
        <v>0.18879815430121236</v>
      </c>
      <c r="H14" s="30">
        <f t="shared" ref="H14:L14" si="5">AVERAGE($D$14:$F$14)</f>
        <v>0.18879815430121236</v>
      </c>
      <c r="I14" s="30">
        <f t="shared" si="5"/>
        <v>0.18879815430121236</v>
      </c>
      <c r="J14" s="30">
        <f t="shared" si="5"/>
        <v>0.18879815430121236</v>
      </c>
      <c r="K14" s="30">
        <f t="shared" si="5"/>
        <v>0.18879815430121236</v>
      </c>
      <c r="L14" s="30">
        <f t="shared" si="5"/>
        <v>0.18879815430121236</v>
      </c>
    </row>
    <row r="15" spans="1:12" x14ac:dyDescent="0.35">
      <c r="C15" s="28" t="s">
        <v>37</v>
      </c>
      <c r="D15" s="29">
        <f>D7/D5</f>
        <v>1.8222067343092263</v>
      </c>
      <c r="E15" s="29">
        <f t="shared" ref="E15:F15" si="6">E7/E5</f>
        <v>0.2055175524317823</v>
      </c>
      <c r="F15" s="29">
        <f t="shared" si="6"/>
        <v>0.31087474669169146</v>
      </c>
      <c r="G15" s="30">
        <f>AVERAGE($D$15:$F$15)</f>
        <v>0.77953301114423346</v>
      </c>
      <c r="H15" s="30">
        <f t="shared" ref="H15:L15" si="7">AVERAGE($D$15:$F$15)</f>
        <v>0.77953301114423346</v>
      </c>
      <c r="I15" s="30">
        <f t="shared" si="7"/>
        <v>0.77953301114423346</v>
      </c>
      <c r="J15" s="30">
        <f t="shared" si="7"/>
        <v>0.77953301114423346</v>
      </c>
      <c r="K15" s="30">
        <f t="shared" si="7"/>
        <v>0.77953301114423346</v>
      </c>
      <c r="L15" s="30">
        <f t="shared" si="7"/>
        <v>0.77953301114423346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E3D43-9E23-4B63-A2C5-1B555DCFAD20}">
  <dimension ref="C3:K31"/>
  <sheetViews>
    <sheetView topLeftCell="A6" zoomScale="81" workbookViewId="0">
      <selection activeCell="C22" sqref="C22"/>
    </sheetView>
  </sheetViews>
  <sheetFormatPr defaultRowHeight="14.5" x14ac:dyDescent="0.35"/>
  <cols>
    <col min="3" max="3" width="36.08984375" bestFit="1" customWidth="1"/>
    <col min="4" max="5" width="16.90625" bestFit="1" customWidth="1"/>
    <col min="6" max="11" width="18.81640625" bestFit="1" customWidth="1"/>
  </cols>
  <sheetData>
    <row r="3" spans="3:11" x14ac:dyDescent="0.35">
      <c r="C3" s="49" t="s">
        <v>2</v>
      </c>
      <c r="D3" s="49"/>
      <c r="E3" s="49"/>
      <c r="F3" s="49"/>
      <c r="G3" s="49"/>
      <c r="H3" s="49"/>
      <c r="I3" s="49"/>
      <c r="J3" s="49"/>
      <c r="K3" s="49"/>
    </row>
    <row r="4" spans="3:11" x14ac:dyDescent="0.35">
      <c r="C4" s="50" t="s">
        <v>3</v>
      </c>
      <c r="D4" s="51">
        <v>44196</v>
      </c>
      <c r="E4" s="51">
        <v>44561</v>
      </c>
      <c r="F4" s="51">
        <v>44926</v>
      </c>
      <c r="G4" s="52">
        <v>45291</v>
      </c>
      <c r="H4" s="52">
        <v>45657</v>
      </c>
      <c r="I4" s="52">
        <v>46022</v>
      </c>
      <c r="J4" s="52">
        <v>46387</v>
      </c>
      <c r="K4" s="52">
        <v>46752</v>
      </c>
    </row>
    <row r="5" spans="3:11" x14ac:dyDescent="0.35">
      <c r="C5" s="43" t="s">
        <v>0</v>
      </c>
      <c r="D5" s="44">
        <v>791746400</v>
      </c>
      <c r="E5" s="44">
        <v>936662200</v>
      </c>
      <c r="F5" s="44">
        <v>1019413700</v>
      </c>
      <c r="G5" s="43">
        <f>F5*(1+G27)</f>
        <v>1174802996.4532087</v>
      </c>
      <c r="H5" s="43">
        <f t="shared" ref="H5:K5" si="0">G5*(1+H27)</f>
        <v>1292283296.0985296</v>
      </c>
      <c r="I5" s="43">
        <f t="shared" si="0"/>
        <v>1524894289.3962648</v>
      </c>
      <c r="J5" s="43">
        <f t="shared" si="0"/>
        <v>1753628432.8057044</v>
      </c>
      <c r="K5" s="43">
        <f t="shared" si="0"/>
        <v>1893918707.4301608</v>
      </c>
    </row>
    <row r="6" spans="3:11" x14ac:dyDescent="0.35">
      <c r="C6" s="36" t="s">
        <v>4</v>
      </c>
      <c r="D6" s="45">
        <f t="shared" ref="D6:F6" si="1">D5</f>
        <v>791746400</v>
      </c>
      <c r="E6" s="45">
        <f t="shared" si="1"/>
        <v>936662200</v>
      </c>
      <c r="F6" s="45">
        <f t="shared" si="1"/>
        <v>1019413700</v>
      </c>
      <c r="G6" s="45">
        <f t="shared" ref="G6" si="2">G5</f>
        <v>1174802996.4532087</v>
      </c>
      <c r="H6" s="45">
        <f t="shared" ref="H6" si="3">H5</f>
        <v>1292283296.0985296</v>
      </c>
      <c r="I6" s="45">
        <f t="shared" ref="I6" si="4">I5</f>
        <v>1524894289.3962648</v>
      </c>
      <c r="J6" s="45">
        <f t="shared" ref="J6" si="5">J5</f>
        <v>1753628432.8057044</v>
      </c>
      <c r="K6" s="45">
        <f t="shared" ref="K6" si="6">K5</f>
        <v>1893918707.4301608</v>
      </c>
    </row>
    <row r="7" spans="3:11" x14ac:dyDescent="0.35">
      <c r="C7" s="43" t="s">
        <v>1</v>
      </c>
      <c r="D7" s="43"/>
      <c r="E7" s="43"/>
      <c r="F7" s="43"/>
      <c r="G7" s="43"/>
      <c r="H7" s="43"/>
      <c r="I7" s="43"/>
      <c r="J7" s="43"/>
      <c r="K7" s="43"/>
    </row>
    <row r="8" spans="3:11" x14ac:dyDescent="0.35">
      <c r="C8" s="43" t="s">
        <v>5</v>
      </c>
      <c r="D8" s="44">
        <v>263946300</v>
      </c>
      <c r="E8" s="44">
        <v>292978900</v>
      </c>
      <c r="F8" s="44">
        <v>320219100</v>
      </c>
      <c r="G8" s="43">
        <f>G5*G29</f>
        <v>376047970.54385108</v>
      </c>
      <c r="H8" s="43">
        <f t="shared" ref="H8:K8" si="7">H5*H29</f>
        <v>413652767.5982362</v>
      </c>
      <c r="I8" s="43">
        <f t="shared" si="7"/>
        <v>488110265.76591867</v>
      </c>
      <c r="J8" s="43">
        <f t="shared" si="7"/>
        <v>561326805.63080645</v>
      </c>
      <c r="K8" s="43">
        <f t="shared" si="7"/>
        <v>606232950.08127093</v>
      </c>
    </row>
    <row r="9" spans="3:11" x14ac:dyDescent="0.35">
      <c r="C9" s="38" t="s">
        <v>6</v>
      </c>
      <c r="D9" s="44">
        <v>333142400</v>
      </c>
      <c r="E9" s="44">
        <v>401648800</v>
      </c>
      <c r="F9" s="46" t="s">
        <v>30</v>
      </c>
      <c r="G9" s="43">
        <f>G5*G30</f>
        <v>332695463.14161855</v>
      </c>
      <c r="H9" s="43">
        <f t="shared" ref="H9:K9" si="8">H5*H30</f>
        <v>365965009.45578039</v>
      </c>
      <c r="I9" s="43">
        <f t="shared" si="8"/>
        <v>431838711.15782088</v>
      </c>
      <c r="J9" s="43">
        <f t="shared" si="8"/>
        <v>496614517.83149391</v>
      </c>
      <c r="K9" s="43">
        <f t="shared" si="8"/>
        <v>536343679.25801349</v>
      </c>
    </row>
    <row r="10" spans="3:11" x14ac:dyDescent="0.35">
      <c r="C10" s="39" t="s">
        <v>7</v>
      </c>
      <c r="D10" s="47">
        <f>SUM(D8:D9)</f>
        <v>597088700</v>
      </c>
      <c r="E10" s="47">
        <f>SUM(E8:E9)</f>
        <v>694627700</v>
      </c>
      <c r="F10" s="47">
        <f>SUM(F8:F9)</f>
        <v>320219100</v>
      </c>
      <c r="G10" s="43">
        <f>SUM(G8:G9)</f>
        <v>708743433.68546963</v>
      </c>
      <c r="H10" s="43">
        <f t="shared" ref="H10:K10" si="9">SUM(H8:H9)</f>
        <v>779617777.05401659</v>
      </c>
      <c r="I10" s="43">
        <f t="shared" si="9"/>
        <v>919948976.92373955</v>
      </c>
      <c r="J10" s="43">
        <f t="shared" si="9"/>
        <v>1057941323.4623003</v>
      </c>
      <c r="K10" s="43">
        <f t="shared" si="9"/>
        <v>1142576629.3392844</v>
      </c>
    </row>
    <row r="11" spans="3:11" x14ac:dyDescent="0.35">
      <c r="C11" s="41" t="s">
        <v>8</v>
      </c>
      <c r="D11" s="47">
        <f t="shared" ref="D11:F11" si="10">D6-D10</f>
        <v>194657700</v>
      </c>
      <c r="E11" s="47">
        <f t="shared" si="10"/>
        <v>242034500</v>
      </c>
      <c r="F11" s="47">
        <f t="shared" si="10"/>
        <v>699194600</v>
      </c>
      <c r="G11" s="47">
        <f>G6-G10</f>
        <v>466059562.76773906</v>
      </c>
      <c r="H11" s="47">
        <f t="shared" ref="H11:K11" si="11">H6-H10</f>
        <v>512665519.04451299</v>
      </c>
      <c r="I11" s="47">
        <f t="shared" si="11"/>
        <v>604945312.47252524</v>
      </c>
      <c r="J11" s="47">
        <f t="shared" si="11"/>
        <v>695687109.34340405</v>
      </c>
      <c r="K11" s="47">
        <f t="shared" si="11"/>
        <v>751342078.09087634</v>
      </c>
    </row>
    <row r="12" spans="3:11" x14ac:dyDescent="0.35">
      <c r="C12" s="39" t="s">
        <v>9</v>
      </c>
      <c r="D12" s="44">
        <v>12800300</v>
      </c>
      <c r="E12" s="44">
        <v>13860200</v>
      </c>
      <c r="F12" s="44">
        <v>16816900</v>
      </c>
      <c r="G12" s="43">
        <f>'Fixed Assets'!G6</f>
        <v>25940602.083570555</v>
      </c>
      <c r="H12" s="43">
        <f>'Fixed Assets'!H6</f>
        <v>25940602.27236871</v>
      </c>
      <c r="I12" s="43">
        <f>'Fixed Assets'!I6</f>
        <v>25940602.461166866</v>
      </c>
      <c r="J12" s="43">
        <f>'Fixed Assets'!J6</f>
        <v>25940602.649965018</v>
      </c>
      <c r="K12" s="43">
        <f>'Fixed Assets'!K6</f>
        <v>25940602.838763174</v>
      </c>
    </row>
    <row r="13" spans="3:11" x14ac:dyDescent="0.35">
      <c r="C13" s="41" t="s">
        <v>10</v>
      </c>
      <c r="D13" s="47">
        <f t="shared" ref="D13:F13" si="12">D11-D12</f>
        <v>181857400</v>
      </c>
      <c r="E13" s="47">
        <f t="shared" si="12"/>
        <v>228174300</v>
      </c>
      <c r="F13" s="47">
        <f t="shared" si="12"/>
        <v>682377700</v>
      </c>
      <c r="G13" s="47">
        <f>G11-G12</f>
        <v>440118960.68416852</v>
      </c>
      <c r="H13" s="47">
        <f t="shared" ref="H13:K13" si="13">H11-H12</f>
        <v>486724916.77214426</v>
      </c>
      <c r="I13" s="47">
        <f t="shared" si="13"/>
        <v>579004710.01135838</v>
      </c>
      <c r="J13" s="47">
        <f t="shared" si="13"/>
        <v>669746506.69343901</v>
      </c>
      <c r="K13" s="47">
        <f t="shared" si="13"/>
        <v>725401475.25211322</v>
      </c>
    </row>
    <row r="14" spans="3:11" x14ac:dyDescent="0.35">
      <c r="C14" s="39" t="s">
        <v>11</v>
      </c>
      <c r="D14" s="44">
        <v>105480000</v>
      </c>
      <c r="E14" s="44">
        <v>113820100</v>
      </c>
      <c r="F14" s="44">
        <v>132559200</v>
      </c>
      <c r="G14" s="43">
        <f>G13*G31</f>
        <v>186772587.66910285</v>
      </c>
      <c r="H14" s="43">
        <f t="shared" ref="H14:K14" si="14">H13*H31</f>
        <v>206550683.58619821</v>
      </c>
      <c r="I14" s="43">
        <f t="shared" si="14"/>
        <v>245711313.58056459</v>
      </c>
      <c r="J14" s="43">
        <f t="shared" si="14"/>
        <v>284219266.40702289</v>
      </c>
      <c r="K14" s="43">
        <f t="shared" si="14"/>
        <v>307837477.44293761</v>
      </c>
    </row>
    <row r="15" spans="3:11" x14ac:dyDescent="0.35">
      <c r="C15" s="41" t="s">
        <v>12</v>
      </c>
      <c r="D15" s="47">
        <f t="shared" ref="D15:F15" si="15">D13-D14</f>
        <v>76377400</v>
      </c>
      <c r="E15" s="47">
        <f t="shared" si="15"/>
        <v>114354200</v>
      </c>
      <c r="F15" s="47">
        <f t="shared" si="15"/>
        <v>549818500</v>
      </c>
      <c r="G15" s="47">
        <f>G13-G14</f>
        <v>253346373.01506567</v>
      </c>
      <c r="H15" s="47">
        <f t="shared" ref="H15:K15" si="16">H13-H14</f>
        <v>280174233.18594605</v>
      </c>
      <c r="I15" s="47">
        <f t="shared" si="16"/>
        <v>333293396.43079376</v>
      </c>
      <c r="J15" s="47">
        <f t="shared" si="16"/>
        <v>385527240.28641611</v>
      </c>
      <c r="K15" s="47">
        <f t="shared" si="16"/>
        <v>417563997.80917561</v>
      </c>
    </row>
    <row r="16" spans="3:11" x14ac:dyDescent="0.35">
      <c r="C16" s="43" t="s">
        <v>13</v>
      </c>
      <c r="D16" s="44">
        <v>12800300</v>
      </c>
      <c r="E16" s="44">
        <v>13860200</v>
      </c>
      <c r="F16" s="44">
        <v>16816900</v>
      </c>
      <c r="G16" s="43">
        <f>G12</f>
        <v>25940602.083570555</v>
      </c>
      <c r="H16" s="43">
        <f t="shared" ref="H16:K16" si="17">H12</f>
        <v>25940602.27236871</v>
      </c>
      <c r="I16" s="43">
        <f t="shared" si="17"/>
        <v>25940602.461166866</v>
      </c>
      <c r="J16" s="43">
        <f t="shared" si="17"/>
        <v>25940602.649965018</v>
      </c>
      <c r="K16" s="43">
        <f t="shared" si="17"/>
        <v>25940602.838763174</v>
      </c>
    </row>
    <row r="17" spans="3:11" x14ac:dyDescent="0.35">
      <c r="C17" s="43" t="s">
        <v>14</v>
      </c>
      <c r="D17" s="43">
        <v>78697100</v>
      </c>
      <c r="E17" s="43">
        <v>22418800</v>
      </c>
      <c r="F17" s="43">
        <v>36572300</v>
      </c>
      <c r="G17" s="47">
        <f>'Fixed Assets'!D7</f>
        <v>78697100</v>
      </c>
      <c r="H17" s="47">
        <f>'Fixed Assets'!E7</f>
        <v>22418800</v>
      </c>
      <c r="I17" s="47">
        <f>'Fixed Assets'!F7</f>
        <v>36572300</v>
      </c>
      <c r="J17" s="47">
        <f>'Fixed Assets'!G7</f>
        <v>107106744.38500208</v>
      </c>
      <c r="K17" s="47">
        <f>'Fixed Assets'!H7</f>
        <v>107106745.16453509</v>
      </c>
    </row>
    <row r="18" spans="3:11" x14ac:dyDescent="0.35">
      <c r="C18" s="43" t="s">
        <v>15</v>
      </c>
      <c r="D18" s="48">
        <f>D19-('Net Working Capital'!D11-'Net Working Capital'!D7)</f>
        <v>-187490800</v>
      </c>
      <c r="E18" s="48">
        <f t="shared" ref="E18:F18" si="18">E19-D19</f>
        <v>-271612300</v>
      </c>
      <c r="F18" s="48">
        <f t="shared" si="18"/>
        <v>-3477800</v>
      </c>
      <c r="G18" s="48">
        <f t="shared" ref="G18" si="19">G19-F19</f>
        <v>23952732.560653806</v>
      </c>
      <c r="H18" s="48">
        <f t="shared" ref="H18" si="20">H19-G19</f>
        <v>-24207576.743934572</v>
      </c>
      <c r="I18" s="48">
        <f t="shared" ref="I18" si="21">I19-H19</f>
        <v>-47931001.952990353</v>
      </c>
      <c r="J18" s="48">
        <f t="shared" ref="J18" si="22">J19-I19</f>
        <v>-47132151.920440793</v>
      </c>
      <c r="K18" s="48">
        <f t="shared" ref="K18" si="23">K19-J19</f>
        <v>-28907719.84453702</v>
      </c>
    </row>
    <row r="19" spans="3:11" x14ac:dyDescent="0.35">
      <c r="C19" s="42" t="s">
        <v>16</v>
      </c>
      <c r="D19" s="48">
        <f t="shared" ref="D19:K19" si="24">D20-D21</f>
        <v>9061600</v>
      </c>
      <c r="E19" s="48">
        <f t="shared" si="24"/>
        <v>-262550700</v>
      </c>
      <c r="F19" s="48">
        <f t="shared" si="24"/>
        <v>-266028500</v>
      </c>
      <c r="G19" s="48">
        <f t="shared" si="24"/>
        <v>-242075767.43934619</v>
      </c>
      <c r="H19" s="48">
        <f t="shared" si="24"/>
        <v>-266283344.18328077</v>
      </c>
      <c r="I19" s="48">
        <f t="shared" si="24"/>
        <v>-314214346.13627112</v>
      </c>
      <c r="J19" s="48">
        <f t="shared" si="24"/>
        <v>-361346498.05671191</v>
      </c>
      <c r="K19" s="48">
        <f t="shared" si="24"/>
        <v>-390254217.90124893</v>
      </c>
    </row>
    <row r="20" spans="3:11" x14ac:dyDescent="0.35">
      <c r="C20" s="42" t="s">
        <v>17</v>
      </c>
      <c r="D20" s="48">
        <f>'Net Working Capital'!E7</f>
        <v>450069600</v>
      </c>
      <c r="E20" s="48">
        <f>'Net Working Capital'!F7</f>
        <v>294212800</v>
      </c>
      <c r="F20" s="48">
        <f>'Net Working Capital'!G7</f>
        <v>344888600</v>
      </c>
      <c r="G20" s="48">
        <f>'Net Working Capital'!H7</f>
        <v>456151191.33143198</v>
      </c>
      <c r="H20" s="48">
        <f>'Net Working Capital'!I7</f>
        <v>501766310.46457523</v>
      </c>
      <c r="I20" s="48">
        <f>'Net Working Capital'!J7</f>
        <v>592084246.34819877</v>
      </c>
      <c r="J20" s="48">
        <f>'Net Working Capital'!K7</f>
        <v>680896883.30042839</v>
      </c>
      <c r="K20" s="48">
        <f>'Net Working Capital'!L7</f>
        <v>735368633.96446276</v>
      </c>
    </row>
    <row r="21" spans="3:11" x14ac:dyDescent="0.35">
      <c r="C21" s="42" t="s">
        <v>18</v>
      </c>
      <c r="D21" s="48">
        <f>'Net Working Capital'!E11</f>
        <v>441008000</v>
      </c>
      <c r="E21" s="48">
        <f>'Net Working Capital'!F11</f>
        <v>556763500</v>
      </c>
      <c r="F21" s="48">
        <f>'Net Working Capital'!G11</f>
        <v>610917100</v>
      </c>
      <c r="G21" s="48">
        <f>'Net Working Capital'!H11</f>
        <v>698226958.77077818</v>
      </c>
      <c r="H21" s="48">
        <f>'Net Working Capital'!I11</f>
        <v>768049654.647856</v>
      </c>
      <c r="I21" s="48">
        <f>'Net Working Capital'!J11</f>
        <v>906298592.48446989</v>
      </c>
      <c r="J21" s="48">
        <f>'Net Working Capital'!K11</f>
        <v>1042243381.3571403</v>
      </c>
      <c r="K21" s="48">
        <f>'Net Working Capital'!L11</f>
        <v>1125622851.8657117</v>
      </c>
    </row>
    <row r="22" spans="3:11" x14ac:dyDescent="0.35">
      <c r="C22" s="75" t="s">
        <v>19</v>
      </c>
      <c r="D22" s="47">
        <f>D15+D16-D17-D18</f>
        <v>197971400</v>
      </c>
      <c r="E22" s="47">
        <f t="shared" ref="E22:K22" si="25">E15+E16-E17-E18</f>
        <v>377407900</v>
      </c>
      <c r="F22" s="47">
        <f t="shared" si="25"/>
        <v>533540900</v>
      </c>
      <c r="G22" s="47">
        <f t="shared" si="25"/>
        <v>176637142.5379824</v>
      </c>
      <c r="H22" s="47">
        <f t="shared" si="25"/>
        <v>307903612.20224935</v>
      </c>
      <c r="I22" s="47">
        <f t="shared" si="25"/>
        <v>370592700.84495097</v>
      </c>
      <c r="J22" s="47">
        <f t="shared" si="25"/>
        <v>351493250.47181982</v>
      </c>
      <c r="K22" s="47">
        <f t="shared" si="25"/>
        <v>365305575.3279407</v>
      </c>
    </row>
    <row r="25" spans="3:11" x14ac:dyDescent="0.35">
      <c r="C25" s="53" t="s">
        <v>31</v>
      </c>
      <c r="D25" s="53"/>
      <c r="E25" s="53"/>
      <c r="F25" s="53"/>
      <c r="G25" s="53"/>
      <c r="H25" s="53"/>
      <c r="I25" s="53"/>
      <c r="J25" s="53"/>
      <c r="K25" s="53"/>
    </row>
    <row r="26" spans="3:11" x14ac:dyDescent="0.35">
      <c r="C26" s="54" t="s">
        <v>3</v>
      </c>
      <c r="D26" s="55">
        <v>44196</v>
      </c>
      <c r="E26" s="55">
        <v>44561</v>
      </c>
      <c r="F26" s="55">
        <v>44926</v>
      </c>
      <c r="G26" s="56">
        <v>45291</v>
      </c>
      <c r="H26" s="56">
        <v>45657</v>
      </c>
      <c r="I26" s="56">
        <v>46022</v>
      </c>
      <c r="J26" s="56">
        <v>46387</v>
      </c>
      <c r="K26" s="56">
        <v>46752</v>
      </c>
    </row>
    <row r="27" spans="3:11" x14ac:dyDescent="0.35">
      <c r="C27" s="10" t="s">
        <v>32</v>
      </c>
      <c r="D27" s="11">
        <f>D5/667627800-1</f>
        <v>0.1859098737350362</v>
      </c>
      <c r="E27" s="11">
        <f>E5/D5-1</f>
        <v>0.18303310251868532</v>
      </c>
      <c r="F27" s="11">
        <f>F5/E5-1</f>
        <v>8.8347218452927923E-2</v>
      </c>
      <c r="G27" s="11">
        <f>AVERAGE(D27:F27)</f>
        <v>0.15243006490221647</v>
      </c>
      <c r="H27" s="11">
        <v>0.1</v>
      </c>
      <c r="I27" s="11">
        <v>0.18</v>
      </c>
      <c r="J27" s="11">
        <v>0.15</v>
      </c>
      <c r="K27" s="11">
        <v>0.08</v>
      </c>
    </row>
    <row r="28" spans="3:11" x14ac:dyDescent="0.35">
      <c r="C28" s="10"/>
      <c r="D28" s="10"/>
      <c r="E28" s="10"/>
      <c r="F28" s="10"/>
      <c r="G28" s="10"/>
      <c r="H28" s="10"/>
      <c r="I28" s="10"/>
      <c r="J28" s="10"/>
      <c r="K28" s="10"/>
    </row>
    <row r="29" spans="3:11" x14ac:dyDescent="0.35">
      <c r="C29" s="10" t="s">
        <v>33</v>
      </c>
      <c r="D29" s="11">
        <f>D8/D5</f>
        <v>0.33337227677953446</v>
      </c>
      <c r="E29" s="11">
        <f t="shared" ref="E29:F29" si="26">E8/E5</f>
        <v>0.31279035280808815</v>
      </c>
      <c r="F29" s="11">
        <f t="shared" si="26"/>
        <v>0.31412085201523188</v>
      </c>
      <c r="G29" s="11">
        <f>AVERAGE($D$29:$F$29)</f>
        <v>0.32009449386761818</v>
      </c>
      <c r="H29" s="11">
        <f t="shared" ref="H29:K29" si="27">AVERAGE($D$29:$F$29)</f>
        <v>0.32009449386761818</v>
      </c>
      <c r="I29" s="11">
        <f t="shared" si="27"/>
        <v>0.32009449386761818</v>
      </c>
      <c r="J29" s="11">
        <f t="shared" si="27"/>
        <v>0.32009449386761818</v>
      </c>
      <c r="K29" s="11">
        <f t="shared" si="27"/>
        <v>0.32009449386761818</v>
      </c>
    </row>
    <row r="30" spans="3:11" x14ac:dyDescent="0.35">
      <c r="C30" s="10" t="s">
        <v>34</v>
      </c>
      <c r="D30" s="11">
        <f>D9/D5</f>
        <v>0.42076907454205031</v>
      </c>
      <c r="E30" s="11">
        <f t="shared" ref="E30" si="28">E9/E5</f>
        <v>0.42880859289506934</v>
      </c>
      <c r="F30" s="11">
        <f>0</f>
        <v>0</v>
      </c>
      <c r="G30" s="11">
        <f>AVERAGE($D$30:$F$30)</f>
        <v>0.28319255581237318</v>
      </c>
      <c r="H30" s="11">
        <f t="shared" ref="H30:K30" si="29">AVERAGE($D$30:$F$30)</f>
        <v>0.28319255581237318</v>
      </c>
      <c r="I30" s="11">
        <f t="shared" si="29"/>
        <v>0.28319255581237318</v>
      </c>
      <c r="J30" s="11">
        <f t="shared" si="29"/>
        <v>0.28319255581237318</v>
      </c>
      <c r="K30" s="11">
        <f t="shared" si="29"/>
        <v>0.28319255581237318</v>
      </c>
    </row>
    <row r="31" spans="3:11" x14ac:dyDescent="0.35">
      <c r="C31" s="10" t="s">
        <v>35</v>
      </c>
      <c r="D31" s="11">
        <f>D14/D13</f>
        <v>0.58001489078805701</v>
      </c>
      <c r="E31" s="11">
        <f t="shared" ref="E31:F31" si="30">E14/E13</f>
        <v>0.498829622792751</v>
      </c>
      <c r="F31" s="11">
        <f t="shared" si="30"/>
        <v>0.19426074445281549</v>
      </c>
      <c r="G31" s="11">
        <f>AVERAGE($D$31:$F$31)</f>
        <v>0.42436841934454117</v>
      </c>
      <c r="H31" s="11">
        <f t="shared" ref="H31:K31" si="31">AVERAGE($D$31:$F$31)</f>
        <v>0.42436841934454117</v>
      </c>
      <c r="I31" s="11">
        <f t="shared" si="31"/>
        <v>0.42436841934454117</v>
      </c>
      <c r="J31" s="11">
        <f t="shared" si="31"/>
        <v>0.42436841934454117</v>
      </c>
      <c r="K31" s="11">
        <f t="shared" si="31"/>
        <v>0.42436841934454117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2D853-C411-46DA-8F8F-6A4F74803C73}">
  <dimension ref="C3:L24"/>
  <sheetViews>
    <sheetView topLeftCell="A14" zoomScale="103" workbookViewId="0">
      <selection activeCell="C27" sqref="C27"/>
    </sheetView>
  </sheetViews>
  <sheetFormatPr defaultRowHeight="14.5" x14ac:dyDescent="0.35"/>
  <cols>
    <col min="3" max="3" width="36.54296875" bestFit="1" customWidth="1"/>
    <col min="4" max="4" width="14" bestFit="1" customWidth="1"/>
    <col min="5" max="6" width="12.90625" bestFit="1" customWidth="1"/>
    <col min="7" max="12" width="14.6328125" bestFit="1" customWidth="1"/>
  </cols>
  <sheetData>
    <row r="3" spans="3:12" x14ac:dyDescent="0.35">
      <c r="C3" s="2" t="s">
        <v>25</v>
      </c>
      <c r="D3" s="2"/>
      <c r="E3" s="2"/>
      <c r="F3" s="2"/>
      <c r="G3" s="2"/>
      <c r="H3" s="2"/>
      <c r="I3" s="2"/>
      <c r="J3" s="2"/>
      <c r="K3" s="2"/>
      <c r="L3" s="2"/>
    </row>
    <row r="4" spans="3:12" x14ac:dyDescent="0.35">
      <c r="C4" s="3" t="s">
        <v>3</v>
      </c>
      <c r="D4" s="4">
        <v>43830</v>
      </c>
      <c r="E4" s="4">
        <v>44196</v>
      </c>
      <c r="F4" s="4">
        <v>44561</v>
      </c>
      <c r="G4" s="4">
        <v>44926</v>
      </c>
      <c r="H4" s="5">
        <v>45291</v>
      </c>
      <c r="I4" s="5">
        <v>45657</v>
      </c>
      <c r="J4" s="5">
        <v>46022</v>
      </c>
      <c r="K4" s="5">
        <v>46387</v>
      </c>
      <c r="L4" s="5">
        <v>46752</v>
      </c>
    </row>
    <row r="5" spans="3:12" ht="15" thickBot="1" x14ac:dyDescent="0.4">
      <c r="C5" s="6" t="s">
        <v>26</v>
      </c>
      <c r="D5" s="9">
        <v>161283000</v>
      </c>
      <c r="E5" s="9">
        <v>405517000</v>
      </c>
      <c r="F5" s="9">
        <v>204362300</v>
      </c>
      <c r="G5" s="9">
        <v>230467700</v>
      </c>
      <c r="H5">
        <f>H18*H20/360</f>
        <v>351858414.93004626</v>
      </c>
      <c r="I5">
        <f>I18*I20/360</f>
        <v>387044256.42305094</v>
      </c>
      <c r="J5">
        <f>J18*J20/360</f>
        <v>456712222.57920009</v>
      </c>
      <c r="K5">
        <f>K18*K20/360</f>
        <v>525219055.96607995</v>
      </c>
      <c r="L5">
        <f>L18*L20/360</f>
        <v>567236580.44336641</v>
      </c>
    </row>
    <row r="6" spans="3:12" ht="15" thickBot="1" x14ac:dyDescent="0.4">
      <c r="C6" s="6" t="s">
        <v>27</v>
      </c>
      <c r="D6" s="9">
        <v>60526700</v>
      </c>
      <c r="E6" s="9">
        <v>44552600</v>
      </c>
      <c r="F6" s="9">
        <v>89850500</v>
      </c>
      <c r="G6" s="9">
        <v>114420900</v>
      </c>
      <c r="H6">
        <f>H22*H18</f>
        <v>104292776.40138574</v>
      </c>
      <c r="I6">
        <f t="shared" ref="I6:L6" si="0">I22*I18</f>
        <v>114722054.04152431</v>
      </c>
      <c r="J6">
        <f t="shared" si="0"/>
        <v>135372023.76899868</v>
      </c>
      <c r="K6">
        <f t="shared" si="0"/>
        <v>155677827.33434847</v>
      </c>
      <c r="L6">
        <f t="shared" si="0"/>
        <v>168132053.52109635</v>
      </c>
    </row>
    <row r="7" spans="3:12" x14ac:dyDescent="0.35">
      <c r="C7" s="7" t="s">
        <v>17</v>
      </c>
      <c r="D7" s="8">
        <f>SUM(D5:D6)</f>
        <v>221809700</v>
      </c>
      <c r="E7" s="8">
        <f t="shared" ref="E7:L7" si="1">SUM(E5:E6)</f>
        <v>450069600</v>
      </c>
      <c r="F7" s="8">
        <f t="shared" si="1"/>
        <v>294212800</v>
      </c>
      <c r="G7" s="8">
        <f t="shared" si="1"/>
        <v>344888600</v>
      </c>
      <c r="H7" s="8">
        <f t="shared" si="1"/>
        <v>456151191.33143198</v>
      </c>
      <c r="I7" s="8">
        <f t="shared" si="1"/>
        <v>501766310.46457523</v>
      </c>
      <c r="J7" s="8">
        <f t="shared" si="1"/>
        <v>592084246.34819877</v>
      </c>
      <c r="K7" s="8">
        <f t="shared" si="1"/>
        <v>680896883.30042839</v>
      </c>
      <c r="L7" s="8">
        <f t="shared" si="1"/>
        <v>735368633.96446276</v>
      </c>
    </row>
    <row r="8" spans="3:12" x14ac:dyDescent="0.35">
      <c r="C8" s="6"/>
    </row>
    <row r="9" spans="3:12" ht="15" thickBot="1" x14ac:dyDescent="0.4">
      <c r="C9" s="6" t="s">
        <v>75</v>
      </c>
      <c r="D9" s="9">
        <v>295806300</v>
      </c>
      <c r="E9" s="9">
        <v>314200600</v>
      </c>
      <c r="F9" s="9">
        <v>415141200</v>
      </c>
      <c r="G9" s="9">
        <v>424181600</v>
      </c>
      <c r="H9">
        <f>H23*H18</f>
        <v>499065865.68976641</v>
      </c>
      <c r="I9">
        <f t="shared" ref="I9:L9" si="2">I23*I18</f>
        <v>548972452.25874305</v>
      </c>
      <c r="J9">
        <f t="shared" si="2"/>
        <v>647787493.6653167</v>
      </c>
      <c r="K9">
        <f t="shared" si="2"/>
        <v>744955617.71511424</v>
      </c>
      <c r="L9">
        <f t="shared" si="2"/>
        <v>804552067.13232338</v>
      </c>
    </row>
    <row r="10" spans="3:12" ht="15" thickBot="1" x14ac:dyDescent="0.4">
      <c r="C10" s="6" t="s">
        <v>28</v>
      </c>
      <c r="D10" s="9">
        <v>122555800</v>
      </c>
      <c r="E10" s="9">
        <v>126807400</v>
      </c>
      <c r="F10" s="9">
        <v>141622300</v>
      </c>
      <c r="G10" s="9">
        <v>186735500</v>
      </c>
      <c r="H10">
        <f>H24*H18</f>
        <v>199161093.08101171</v>
      </c>
      <c r="I10">
        <f t="shared" ref="I10:L10" si="3">I24*I18</f>
        <v>219077202.38911289</v>
      </c>
      <c r="J10">
        <f t="shared" si="3"/>
        <v>258511098.81915319</v>
      </c>
      <c r="K10">
        <f t="shared" si="3"/>
        <v>297287763.64202613</v>
      </c>
      <c r="L10">
        <f t="shared" si="3"/>
        <v>321070784.73338825</v>
      </c>
    </row>
    <row r="11" spans="3:12" x14ac:dyDescent="0.35">
      <c r="C11" s="7" t="s">
        <v>29</v>
      </c>
      <c r="D11" s="8">
        <f>SUM(D9:D10)</f>
        <v>418362100</v>
      </c>
      <c r="E11" s="8">
        <f t="shared" ref="E11:L11" si="4">SUM(E9:E10)</f>
        <v>441008000</v>
      </c>
      <c r="F11" s="8">
        <f t="shared" si="4"/>
        <v>556763500</v>
      </c>
      <c r="G11" s="8">
        <f t="shared" si="4"/>
        <v>610917100</v>
      </c>
      <c r="H11" s="8">
        <f t="shared" si="4"/>
        <v>698226958.77077818</v>
      </c>
      <c r="I11" s="8">
        <f t="shared" si="4"/>
        <v>768049654.647856</v>
      </c>
      <c r="J11" s="8">
        <f t="shared" si="4"/>
        <v>906298592.48446989</v>
      </c>
      <c r="K11" s="8">
        <f t="shared" si="4"/>
        <v>1042243381.3571403</v>
      </c>
      <c r="L11" s="8">
        <f t="shared" si="4"/>
        <v>1125622851.8657117</v>
      </c>
    </row>
    <row r="16" spans="3:12" x14ac:dyDescent="0.35">
      <c r="C16" s="49" t="s">
        <v>31</v>
      </c>
      <c r="D16" s="49"/>
      <c r="E16" s="49"/>
      <c r="F16" s="49"/>
      <c r="G16" s="49"/>
      <c r="H16" s="49"/>
      <c r="I16" s="49"/>
      <c r="J16" s="49"/>
      <c r="K16" s="49"/>
      <c r="L16" s="49"/>
    </row>
    <row r="17" spans="3:12" x14ac:dyDescent="0.35">
      <c r="C17" s="50" t="s">
        <v>3</v>
      </c>
      <c r="D17" s="51">
        <v>43830</v>
      </c>
      <c r="E17" s="51">
        <v>44196</v>
      </c>
      <c r="F17" s="51">
        <v>44561</v>
      </c>
      <c r="G17" s="51">
        <v>44926</v>
      </c>
      <c r="H17" s="52">
        <v>45291</v>
      </c>
      <c r="I17" s="52">
        <v>45657</v>
      </c>
      <c r="J17" s="52">
        <v>46022</v>
      </c>
      <c r="K17" s="52">
        <v>46387</v>
      </c>
      <c r="L17" s="52">
        <v>46752</v>
      </c>
    </row>
    <row r="18" spans="3:12" x14ac:dyDescent="0.35">
      <c r="C18" s="57" t="s">
        <v>38</v>
      </c>
      <c r="D18" s="58">
        <v>667627800</v>
      </c>
      <c r="E18" s="59">
        <f>'Free Cash Flow'!D5</f>
        <v>791746400</v>
      </c>
      <c r="F18" s="59">
        <f>'Free Cash Flow'!E5</f>
        <v>936662200</v>
      </c>
      <c r="G18" s="59">
        <f>'Free Cash Flow'!F5</f>
        <v>1019413700</v>
      </c>
      <c r="H18" s="59">
        <f>'Free Cash Flow'!G5</f>
        <v>1174802996.4532087</v>
      </c>
      <c r="I18" s="59">
        <f>'Free Cash Flow'!H5</f>
        <v>1292283296.0985296</v>
      </c>
      <c r="J18" s="59">
        <f>'Free Cash Flow'!I5</f>
        <v>1524894289.3962648</v>
      </c>
      <c r="K18" s="59">
        <f>'Free Cash Flow'!J5</f>
        <v>1753628432.8057044</v>
      </c>
      <c r="L18" s="59">
        <f>'Free Cash Flow'!K5</f>
        <v>1893918707.4301608</v>
      </c>
    </row>
    <row r="19" spans="3:12" x14ac:dyDescent="0.35">
      <c r="C19" s="57"/>
      <c r="D19" s="57"/>
      <c r="E19" s="57"/>
      <c r="F19" s="57"/>
      <c r="G19" s="57"/>
      <c r="H19" s="57"/>
      <c r="I19" s="57"/>
      <c r="J19" s="57"/>
      <c r="K19" s="57"/>
      <c r="L19" s="57"/>
    </row>
    <row r="20" spans="3:12" x14ac:dyDescent="0.35">
      <c r="C20" s="57" t="s">
        <v>39</v>
      </c>
      <c r="D20" s="60">
        <f>D5/D18*360</f>
        <v>86.96743904313152</v>
      </c>
      <c r="E20" s="60">
        <f>E5/E18*360</f>
        <v>184.38494952424162</v>
      </c>
      <c r="F20" s="60">
        <f>F5/F18*360</f>
        <v>78.545315482999101</v>
      </c>
      <c r="G20" s="60">
        <f>G5/G18*360</f>
        <v>81.388323503990577</v>
      </c>
      <c r="H20" s="60">
        <f>AVERAGE($D$20:$G$20)</f>
        <v>107.82150688859072</v>
      </c>
      <c r="I20" s="60">
        <f t="shared" ref="I20:L20" si="5">AVERAGE($D$20:$G$20)</f>
        <v>107.82150688859072</v>
      </c>
      <c r="J20" s="60">
        <f t="shared" si="5"/>
        <v>107.82150688859072</v>
      </c>
      <c r="K20" s="60">
        <f t="shared" si="5"/>
        <v>107.82150688859072</v>
      </c>
      <c r="L20" s="60">
        <f t="shared" si="5"/>
        <v>107.82150688859072</v>
      </c>
    </row>
    <row r="21" spans="3:12" x14ac:dyDescent="0.35">
      <c r="C21" s="57"/>
      <c r="D21" s="57"/>
      <c r="E21" s="57"/>
      <c r="F21" s="57"/>
      <c r="G21" s="57"/>
      <c r="H21" s="57"/>
      <c r="I21" s="57"/>
      <c r="J21" s="57"/>
      <c r="K21" s="57"/>
      <c r="L21" s="57"/>
    </row>
    <row r="22" spans="3:12" x14ac:dyDescent="0.35">
      <c r="C22" s="57" t="s">
        <v>40</v>
      </c>
      <c r="D22" s="61">
        <f>D6/D$18</f>
        <v>9.0659346420265907E-2</v>
      </c>
      <c r="E22" s="61">
        <f t="shared" ref="E22:G22" si="6">E6/E$18</f>
        <v>5.6271301012546439E-2</v>
      </c>
      <c r="F22" s="61">
        <f t="shared" si="6"/>
        <v>9.5926258153686564E-2</v>
      </c>
      <c r="G22" s="61">
        <f t="shared" si="6"/>
        <v>0.11224187000822139</v>
      </c>
      <c r="H22" s="61">
        <f>AVERAGE($D$22:$G$22)</f>
        <v>8.8774693898680077E-2</v>
      </c>
      <c r="I22" s="61">
        <f t="shared" ref="I22:L22" si="7">AVERAGE($D$22:$G$22)</f>
        <v>8.8774693898680077E-2</v>
      </c>
      <c r="J22" s="61">
        <f t="shared" si="7"/>
        <v>8.8774693898680077E-2</v>
      </c>
      <c r="K22" s="61">
        <f t="shared" si="7"/>
        <v>8.8774693898680077E-2</v>
      </c>
      <c r="L22" s="61">
        <f t="shared" si="7"/>
        <v>8.8774693898680077E-2</v>
      </c>
    </row>
    <row r="23" spans="3:12" x14ac:dyDescent="0.35">
      <c r="C23" s="57" t="s">
        <v>41</v>
      </c>
      <c r="D23" s="61">
        <f>D9/D$18</f>
        <v>0.4430706750078412</v>
      </c>
      <c r="E23" s="61">
        <f t="shared" ref="E23:G23" si="8">E9/E$18</f>
        <v>0.39684499986359267</v>
      </c>
      <c r="F23" s="61">
        <f t="shared" si="8"/>
        <v>0.44321335909573378</v>
      </c>
      <c r="G23" s="61">
        <f t="shared" si="8"/>
        <v>0.41610349164426574</v>
      </c>
      <c r="H23" s="61">
        <f>AVERAGE($D$23:$G$23)</f>
        <v>0.42480813140285834</v>
      </c>
      <c r="I23" s="61">
        <f t="shared" ref="I23:L23" si="9">AVERAGE($D$23:$G$23)</f>
        <v>0.42480813140285834</v>
      </c>
      <c r="J23" s="61">
        <f t="shared" si="9"/>
        <v>0.42480813140285834</v>
      </c>
      <c r="K23" s="61">
        <f t="shared" si="9"/>
        <v>0.42480813140285834</v>
      </c>
      <c r="L23" s="61">
        <f t="shared" si="9"/>
        <v>0.42480813140285834</v>
      </c>
    </row>
    <row r="24" spans="3:12" x14ac:dyDescent="0.35">
      <c r="C24" s="57" t="s">
        <v>42</v>
      </c>
      <c r="D24" s="61">
        <f>D10/D$18</f>
        <v>0.18356904850277356</v>
      </c>
      <c r="E24" s="61">
        <f t="shared" ref="E24:G24" si="10">E10/E$18</f>
        <v>0.1601616376152768</v>
      </c>
      <c r="F24" s="61">
        <f t="shared" si="10"/>
        <v>0.15119890607307523</v>
      </c>
      <c r="G24" s="61">
        <f t="shared" si="10"/>
        <v>0.18317931179461291</v>
      </c>
      <c r="H24" s="61">
        <f>AVERAGE($D$24:$G$24)</f>
        <v>0.16952722599643463</v>
      </c>
      <c r="I24" s="61">
        <f t="shared" ref="I24:L24" si="11">AVERAGE($D$24:$G$24)</f>
        <v>0.16952722599643463</v>
      </c>
      <c r="J24" s="61">
        <f t="shared" si="11"/>
        <v>0.16952722599643463</v>
      </c>
      <c r="K24" s="61">
        <f t="shared" si="11"/>
        <v>0.16952722599643463</v>
      </c>
      <c r="L24" s="61">
        <f t="shared" si="11"/>
        <v>0.16952722599643463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0BA74-0C7C-4829-8938-569B99419E69}">
  <dimension ref="B3:C19"/>
  <sheetViews>
    <sheetView workbookViewId="0">
      <selection activeCell="D19" sqref="D19"/>
    </sheetView>
  </sheetViews>
  <sheetFormatPr defaultRowHeight="14.5" x14ac:dyDescent="0.35"/>
  <cols>
    <col min="2" max="2" width="31.08984375" bestFit="1" customWidth="1"/>
    <col min="3" max="3" width="12.6328125" bestFit="1" customWidth="1"/>
  </cols>
  <sheetData>
    <row r="3" spans="2:3" x14ac:dyDescent="0.35">
      <c r="B3" s="62" t="s">
        <v>43</v>
      </c>
      <c r="C3" s="63"/>
    </row>
    <row r="4" spans="2:3" x14ac:dyDescent="0.35">
      <c r="B4" s="39" t="s">
        <v>44</v>
      </c>
      <c r="C4" s="64">
        <v>2509453400</v>
      </c>
    </row>
    <row r="5" spans="2:3" x14ac:dyDescent="0.35">
      <c r="B5" s="39" t="s">
        <v>45</v>
      </c>
      <c r="C5" s="65">
        <f>SUM(554167600,1554333400)</f>
        <v>2108501000</v>
      </c>
    </row>
    <row r="6" spans="2:3" x14ac:dyDescent="0.35">
      <c r="B6" s="39"/>
      <c r="C6" s="39"/>
    </row>
    <row r="7" spans="2:3" x14ac:dyDescent="0.35">
      <c r="B7" s="39" t="s">
        <v>46</v>
      </c>
      <c r="C7" s="66">
        <f>(748839500/C5)</f>
        <v>0.35515254676189389</v>
      </c>
    </row>
    <row r="8" spans="2:3" x14ac:dyDescent="0.35">
      <c r="B8" s="39" t="s">
        <v>47</v>
      </c>
      <c r="C8" s="67">
        <v>0.3</v>
      </c>
    </row>
    <row r="9" spans="2:3" x14ac:dyDescent="0.35">
      <c r="B9" s="39" t="s">
        <v>48</v>
      </c>
      <c r="C9" s="66">
        <f>C5/SUM(C4:C5)</f>
        <v>0.45658766141129503</v>
      </c>
    </row>
    <row r="10" spans="2:3" x14ac:dyDescent="0.35">
      <c r="B10" s="41" t="s">
        <v>49</v>
      </c>
      <c r="C10" s="68">
        <f>C7*(1-C8)</f>
        <v>0.2486067827333257</v>
      </c>
    </row>
    <row r="11" spans="2:3" x14ac:dyDescent="0.35">
      <c r="B11" s="41"/>
      <c r="C11" s="68"/>
    </row>
    <row r="12" spans="2:3" x14ac:dyDescent="0.35">
      <c r="B12" s="39" t="s">
        <v>50</v>
      </c>
      <c r="C12" s="67">
        <v>7.2800000000000004E-2</v>
      </c>
    </row>
    <row r="13" spans="2:3" x14ac:dyDescent="0.35">
      <c r="B13" s="39" t="s">
        <v>51</v>
      </c>
      <c r="C13" s="67">
        <v>9.1800000000000007E-2</v>
      </c>
    </row>
    <row r="14" spans="2:3" x14ac:dyDescent="0.35">
      <c r="B14" s="39" t="s">
        <v>52</v>
      </c>
      <c r="C14" s="66">
        <f>C13-C12</f>
        <v>1.9000000000000003E-2</v>
      </c>
    </row>
    <row r="15" spans="2:3" x14ac:dyDescent="0.35">
      <c r="B15" s="39" t="s">
        <v>53</v>
      </c>
      <c r="C15" s="69">
        <v>0.74</v>
      </c>
    </row>
    <row r="16" spans="2:3" x14ac:dyDescent="0.35">
      <c r="B16" s="39" t="s">
        <v>54</v>
      </c>
      <c r="C16" s="66">
        <f>C4/SUM(C5,C4)</f>
        <v>0.54341233858870497</v>
      </c>
    </row>
    <row r="17" spans="2:3" x14ac:dyDescent="0.35">
      <c r="B17" s="41" t="s">
        <v>55</v>
      </c>
      <c r="C17" s="68">
        <f>C12+C15*(C14)</f>
        <v>8.6860000000000007E-2</v>
      </c>
    </row>
    <row r="18" spans="2:3" x14ac:dyDescent="0.35">
      <c r="B18" s="39"/>
      <c r="C18" s="39"/>
    </row>
    <row r="19" spans="2:3" x14ac:dyDescent="0.35">
      <c r="B19" s="75" t="s">
        <v>56</v>
      </c>
      <c r="C19" s="77">
        <f>C10*C9+C17*C16</f>
        <v>0.16071158526901003</v>
      </c>
    </row>
  </sheetData>
  <mergeCells count="1">
    <mergeCell ref="B3:C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D21A6-F63A-46E2-AF93-786317388FFB}">
  <dimension ref="B2:K28"/>
  <sheetViews>
    <sheetView topLeftCell="A10" zoomScale="101" workbookViewId="0">
      <selection activeCell="E19" sqref="E19"/>
    </sheetView>
  </sheetViews>
  <sheetFormatPr defaultRowHeight="14.5" x14ac:dyDescent="0.35"/>
  <cols>
    <col min="3" max="3" width="12.6328125" bestFit="1" customWidth="1"/>
    <col min="4" max="6" width="11.1796875" bestFit="1" customWidth="1"/>
    <col min="7" max="11" width="11.453125" bestFit="1" customWidth="1"/>
  </cols>
  <sheetData>
    <row r="2" spans="2:11" x14ac:dyDescent="0.35">
      <c r="B2" t="s">
        <v>57</v>
      </c>
    </row>
    <row r="4" spans="2:11" x14ac:dyDescent="0.35">
      <c r="B4" s="49" t="s">
        <v>2</v>
      </c>
      <c r="C4" s="49"/>
      <c r="D4" s="49"/>
      <c r="E4" s="49"/>
      <c r="F4" s="49"/>
      <c r="G4" s="49"/>
      <c r="H4" s="49"/>
      <c r="I4" s="49"/>
      <c r="J4" s="49"/>
      <c r="K4" s="49"/>
    </row>
    <row r="5" spans="2:11" x14ac:dyDescent="0.35">
      <c r="B5" s="50" t="s">
        <v>3</v>
      </c>
      <c r="C5" s="51"/>
      <c r="D5" s="51">
        <v>44196</v>
      </c>
      <c r="E5" s="51">
        <v>44561</v>
      </c>
      <c r="F5" s="51">
        <v>44926</v>
      </c>
      <c r="G5" s="52">
        <v>45291</v>
      </c>
      <c r="H5" s="52">
        <v>45657</v>
      </c>
      <c r="I5" s="52">
        <v>46022</v>
      </c>
      <c r="J5" s="52">
        <v>46387</v>
      </c>
      <c r="K5" s="52">
        <v>46752</v>
      </c>
    </row>
    <row r="6" spans="2:11" x14ac:dyDescent="0.35">
      <c r="B6" s="37" t="s">
        <v>19</v>
      </c>
      <c r="C6" s="65"/>
      <c r="D6" s="65">
        <f>'Free Cash Flow'!D22</f>
        <v>197971400</v>
      </c>
      <c r="E6" s="65">
        <f>'Free Cash Flow'!E22</f>
        <v>377407900</v>
      </c>
      <c r="F6" s="65">
        <f>'Free Cash Flow'!F22</f>
        <v>533540900</v>
      </c>
      <c r="G6" s="65">
        <f>'Free Cash Flow'!G22</f>
        <v>176637142.5379824</v>
      </c>
      <c r="H6" s="65">
        <f>'Free Cash Flow'!H22</f>
        <v>307903612.20224935</v>
      </c>
      <c r="I6" s="65">
        <f>'Free Cash Flow'!I22</f>
        <v>370592700.84495097</v>
      </c>
      <c r="J6" s="65">
        <f>'Free Cash Flow'!J22</f>
        <v>351493250.47181982</v>
      </c>
      <c r="K6" s="65">
        <f>'Free Cash Flow'!K22</f>
        <v>365305575.3279407</v>
      </c>
    </row>
    <row r="7" spans="2:11" x14ac:dyDescent="0.35">
      <c r="B7" s="35"/>
      <c r="C7" s="35"/>
      <c r="D7" s="35"/>
      <c r="E7" s="35"/>
      <c r="F7" s="35"/>
      <c r="G7" s="35"/>
      <c r="H7" s="35"/>
      <c r="I7" s="35"/>
      <c r="J7" s="35"/>
      <c r="K7" s="35"/>
    </row>
    <row r="8" spans="2:11" x14ac:dyDescent="0.35">
      <c r="B8" s="37" t="s">
        <v>58</v>
      </c>
      <c r="C8" s="35"/>
      <c r="D8" s="35"/>
      <c r="E8" s="35"/>
      <c r="F8" s="37"/>
      <c r="G8" s="37">
        <v>1</v>
      </c>
      <c r="H8" s="37">
        <v>2</v>
      </c>
      <c r="I8" s="37">
        <v>3</v>
      </c>
      <c r="J8" s="37">
        <v>4</v>
      </c>
      <c r="K8" s="37">
        <v>5</v>
      </c>
    </row>
    <row r="9" spans="2:11" x14ac:dyDescent="0.35">
      <c r="B9" s="41" t="s">
        <v>59</v>
      </c>
      <c r="C9" s="41"/>
      <c r="D9" s="41"/>
      <c r="E9" s="41"/>
      <c r="F9" s="71"/>
      <c r="G9" s="71">
        <f>G6/(1+$C$14)^G8</f>
        <v>152180046.08530244</v>
      </c>
      <c r="H9" s="71">
        <f t="shared" ref="H9:K9" si="0">H6/(1+$C$14)^H8</f>
        <v>228542064.10051668</v>
      </c>
      <c r="I9" s="71">
        <f t="shared" si="0"/>
        <v>236986661.81479913</v>
      </c>
      <c r="J9" s="71">
        <f t="shared" si="0"/>
        <v>193650986.1753428</v>
      </c>
      <c r="K9" s="71">
        <f t="shared" si="0"/>
        <v>173394255.10407168</v>
      </c>
    </row>
    <row r="11" spans="2:11" x14ac:dyDescent="0.35">
      <c r="B11" s="62" t="s">
        <v>60</v>
      </c>
      <c r="C11" s="63"/>
      <c r="D11" s="14"/>
      <c r="E11" s="12"/>
      <c r="F11" s="12"/>
      <c r="G11" s="12"/>
      <c r="H11" s="12"/>
      <c r="I11" s="12"/>
      <c r="J11" s="12"/>
    </row>
    <row r="12" spans="2:11" x14ac:dyDescent="0.35">
      <c r="B12" s="39" t="s">
        <v>61</v>
      </c>
      <c r="C12" s="65">
        <f>SUM(G9:K9)</f>
        <v>984754013.28003263</v>
      </c>
    </row>
    <row r="13" spans="2:11" x14ac:dyDescent="0.35">
      <c r="B13" s="39" t="s">
        <v>62</v>
      </c>
      <c r="C13" s="67">
        <v>8.6999999999999994E-2</v>
      </c>
      <c r="D13" s="13"/>
      <c r="E13" s="13"/>
      <c r="F13" s="14"/>
      <c r="G13" s="12"/>
      <c r="H13" s="12"/>
      <c r="I13" s="12"/>
      <c r="J13" s="12"/>
    </row>
    <row r="14" spans="2:11" x14ac:dyDescent="0.35">
      <c r="B14" s="39" t="s">
        <v>56</v>
      </c>
      <c r="C14" s="66">
        <f>WACC!C19</f>
        <v>0.16071158526901003</v>
      </c>
      <c r="D14" s="13"/>
      <c r="E14" s="15"/>
      <c r="F14" s="16"/>
      <c r="G14" s="16"/>
      <c r="H14" s="16"/>
      <c r="I14" s="16"/>
      <c r="J14" s="16"/>
    </row>
    <row r="15" spans="2:11" x14ac:dyDescent="0.35">
      <c r="B15" s="39" t="s">
        <v>63</v>
      </c>
      <c r="C15" s="65">
        <f>K6*(1+C13)/(C14-C13)</f>
        <v>5387038671.4965372</v>
      </c>
      <c r="D15" s="17"/>
      <c r="E15" s="16"/>
      <c r="F15" s="15"/>
      <c r="G15" s="15"/>
      <c r="H15" s="15"/>
      <c r="I15" s="15"/>
      <c r="J15" s="15"/>
    </row>
    <row r="16" spans="2:11" x14ac:dyDescent="0.35">
      <c r="B16" s="39" t="s">
        <v>64</v>
      </c>
      <c r="C16" s="65">
        <f>C15/(1+C14)^K8</f>
        <v>2556986864.5514922</v>
      </c>
      <c r="D16" s="12"/>
      <c r="E16" s="16"/>
      <c r="F16" s="15"/>
      <c r="G16" s="15"/>
      <c r="H16" s="15"/>
      <c r="I16" s="15"/>
      <c r="J16" s="15"/>
    </row>
    <row r="17" spans="2:10" x14ac:dyDescent="0.35">
      <c r="B17" s="39" t="s">
        <v>65</v>
      </c>
      <c r="C17" s="65">
        <f>C16+C12</f>
        <v>3541740877.8315248</v>
      </c>
      <c r="D17" s="12"/>
      <c r="E17" s="16"/>
      <c r="F17" s="15"/>
      <c r="G17" s="15"/>
      <c r="H17" s="18"/>
      <c r="I17" s="15"/>
      <c r="J17" s="15"/>
    </row>
    <row r="18" spans="2:10" x14ac:dyDescent="0.35">
      <c r="B18" s="42" t="s">
        <v>66</v>
      </c>
      <c r="C18" s="65">
        <v>1599220700</v>
      </c>
      <c r="D18" s="12"/>
      <c r="E18" s="16"/>
      <c r="F18" s="15"/>
      <c r="G18" s="15"/>
      <c r="H18" s="15"/>
      <c r="I18" s="15"/>
      <c r="J18" s="15"/>
    </row>
    <row r="19" spans="2:10" x14ac:dyDescent="0.35">
      <c r="B19" s="42" t="s">
        <v>67</v>
      </c>
      <c r="C19" s="65">
        <f>WACC!C5</f>
        <v>2108501000</v>
      </c>
      <c r="D19" s="12"/>
      <c r="E19" s="16"/>
      <c r="F19" s="15"/>
      <c r="G19" s="15"/>
      <c r="H19" s="15"/>
      <c r="I19" s="15"/>
      <c r="J19" s="15"/>
    </row>
    <row r="20" spans="2:10" x14ac:dyDescent="0.35">
      <c r="B20" s="42" t="s">
        <v>68</v>
      </c>
      <c r="C20" s="65">
        <v>4615000</v>
      </c>
    </row>
    <row r="21" spans="2:10" x14ac:dyDescent="0.35">
      <c r="B21" s="39" t="s">
        <v>69</v>
      </c>
      <c r="C21" s="65">
        <f>C17+C18-C19-C20</f>
        <v>3027845577.8315248</v>
      </c>
    </row>
    <row r="22" spans="2:10" x14ac:dyDescent="0.35">
      <c r="B22" s="39" t="s">
        <v>70</v>
      </c>
      <c r="C22" s="70">
        <v>1854000</v>
      </c>
    </row>
    <row r="23" spans="2:10" x14ac:dyDescent="0.35">
      <c r="B23" s="75" t="s">
        <v>71</v>
      </c>
      <c r="C23" s="76">
        <f>C21/C22</f>
        <v>1633.1421671151697</v>
      </c>
    </row>
    <row r="24" spans="2:10" x14ac:dyDescent="0.35">
      <c r="B24" s="35" t="s">
        <v>72</v>
      </c>
      <c r="C24" s="40">
        <v>1667.15</v>
      </c>
    </row>
    <row r="25" spans="2:10" x14ac:dyDescent="0.35">
      <c r="B25" s="35" t="s">
        <v>73</v>
      </c>
      <c r="C25" s="29">
        <f>C23/C24-1</f>
        <v>-2.0398784083514032E-2</v>
      </c>
    </row>
    <row r="26" spans="2:10" x14ac:dyDescent="0.35">
      <c r="B26" s="72" t="s">
        <v>74</v>
      </c>
      <c r="C26" s="73" t="s">
        <v>76</v>
      </c>
    </row>
    <row r="28" spans="2:10" x14ac:dyDescent="0.35">
      <c r="C28" s="74" t="s">
        <v>77</v>
      </c>
      <c r="D28" s="74"/>
    </row>
  </sheetData>
  <mergeCells count="1">
    <mergeCell ref="B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Fixed Assets</vt:lpstr>
      <vt:lpstr>Free Cash Flow</vt:lpstr>
      <vt:lpstr>Net Working Capital</vt:lpstr>
      <vt:lpstr>WACC</vt:lpstr>
      <vt:lpstr>DCF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Swastik Gupta</dc:creator>
  <cp:lastModifiedBy>Yajush Khatter</cp:lastModifiedBy>
  <dcterms:created xsi:type="dcterms:W3CDTF">2023-02-13T18:50:35Z</dcterms:created>
  <dcterms:modified xsi:type="dcterms:W3CDTF">2023-02-14T10:40:20Z</dcterms:modified>
</cp:coreProperties>
</file>