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y/Documents/Project/Roger/BCG_MetaAnalysis/data/"/>
    </mc:Choice>
  </mc:AlternateContent>
  <xr:revisionPtr revIDLastSave="0" documentId="13_ncr:1_{6A05F819-C8BD-EA4D-9C80-F9477658CB30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All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V3" i="1" l="1"/>
  <c r="AV6" i="1"/>
  <c r="AV7" i="1"/>
  <c r="AV8" i="1"/>
  <c r="AV9" i="1"/>
  <c r="AV10" i="1"/>
  <c r="AV15" i="1"/>
  <c r="AV18" i="1"/>
  <c r="AV19" i="1"/>
  <c r="AV20" i="1"/>
  <c r="AV22" i="1"/>
  <c r="AV23" i="1"/>
  <c r="AV26" i="1"/>
  <c r="AV30" i="1"/>
  <c r="AV37" i="1"/>
  <c r="AV38" i="1"/>
  <c r="AV39" i="1"/>
  <c r="AV40" i="1"/>
  <c r="AV46" i="1"/>
  <c r="AV47" i="1"/>
  <c r="AV48" i="1"/>
  <c r="AV49" i="1"/>
  <c r="AV50" i="1"/>
  <c r="AV53" i="1"/>
  <c r="BA30" i="1" l="1"/>
  <c r="AY30" i="1"/>
  <c r="AX30" i="1"/>
  <c r="AR30" i="1"/>
  <c r="Y30" i="1"/>
  <c r="AA30" i="1" s="1"/>
  <c r="W30" i="1"/>
  <c r="V30" i="1"/>
  <c r="X30" i="1"/>
  <c r="U30" i="1"/>
  <c r="T30" i="1"/>
  <c r="AR33" i="1" l="1"/>
  <c r="AX33" i="1"/>
  <c r="AU33" i="1"/>
  <c r="AV33" i="1" s="1"/>
  <c r="X33" i="1"/>
  <c r="W33" i="1"/>
  <c r="V33" i="1"/>
  <c r="U33" i="1"/>
  <c r="T33" i="1"/>
  <c r="AR53" i="1" l="1"/>
  <c r="AX53" i="1" s="1"/>
  <c r="AU52" i="1" l="1"/>
  <c r="AV52" i="1" s="1"/>
  <c r="BJ52" i="1"/>
  <c r="AY52" i="1"/>
  <c r="AX52" i="1"/>
  <c r="AW52" i="1"/>
  <c r="AR52" i="1"/>
  <c r="X52" i="1"/>
  <c r="W52" i="1"/>
  <c r="V52" i="1"/>
  <c r="AD52" i="1"/>
  <c r="U52" i="1"/>
  <c r="T52" i="1"/>
  <c r="AZ51" i="1"/>
  <c r="AU51" i="1"/>
  <c r="AV51" i="1" s="1"/>
  <c r="AR51" i="1"/>
  <c r="AA51" i="1"/>
  <c r="Y51" i="1"/>
  <c r="W51" i="1"/>
  <c r="V51" i="1"/>
  <c r="U51" i="1"/>
  <c r="T51" i="1"/>
  <c r="AW50" i="1"/>
  <c r="AR50" i="1"/>
  <c r="AB50" i="1"/>
  <c r="AY33" i="1" l="1"/>
  <c r="BJ33" i="1"/>
  <c r="BQ33" i="1"/>
  <c r="BA44" i="1"/>
  <c r="AY44" i="1"/>
  <c r="AU44" i="1"/>
  <c r="AV44" i="1" s="1"/>
  <c r="W44" i="1"/>
  <c r="V44" i="1"/>
  <c r="X44" i="1"/>
  <c r="U44" i="1"/>
  <c r="T44" i="1"/>
  <c r="BL43" i="1"/>
  <c r="BJ43" i="1"/>
  <c r="R43" i="1"/>
  <c r="AU43" i="1"/>
  <c r="AV43" i="1" s="1"/>
  <c r="AX42" i="1"/>
  <c r="AW42" i="1"/>
  <c r="A14" i="2"/>
  <c r="AU42" i="1"/>
  <c r="AV42" i="1" s="1"/>
  <c r="BJ42" i="1"/>
  <c r="AU41" i="1"/>
  <c r="AV41" i="1" s="1"/>
  <c r="AR41" i="1"/>
  <c r="BJ41" i="1"/>
  <c r="BF41" i="1"/>
  <c r="BE41" i="1"/>
  <c r="AY41" i="1"/>
  <c r="BD41" i="1" s="1"/>
  <c r="BC41" i="1"/>
  <c r="BB41" i="1"/>
  <c r="R41" i="1"/>
  <c r="BJ40" i="1"/>
  <c r="AX40" i="1"/>
  <c r="AY40" i="1"/>
  <c r="AW40" i="1"/>
  <c r="AR40" i="1"/>
  <c r="R40" i="1"/>
  <c r="AX46" i="1"/>
  <c r="AW46" i="1"/>
  <c r="AR46" i="1"/>
  <c r="R46" i="1"/>
  <c r="V46" i="1"/>
  <c r="U46" i="1"/>
  <c r="T46" i="1"/>
  <c r="AW39" i="1"/>
  <c r="AR39" i="1"/>
  <c r="X39" i="1"/>
  <c r="W39" i="1"/>
  <c r="U39" i="1"/>
  <c r="T39" i="1"/>
  <c r="AR38" i="1"/>
  <c r="BJ38" i="1"/>
  <c r="BL37" i="1"/>
  <c r="BJ37" i="1"/>
  <c r="BJ36" i="1"/>
  <c r="BL35" i="1"/>
  <c r="BJ35" i="1"/>
  <c r="BJ34" i="1"/>
  <c r="BJ29" i="1"/>
  <c r="BJ23" i="1"/>
  <c r="AU27" i="1"/>
  <c r="AV27" i="1" s="1"/>
  <c r="AW26" i="1"/>
  <c r="BJ24" i="1"/>
  <c r="AR21" i="1"/>
  <c r="BJ21" i="1"/>
  <c r="BJ20" i="1"/>
  <c r="BA20" i="1"/>
  <c r="AZ20" i="1"/>
  <c r="AY20" i="1"/>
  <c r="AX20" i="1"/>
  <c r="AX19" i="1"/>
  <c r="AW19" i="1"/>
  <c r="AE17" i="1"/>
  <c r="BJ15" i="1"/>
  <c r="AX15" i="1"/>
  <c r="AW15" i="1"/>
  <c r="AU45" i="1"/>
  <c r="AV45" i="1" s="1"/>
  <c r="BJ14" i="1"/>
  <c r="BJ13" i="1"/>
  <c r="AW45" i="1"/>
  <c r="BL45" i="1"/>
  <c r="AR45" i="1"/>
  <c r="U45" i="1"/>
  <c r="T45" i="1"/>
  <c r="R45" i="1"/>
  <c r="AB45" i="1"/>
  <c r="BJ12" i="1"/>
  <c r="V12" i="1"/>
  <c r="W12" i="1"/>
  <c r="X12" i="1"/>
  <c r="BJ11" i="1"/>
  <c r="AR9" i="1"/>
  <c r="AR8" i="1"/>
  <c r="BJ8" i="1"/>
  <c r="AZ7" i="1"/>
  <c r="AY7" i="1"/>
  <c r="AX7" i="1"/>
  <c r="AW7" i="1"/>
  <c r="BA7" i="1"/>
  <c r="AR7" i="1"/>
  <c r="BJ6" i="1"/>
  <c r="AU4" i="1"/>
  <c r="AV4" i="1" s="1"/>
  <c r="AU5" i="1"/>
  <c r="AV5" i="1" s="1"/>
  <c r="AD43" i="1"/>
  <c r="X43" i="1"/>
  <c r="W43" i="1"/>
  <c r="V43" i="1"/>
  <c r="T43" i="1"/>
  <c r="U43" i="1" s="1"/>
  <c r="AY42" i="1"/>
  <c r="AR42" i="1"/>
  <c r="AB42" i="1"/>
  <c r="R42" i="1"/>
  <c r="W42" i="1"/>
  <c r="V42" i="1"/>
  <c r="X42" i="1"/>
  <c r="AX41" i="1"/>
  <c r="AW41" i="1"/>
  <c r="U42" i="1"/>
  <c r="T42" i="1"/>
  <c r="AE41" i="1"/>
  <c r="AD41" i="1"/>
  <c r="T41" i="1"/>
  <c r="U41" i="1" s="1"/>
  <c r="BR40" i="1"/>
  <c r="BP39" i="1"/>
  <c r="BP38" i="1"/>
  <c r="BP37" i="1"/>
  <c r="BR36" i="1"/>
  <c r="BQ36" i="1"/>
  <c r="BP36" i="1"/>
  <c r="BR35" i="1"/>
  <c r="BP35" i="1"/>
  <c r="BT34" i="1"/>
  <c r="BS34" i="1"/>
  <c r="BR34" i="1"/>
  <c r="BQ34" i="1"/>
  <c r="BP34" i="1"/>
  <c r="BR32" i="1"/>
  <c r="BP32" i="1"/>
  <c r="BQ31" i="1"/>
  <c r="BP31" i="1"/>
  <c r="BT29" i="1"/>
  <c r="BR29" i="1"/>
  <c r="BQ29" i="1"/>
  <c r="BP29" i="1"/>
  <c r="BP28" i="1"/>
  <c r="BP27" i="1"/>
  <c r="BR24" i="1"/>
  <c r="BQ24" i="1"/>
  <c r="BP23" i="1"/>
  <c r="BT22" i="1"/>
  <c r="BR22" i="1"/>
  <c r="BQ22" i="1"/>
  <c r="BP22" i="1"/>
  <c r="BT21" i="1"/>
  <c r="BR21" i="1"/>
  <c r="BT18" i="1"/>
  <c r="BS18" i="1"/>
  <c r="BR18" i="1"/>
  <c r="BQ18" i="1"/>
  <c r="BT17" i="1"/>
  <c r="BR17" i="1"/>
  <c r="BS17" i="1" s="1"/>
  <c r="BP17" i="1"/>
  <c r="BQ16" i="1"/>
  <c r="BT15" i="1"/>
  <c r="BQ15" i="1"/>
  <c r="BP15" i="1"/>
  <c r="AR37" i="1"/>
  <c r="AR36" i="1"/>
  <c r="AR35" i="1"/>
  <c r="AR34" i="1"/>
  <c r="AR32" i="1"/>
  <c r="AR31" i="1"/>
  <c r="AR29" i="1"/>
  <c r="AR28" i="1"/>
  <c r="AR26" i="1"/>
  <c r="AS6" i="1"/>
  <c r="R21" i="1"/>
  <c r="R20" i="1"/>
  <c r="R16" i="1"/>
  <c r="R12" i="1"/>
  <c r="R15" i="1"/>
  <c r="R6" i="1"/>
  <c r="AW38" i="1"/>
  <c r="X37" i="1"/>
  <c r="AW37" i="1"/>
  <c r="U37" i="1"/>
  <c r="T37" i="1"/>
  <c r="AU36" i="1"/>
  <c r="AV36" i="1" s="1"/>
  <c r="AD36" i="1"/>
  <c r="X36" i="1"/>
  <c r="W36" i="1"/>
  <c r="V36" i="1"/>
  <c r="U36" i="1"/>
  <c r="T36" i="1"/>
  <c r="AX36" i="1"/>
  <c r="AW36" i="1"/>
  <c r="AY36" i="1"/>
  <c r="AU35" i="1"/>
  <c r="AV35" i="1" s="1"/>
  <c r="AY35" i="1"/>
  <c r="AW35" i="1"/>
  <c r="Y35" i="1"/>
  <c r="AA35" i="1"/>
  <c r="X35" i="1"/>
  <c r="W35" i="1"/>
  <c r="V35" i="1"/>
  <c r="U35" i="1"/>
  <c r="T35" i="1"/>
  <c r="AU34" i="1"/>
  <c r="AV34" i="1" s="1"/>
  <c r="BA34" i="1"/>
  <c r="AZ34" i="1"/>
  <c r="AY34" i="1"/>
  <c r="AX34" i="1"/>
  <c r="AA34" i="1"/>
  <c r="Y34" i="1"/>
  <c r="X34" i="1"/>
  <c r="W34" i="1"/>
  <c r="V34" i="1"/>
  <c r="U34" i="1"/>
  <c r="T34" i="1"/>
  <c r="AW34" i="1"/>
  <c r="AU32" i="1"/>
  <c r="AV32" i="1" s="1"/>
  <c r="AY32" i="1"/>
  <c r="AW32" i="1"/>
  <c r="AB32" i="1"/>
  <c r="U32" i="1"/>
  <c r="T32" i="1"/>
  <c r="AX31" i="1"/>
  <c r="AW31" i="1"/>
  <c r="AU31" i="1"/>
  <c r="AV31" i="1" s="1"/>
  <c r="X31" i="1"/>
  <c r="W31" i="1"/>
  <c r="V31" i="1"/>
  <c r="AU29" i="1"/>
  <c r="AV29" i="1" s="1"/>
  <c r="AW29" i="1"/>
  <c r="BA29" i="1"/>
  <c r="AY29" i="1"/>
  <c r="AX29" i="1"/>
  <c r="AB29" i="1"/>
  <c r="AD29" i="1"/>
  <c r="W29" i="1"/>
  <c r="V29" i="1"/>
  <c r="X29" i="1"/>
  <c r="U29" i="1"/>
  <c r="T29" i="1"/>
  <c r="AU28" i="1"/>
  <c r="AV28" i="1" s="1"/>
  <c r="AB28" i="1"/>
  <c r="AW28" i="1"/>
  <c r="R28" i="1"/>
  <c r="AD28" i="1"/>
  <c r="X28" i="1"/>
  <c r="W28" i="1"/>
  <c r="V28" i="1"/>
  <c r="U28" i="1"/>
  <c r="T28" i="1"/>
  <c r="AA28" i="1"/>
  <c r="Y28" i="1"/>
  <c r="AB27" i="1"/>
  <c r="X27" i="1"/>
  <c r="W27" i="1"/>
  <c r="V27" i="1"/>
  <c r="U27" i="1"/>
  <c r="T27" i="1"/>
  <c r="AW27" i="1"/>
  <c r="X26" i="1"/>
  <c r="W26" i="1"/>
  <c r="V26" i="1"/>
  <c r="U26" i="1"/>
  <c r="T26" i="1"/>
  <c r="AB26" i="1"/>
  <c r="AU25" i="1"/>
  <c r="AV25" i="1" s="1"/>
  <c r="X25" i="1"/>
  <c r="U25" i="1"/>
  <c r="T25" i="1"/>
  <c r="AU24" i="1"/>
  <c r="AV24" i="1" s="1"/>
  <c r="AY24" i="1"/>
  <c r="AX24" i="1"/>
  <c r="R24" i="1"/>
  <c r="W24" i="1"/>
  <c r="V24" i="1"/>
  <c r="U24" i="1"/>
  <c r="T24" i="1"/>
  <c r="AW23" i="1"/>
  <c r="AE23" i="1"/>
  <c r="AD23" i="1"/>
  <c r="AC23" i="1"/>
  <c r="X23" i="1"/>
  <c r="W23" i="1"/>
  <c r="V23" i="1"/>
  <c r="U23" i="1"/>
  <c r="T23" i="1"/>
  <c r="AX22" i="1"/>
  <c r="AY22" i="1"/>
  <c r="BA22" i="1"/>
  <c r="AW22" i="1"/>
  <c r="W22" i="1"/>
  <c r="X22" i="1"/>
  <c r="R22" i="1"/>
  <c r="U22" i="1"/>
  <c r="T22" i="1"/>
  <c r="AU21" i="1"/>
  <c r="AV21" i="1" s="1"/>
  <c r="BA21" i="1"/>
  <c r="AY21" i="1"/>
  <c r="X21" i="1"/>
  <c r="U21" i="1"/>
  <c r="T21" i="1"/>
  <c r="AA20" i="1"/>
  <c r="Z20" i="1"/>
  <c r="Y20" i="1"/>
  <c r="W20" i="1"/>
  <c r="V20" i="1"/>
  <c r="U20" i="1"/>
  <c r="T20" i="1"/>
  <c r="BA18" i="1"/>
  <c r="AZ18" i="1"/>
  <c r="AY18" i="1"/>
  <c r="AX18" i="1"/>
  <c r="AA18" i="1"/>
  <c r="Z18" i="1"/>
  <c r="Y18" i="1"/>
  <c r="W18" i="1"/>
  <c r="V18" i="1"/>
  <c r="T19" i="1"/>
  <c r="U18" i="1"/>
  <c r="T18" i="1"/>
  <c r="AU17" i="1"/>
  <c r="AV17" i="1" s="1"/>
  <c r="BA17" i="1"/>
  <c r="AY17" i="1"/>
  <c r="AZ17" i="1" s="1"/>
  <c r="AW17" i="1"/>
  <c r="AE15" i="1"/>
  <c r="AB17" i="1"/>
  <c r="AA17" i="1"/>
  <c r="Y17" i="1"/>
  <c r="X17" i="1"/>
  <c r="W17" i="1"/>
  <c r="V17" i="1"/>
  <c r="U17" i="1"/>
  <c r="T17" i="1"/>
  <c r="AD17" i="1"/>
  <c r="AC17" i="1"/>
  <c r="AU16" i="1"/>
  <c r="AV16" i="1" s="1"/>
  <c r="AX16" i="1"/>
  <c r="AC16" i="1"/>
  <c r="AC15" i="1"/>
  <c r="BA15" i="1"/>
  <c r="X16" i="1"/>
  <c r="W16" i="1"/>
  <c r="V16" i="1"/>
  <c r="U16" i="1"/>
  <c r="T16" i="1"/>
  <c r="W15" i="1"/>
  <c r="V15" i="1"/>
  <c r="U15" i="1"/>
  <c r="T15" i="1"/>
  <c r="AA14" i="1"/>
  <c r="Y14" i="1"/>
  <c r="X14" i="1"/>
  <c r="W14" i="1"/>
  <c r="V14" i="1"/>
  <c r="U14" i="1"/>
  <c r="T14" i="1"/>
  <c r="AU14" i="1"/>
  <c r="AV14" i="1" s="1"/>
  <c r="AU13" i="1"/>
  <c r="AV13" i="1" s="1"/>
  <c r="X13" i="1"/>
  <c r="AA13" i="1"/>
  <c r="Y13" i="1"/>
  <c r="W13" i="1"/>
  <c r="V13" i="1"/>
  <c r="U13" i="1"/>
  <c r="T13" i="1"/>
  <c r="AU12" i="1"/>
  <c r="AV12" i="1" s="1"/>
  <c r="AD12" i="1"/>
  <c r="AB12" i="1"/>
  <c r="AE12" i="1"/>
  <c r="U12" i="1"/>
  <c r="T12" i="1"/>
  <c r="AU11" i="1"/>
  <c r="AV11" i="1" s="1"/>
  <c r="AD11" i="1"/>
  <c r="AB11" i="1"/>
  <c r="X11" i="1"/>
  <c r="W11" i="1"/>
  <c r="U11" i="1"/>
  <c r="T11" i="1"/>
  <c r="X8" i="1"/>
  <c r="W8" i="1"/>
  <c r="V8" i="1"/>
  <c r="U7" i="1"/>
  <c r="T7" i="1"/>
  <c r="Y5" i="1"/>
  <c r="AA5" i="1"/>
  <c r="Z5" i="1"/>
  <c r="AA4" i="1"/>
  <c r="Z4" i="1"/>
  <c r="Y4" i="1"/>
  <c r="W5" i="1"/>
  <c r="W4" i="1"/>
  <c r="V5" i="1"/>
  <c r="V4" i="1"/>
  <c r="AE4" i="1"/>
  <c r="AE5" i="1"/>
  <c r="AB5" i="1"/>
  <c r="AB4" i="1"/>
  <c r="AC5" i="1"/>
  <c r="AC4" i="1"/>
  <c r="U5" i="1"/>
  <c r="T5" i="1"/>
  <c r="U4" i="1"/>
  <c r="T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  <author>Li, Roger</author>
  </authors>
  <commentList>
    <comment ref="A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Unk% of BCG Unresponsive as not sure how many patients had treatment within 1 yr of fialure
highlighted numbers % BCGU</t>
        </r>
      </text>
    </comment>
    <comment ref="AU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From interim analysis</t>
        </r>
      </text>
    </comment>
    <comment ref="AO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of CR patients</t>
        </r>
      </text>
    </comment>
    <comment ref="BB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These values pertain to patients with CR</t>
        </r>
      </text>
    </comment>
    <comment ref="AU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Progression defined as increase in grade/stage
</t>
        </r>
      </text>
    </comment>
    <comment ref="AU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Progression defined as increase in stage/grade
</t>
        </r>
      </text>
    </comment>
    <comment ref="AX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Per Dinney et al 2013
</t>
        </r>
      </text>
    </comment>
    <comment ref="BQ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Per Dinney et al 2013
</t>
        </r>
      </text>
    </comment>
    <comment ref="AZ1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2 patients censored</t>
        </r>
      </text>
    </comment>
    <comment ref="BA1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3 patients censored</t>
        </r>
      </text>
    </comment>
    <comment ref="BS1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2 patients censored</t>
        </r>
      </text>
    </comment>
    <comment ref="BT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3 patients censored</t>
        </r>
      </text>
    </comment>
    <comment ref="AT2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In all patients enrolled
</t>
        </r>
      </text>
    </comment>
    <comment ref="AX2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CIS: 31/91</t>
        </r>
      </text>
    </comment>
    <comment ref="AY2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 17/91</t>
        </r>
      </text>
    </comment>
    <comment ref="BA2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 10/91</t>
        </r>
      </text>
    </comment>
    <comment ref="BQ2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CIS: 31/91</t>
        </r>
      </text>
    </comment>
    <comment ref="BR2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 17/91</t>
        </r>
      </text>
    </comment>
    <comment ref="BT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CIS 10/91</t>
        </r>
      </text>
    </comment>
    <comment ref="B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BCG Unresponsive subset of Morales et al</t>
        </r>
      </text>
    </comment>
    <comment ref="R3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14 patients d/c maintenance due to recurrence, 2 due to intermittent illness, 1 urethral stricture</t>
        </r>
      </text>
    </comment>
    <comment ref="D4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Li, Roger:</t>
        </r>
        <r>
          <rPr>
            <sz val="9"/>
            <color indexed="81"/>
            <rFont val="Tahoma"/>
            <family val="2"/>
          </rPr>
          <t xml:space="preserve">
Designed as I/II trial, but only efficacy from Phase II patients reported</t>
        </r>
      </text>
    </comment>
    <comment ref="R4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Li, Roger:</t>
        </r>
        <r>
          <rPr>
            <sz val="9"/>
            <color indexed="81"/>
            <rFont val="Tahoma"/>
            <family val="2"/>
          </rPr>
          <t xml:space="preserve">
High withdrawal rate due to toxicity</t>
        </r>
      </text>
    </comment>
    <comment ref="AE4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Reported separately</t>
        </r>
      </text>
    </comment>
    <comment ref="AR4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Additional 7 patients responded after continued treatment at 6 and 9 mo post initiation</t>
        </r>
      </text>
    </comment>
  </commentList>
</comments>
</file>

<file path=xl/sharedStrings.xml><?xml version="1.0" encoding="utf-8"?>
<sst xmlns="http://schemas.openxmlformats.org/spreadsheetml/2006/main" count="1022" uniqueCount="529">
  <si>
    <t>Authors</t>
  </si>
  <si>
    <t>Year</t>
  </si>
  <si>
    <t>BCG + IFNa</t>
  </si>
  <si>
    <t>Phase</t>
  </si>
  <si>
    <t>II</t>
  </si>
  <si>
    <t>Dose</t>
  </si>
  <si>
    <t>Qualification</t>
  </si>
  <si>
    <t>Maintenance schedule</t>
  </si>
  <si>
    <t>3 wks at 3, 9, 15 mo</t>
  </si>
  <si>
    <t>Recurrence definition</t>
  </si>
  <si>
    <t>Stage</t>
  </si>
  <si>
    <t>Ta</t>
  </si>
  <si>
    <t>T1</t>
  </si>
  <si>
    <t>CIS</t>
  </si>
  <si>
    <t>Grade</t>
  </si>
  <si>
    <t>Gender</t>
  </si>
  <si>
    <t>Male</t>
  </si>
  <si>
    <t>Female</t>
  </si>
  <si>
    <t>Low</t>
  </si>
  <si>
    <t>High</t>
  </si>
  <si>
    <t>Intermediate</t>
  </si>
  <si>
    <t>Prior chemo</t>
  </si>
  <si>
    <t>Age (Median)</t>
  </si>
  <si>
    <t>?</t>
  </si>
  <si>
    <t>Reported results</t>
  </si>
  <si>
    <t>6 mo CR</t>
  </si>
  <si>
    <t>12 mo CR</t>
  </si>
  <si>
    <t>18 mo CR</t>
  </si>
  <si>
    <t>3mo CR</t>
  </si>
  <si>
    <t>24 mo CR - 45%</t>
  </si>
  <si>
    <t>Addeo et al</t>
  </si>
  <si>
    <t>% failed 1 prior BCG</t>
  </si>
  <si>
    <t>% BCG intolerant</t>
  </si>
  <si>
    <t>MMC</t>
  </si>
  <si>
    <t>GEM</t>
  </si>
  <si>
    <t>1/3 BCG + 50MU IFNa x 6 wks</t>
  </si>
  <si>
    <t>monthly x 10 mo</t>
  </si>
  <si>
    <t>Median followup</t>
  </si>
  <si>
    <t>24mo</t>
  </si>
  <si>
    <t>36mo</t>
  </si>
  <si>
    <t>III</t>
  </si>
  <si>
    <t>15.0 mo</t>
  </si>
  <si>
    <t>NR</t>
  </si>
  <si>
    <t>% with progression</t>
  </si>
  <si>
    <t>any positive biopsy cystoscopically</t>
  </si>
  <si>
    <t>Bassi et al</t>
  </si>
  <si>
    <t>I</t>
  </si>
  <si>
    <t>CIS vs. Papillary</t>
  </si>
  <si>
    <t>CIS +/- papillary</t>
  </si>
  <si>
    <t>63.8 (mean)</t>
  </si>
  <si>
    <t>12.2mo (mean)</t>
  </si>
  <si>
    <t>Papillary</t>
  </si>
  <si>
    <t>1000mg, 1250mg, 1500mg (3 each)</t>
  </si>
  <si>
    <t>monthly x 12 mo</t>
  </si>
  <si>
    <t>any positive biopsy or cytology</t>
  </si>
  <si>
    <t>4wk CR - 44%</t>
  </si>
  <si>
    <t>15 mo</t>
  </si>
  <si>
    <t>Median time to tumor recurrence (in responders)</t>
  </si>
  <si>
    <t>Burke et al</t>
  </si>
  <si>
    <t>&gt;=50%</t>
  </si>
  <si>
    <t>CG0070</t>
  </si>
  <si>
    <t>Multiple</t>
  </si>
  <si>
    <t>Initial evaluation</t>
  </si>
  <si>
    <t>1 wk</t>
  </si>
  <si>
    <t>4 wk</t>
  </si>
  <si>
    <t>3 mo</t>
  </si>
  <si>
    <t>3mo CR - 48.6% (17/35)</t>
  </si>
  <si>
    <t>in CIS - 50% (4/8)</t>
  </si>
  <si>
    <t>CIS + pap - 53.9% (7/17)</t>
  </si>
  <si>
    <t>none</t>
  </si>
  <si>
    <t>17.0mo</t>
  </si>
  <si>
    <t>10.4 mo</t>
  </si>
  <si>
    <t>Dalbagni et al</t>
  </si>
  <si>
    <t>500mg, 1000mg, 1500mg, 2000mg 2x/wk x 3 wks, 1 wk rest, repeat</t>
  </si>
  <si>
    <t>21% (of CR patients), 10% overall</t>
  </si>
  <si>
    <t>19mo</t>
  </si>
  <si>
    <t>Di Lorenzo et al</t>
  </si>
  <si>
    <t>2000mg 2x/wk x 6 wks</t>
  </si>
  <si>
    <t>3 wks at 3, 6, 12 mo</t>
  </si>
  <si>
    <t>4-6 wks</t>
  </si>
  <si>
    <t>15.2mo</t>
  </si>
  <si>
    <t>15.8mo</t>
  </si>
  <si>
    <t>3.6 mo</t>
  </si>
  <si>
    <t>BCG</t>
  </si>
  <si>
    <t>Papillary +/-  CIS</t>
  </si>
  <si>
    <t>3.9mo (all patients)</t>
  </si>
  <si>
    <t>3.1mo (all patients)</t>
  </si>
  <si>
    <t>24mo CR - 19%</t>
  </si>
  <si>
    <t>24mo CR - 3%</t>
  </si>
  <si>
    <t>69.3 (mean)</t>
  </si>
  <si>
    <t>71.4 (mean)</t>
  </si>
  <si>
    <t>3mo</t>
  </si>
  <si>
    <t>II/III</t>
  </si>
  <si>
    <t>Dinney et al (A9303)</t>
  </si>
  <si>
    <t xml:space="preserve">CIS +/- papillary </t>
  </si>
  <si>
    <t>Valrubicin</t>
  </si>
  <si>
    <t>800mg 6 or 9 weekly doses</t>
  </si>
  <si>
    <t>800mg 6 weekly doses</t>
  </si>
  <si>
    <t>70.0 (mean)</t>
  </si>
  <si>
    <t>68.4 (mean)</t>
  </si>
  <si>
    <t>24mo CR</t>
  </si>
  <si>
    <t>30mo</t>
  </si>
  <si>
    <t>&gt;=18mo</t>
  </si>
  <si>
    <t xml:space="preserve">Dinney et al </t>
  </si>
  <si>
    <t>Instiladrin</t>
  </si>
  <si>
    <t>Both</t>
  </si>
  <si>
    <t>39.8mo</t>
  </si>
  <si>
    <t>29mo</t>
  </si>
  <si>
    <t>Gacci et al</t>
  </si>
  <si>
    <t>18.4mo</t>
  </si>
  <si>
    <t>2000mg/wk x 6wks</t>
  </si>
  <si>
    <t>3 wks at 3, 6, 12, 18. 24 mo</t>
  </si>
  <si>
    <t>weekly x 6wk (Connaught)</t>
  </si>
  <si>
    <t>weekly x 6wk (Tice)</t>
  </si>
  <si>
    <t>3 wks at 3, 6, 12, 18, 24</t>
  </si>
  <si>
    <t>19.9mo</t>
  </si>
  <si>
    <t xml:space="preserve">Gunelli et al </t>
  </si>
  <si>
    <t>2x weekly x 6wk</t>
  </si>
  <si>
    <t>6 wks</t>
  </si>
  <si>
    <t>28mo</t>
  </si>
  <si>
    <t>Clearly inconsistent from other studies</t>
  </si>
  <si>
    <t xml:space="preserve">Ignatoff et al </t>
  </si>
  <si>
    <t>4 wks</t>
  </si>
  <si>
    <t>AD32 (Doxurubicin analog)</t>
  </si>
  <si>
    <t>800mg/wk x 6 weeksly doses</t>
  </si>
  <si>
    <t>5.3 mo for papillary, 37.3 mo for CIS</t>
  </si>
  <si>
    <t>Inman et al</t>
  </si>
  <si>
    <t>MMC @ 42.2C</t>
  </si>
  <si>
    <t>40mg/wk x 6 weekly doses</t>
  </si>
  <si>
    <t>monthly x 4 months</t>
  </si>
  <si>
    <t>38.2mo</t>
  </si>
  <si>
    <t>15.4 mo (all patients)</t>
  </si>
  <si>
    <t>Kowalski et al</t>
  </si>
  <si>
    <t>0.2, 0.33, 0.66, 1.32, 2.64, 5.28, and 10.56mg/dose/wk x 6 weekly doses</t>
  </si>
  <si>
    <t>any positive biospy or cytology</t>
  </si>
  <si>
    <t>all patients grade 2 or 3</t>
  </si>
  <si>
    <t>3mo CR - 39% (29% in CIS, 44% in T1, 43% in Ta)</t>
  </si>
  <si>
    <t>Oportuzumab Monatox (Vicinium)</t>
  </si>
  <si>
    <t>30mg/wk x 6-12 wks</t>
  </si>
  <si>
    <t>3mo CR - 44%</t>
  </si>
  <si>
    <t>9.25mo</t>
  </si>
  <si>
    <t>Lee et al</t>
  </si>
  <si>
    <t>62.9 (mean)</t>
  </si>
  <si>
    <t>3mo CR - 100%</t>
  </si>
  <si>
    <t>Too good to be true?</t>
  </si>
  <si>
    <t>McKiernan et al</t>
  </si>
  <si>
    <t>4wk CR - 10/18</t>
  </si>
  <si>
    <t>75 (mean)</t>
  </si>
  <si>
    <t>T1HG +/- CIS</t>
  </si>
  <si>
    <t>Docetaxel</t>
  </si>
  <si>
    <t>5, 10, 20, 40, 60, 75mg</t>
  </si>
  <si>
    <t>nab-paclitaxel</t>
  </si>
  <si>
    <t>150, 225, 300, 375, 450, 500mg/wk x 6 wks</t>
  </si>
  <si>
    <t>3mo CR - 27.8%</t>
  </si>
  <si>
    <t>500mg/wk x 6 wks</t>
  </si>
  <si>
    <t>monthly x 6 mo</t>
  </si>
  <si>
    <t>21mo</t>
  </si>
  <si>
    <t>3mo CR - 10/28</t>
  </si>
  <si>
    <t>Morales et al</t>
  </si>
  <si>
    <t>8mg/wk x 6 wks</t>
  </si>
  <si>
    <t>3wks at 3, 6, 9, 12, 15,18, 21, 24mo</t>
  </si>
  <si>
    <t>only HG recurrence</t>
  </si>
  <si>
    <t>68.5 (mean)</t>
  </si>
  <si>
    <t>MCNA</t>
  </si>
  <si>
    <t>34.7mo</t>
  </si>
  <si>
    <t>1yr CR - 30/129</t>
  </si>
  <si>
    <t>Navai et al</t>
  </si>
  <si>
    <t>Ib</t>
  </si>
  <si>
    <t>3x10^9 to 3x10^11 vp/mL</t>
  </si>
  <si>
    <t>29.4mo</t>
  </si>
  <si>
    <t>3mo CR - 2/7</t>
  </si>
  <si>
    <t>Nseyo et al</t>
  </si>
  <si>
    <t>64.5 (mean)</t>
  </si>
  <si>
    <t>2mg/kg porfimer sodium IV</t>
  </si>
  <si>
    <t>3mo CR - 21/36</t>
  </si>
  <si>
    <t>12mo</t>
  </si>
  <si>
    <t>12.1mo</t>
  </si>
  <si>
    <t>PDT</t>
  </si>
  <si>
    <t>Packiam et al</t>
  </si>
  <si>
    <t>6 wks at 3 or 6, 12, 18mo</t>
  </si>
  <si>
    <t>Not sure why results of 22 patients were not reported</t>
  </si>
  <si>
    <t>1x10^12 VP/100mL</t>
  </si>
  <si>
    <t>6mo</t>
  </si>
  <si>
    <t>Perdona et al</t>
  </si>
  <si>
    <t>3wks at 3, 6, 12mo</t>
  </si>
  <si>
    <t>3.5mo (mean)</t>
  </si>
  <si>
    <t>2000mg 2x/wk x 6wks</t>
  </si>
  <si>
    <t>3mo CR - 15/20</t>
  </si>
  <si>
    <t>68.3 (mean)</t>
  </si>
  <si>
    <t>Sidi et al</t>
  </si>
  <si>
    <t>Exclude as all patients had LG recurrent disease after BCG</t>
  </si>
  <si>
    <t>Skinner et al</t>
  </si>
  <si>
    <t>2000mg/wk x 6 wks</t>
  </si>
  <si>
    <t>monthly x 10mo</t>
  </si>
  <si>
    <t>3mo CR - 20/47</t>
  </si>
  <si>
    <t>6.1mo</t>
  </si>
  <si>
    <t>15mo</t>
  </si>
  <si>
    <t>Soria et al</t>
  </si>
  <si>
    <t>Exclude as G3 patients were excluded from the study</t>
  </si>
  <si>
    <t>Shore et al</t>
  </si>
  <si>
    <t>any positive biopsy, cystoscopy or biopsy for HG disease</t>
  </si>
  <si>
    <t>6.5mo (all patients)</t>
  </si>
  <si>
    <t>1x10^11vp/mL or 3x10^11vp/mL</t>
  </si>
  <si>
    <t>q3monthly at 4, 7, 10 months</t>
  </si>
  <si>
    <t>12mo CR - 14/40</t>
  </si>
  <si>
    <t>Dickstein et al*</t>
  </si>
  <si>
    <t>Vicinium</t>
  </si>
  <si>
    <t>30mg 2x/wk x 6wks, 1x/wk x 6 wks</t>
  </si>
  <si>
    <t>q2wks x 2yrs</t>
  </si>
  <si>
    <t>%failed 2 prior BCG</t>
  </si>
  <si>
    <t>3mo CR - 55/111</t>
  </si>
  <si>
    <t>VPM1002BC</t>
  </si>
  <si>
    <t>Exclude as no efficacy info was reported</t>
  </si>
  <si>
    <t>Balar et al*</t>
  </si>
  <si>
    <t>Pembrolizumab</t>
  </si>
  <si>
    <t>200mg q3wk x 24mo</t>
  </si>
  <si>
    <t>DeCastro et al*</t>
  </si>
  <si>
    <t>Cabazitaxel, gemcitabine, cisplatin</t>
  </si>
  <si>
    <t>Sonpavde et al*</t>
  </si>
  <si>
    <t>x 1 maintenance right after induction</t>
  </si>
  <si>
    <t>Full induction treatment achieved</t>
  </si>
  <si>
    <t>Agent used2</t>
  </si>
  <si>
    <t>id</t>
  </si>
  <si>
    <t>KM 3mo RFS</t>
  </si>
  <si>
    <t>KM 6mo RFS</t>
  </si>
  <si>
    <t>KM 12mo RFS</t>
  </si>
  <si>
    <t>KM 18mo RFS</t>
  </si>
  <si>
    <t>KM 24mo RFS</t>
  </si>
  <si>
    <t>Var.Log.HR</t>
  </si>
  <si>
    <t>Log.HR</t>
  </si>
  <si>
    <t>CR.rate</t>
  </si>
  <si>
    <t>month.measure.CR</t>
  </si>
  <si>
    <t>3mo CR.new</t>
  </si>
  <si>
    <t>6 mo CR.new</t>
  </si>
  <si>
    <t>12 mo CR.new</t>
  </si>
  <si>
    <t>18 mo CR.new</t>
  </si>
  <si>
    <t>24mo CR.new</t>
  </si>
  <si>
    <t>PO Everolimus, Intravesical Gem</t>
  </si>
  <si>
    <t>2000mg gem 2x/wk x 3 wks x 2 cycles, 10mg everolimus daily</t>
  </si>
  <si>
    <t>Everolimus 10mg PO daily</t>
  </si>
  <si>
    <t>any positive biopsy (as prompted by NBI cysto or pos cytology)</t>
  </si>
  <si>
    <t>3, 6, 12mo CR</t>
  </si>
  <si>
    <t>Hahn et al</t>
  </si>
  <si>
    <t>Dovitinib</t>
  </si>
  <si>
    <t>500mg PO daily 5 days on, 2 days off x 4wks (indefinite # of cycles), dose reduction allowed to 400mg, 300mg</t>
  </si>
  <si>
    <t>Tan et al</t>
  </si>
  <si>
    <t>Radiofrequency-induced thermo-chemotherapy (RITE)</t>
  </si>
  <si>
    <t>30min cycles x 2 with 20mg MMC at 42 degreeC</t>
  </si>
  <si>
    <t>q6wks x 1yr, q8wks x 1yr (2nd yr)</t>
  </si>
  <si>
    <t>Primary endpoint</t>
  </si>
  <si>
    <t>Disease free survival 
3mo CR  for CIS patients</t>
  </si>
  <si>
    <t>any positive biopsy or cytology, neg random biopsy for CIS patients</t>
  </si>
  <si>
    <t>36mo (without DFS)</t>
  </si>
  <si>
    <t>24mo DFS, 3mo CR for CIS</t>
  </si>
  <si>
    <t>24mo DFS 35%
3mo CR for CIS - 30%</t>
  </si>
  <si>
    <t>Dose reduction allowed?</t>
  </si>
  <si>
    <t>Yes</t>
  </si>
  <si>
    <t>RFS</t>
  </si>
  <si>
    <t>Joudi et al/O'Donnell et al</t>
  </si>
  <si>
    <t>2006/2004</t>
  </si>
  <si>
    <t>40mg x 1 2 days post TUR, 40mg/wk x 4wks</t>
  </si>
  <si>
    <t xml:space="preserve">number of evaluable patients </t>
  </si>
  <si>
    <t>Rentsch et al*</t>
  </si>
  <si>
    <t>Chemical cystitis</t>
  </si>
  <si>
    <t>Suprapubic pain</t>
  </si>
  <si>
    <t>Local toxicity (Dysuria, freq, urg, hematuria)</t>
  </si>
  <si>
    <t>Paclitaxel-Hyaluronic acid (Oncofid-P-B)</t>
  </si>
  <si>
    <t>MTD, safety</t>
  </si>
  <si>
    <t>Random cold cup biopsy conducted 1 wk following last instillation</t>
  </si>
  <si>
    <t>CR at completion of study - 60%</t>
  </si>
  <si>
    <t>Various doses up to 750mg (in increments of 150mg x 5) x 6 wks</t>
  </si>
  <si>
    <t>Most common AE</t>
  </si>
  <si>
    <t>DLT</t>
  </si>
  <si>
    <t>Cystitis</t>
  </si>
  <si>
    <t>not specified</t>
  </si>
  <si>
    <t>CIS without papillary</t>
  </si>
  <si>
    <t>Hematuria</t>
  </si>
  <si>
    <t>Dysuria</t>
  </si>
  <si>
    <t>SAE (Grade 3 or greater)</t>
  </si>
  <si>
    <t>(Grade 3 lymphopenia)</t>
  </si>
  <si>
    <t>Mode of evaluation</t>
  </si>
  <si>
    <t>Any positive biopsy anywhere within the urinary tract/metastases or cytology</t>
  </si>
  <si>
    <t>Cysto  (biopsy mandated for aggressive disease) at 3 mo</t>
  </si>
  <si>
    <t xml:space="preserve">Cysto, biopsy as needed </t>
  </si>
  <si>
    <t>Any positive biopsy or cytology</t>
  </si>
  <si>
    <t>Cystoscopy + biopsy of suspicious lesions at 3mo</t>
  </si>
  <si>
    <t>Cystoscopy + biopsy of suspicious lesions at 4wks</t>
  </si>
  <si>
    <t>pT0 on cystectomy specimen also considered CR</t>
  </si>
  <si>
    <t>Dinney et al (Pivotal)/Steinberg et al 2000</t>
  </si>
  <si>
    <t>8 wk</t>
  </si>
  <si>
    <t>Cystoscopy + biopsy of suspicious lesions at 8wks, cytology</t>
  </si>
  <si>
    <t>Frequency</t>
  </si>
  <si>
    <t>(Grade 3 neutropenia, urinary frequency)</t>
  </si>
  <si>
    <t>2000mg 2x/wk x 3wks, 1 wk rest, repeat</t>
  </si>
  <si>
    <t>2mo CR - 7/18</t>
  </si>
  <si>
    <t>2mo CR - 15/30</t>
  </si>
  <si>
    <t>Efficacy</t>
  </si>
  <si>
    <t>(Grade 3 dysuria)</t>
  </si>
  <si>
    <t>Sarosdy et al</t>
  </si>
  <si>
    <t>Bropirimine</t>
  </si>
  <si>
    <t>3g daily x 3 days/week</t>
  </si>
  <si>
    <t>cystoscopy with biopsies and repeat cytology</t>
  </si>
  <si>
    <t>3g daily x 3 days/wk x 1 yr</t>
  </si>
  <si>
    <t>12wk CR</t>
  </si>
  <si>
    <t>12wk CR - 7/47</t>
  </si>
  <si>
    <t>Headache, astehnia, nausea</t>
  </si>
  <si>
    <t>NO</t>
  </si>
  <si>
    <t>Study period</t>
  </si>
  <si>
    <t>06/2006 - 05/2008</t>
  </si>
  <si>
    <t>03/2003 - 11/2005</t>
  </si>
  <si>
    <t>02/2001 - 05/2002</t>
  </si>
  <si>
    <t>05/1999 - 02/2001</t>
  </si>
  <si>
    <t>weekly x 3 wks at 3, 6, 12 mo</t>
  </si>
  <si>
    <t>Cystoscopy + biopsy of suspicious lesion at 3 mo, cytology, with random bladder biopsy prompted by positive cytology</t>
  </si>
  <si>
    <t>any positive biopsy cystoscopically, +cytology needs to be confirmed with histology</t>
  </si>
  <si>
    <t>Cystoscopy, mandated biopsy, cytology at 3mo</t>
  </si>
  <si>
    <t>Biopsy required?</t>
  </si>
  <si>
    <t>For aggressive disease</t>
  </si>
  <si>
    <t>No</t>
  </si>
  <si>
    <t>Any positive biopsy or 2 consecutive positive cytologies at 3mo or 6mo evaluation</t>
  </si>
  <si>
    <t>11/1993 - 12/1996</t>
  </si>
  <si>
    <t>6mo CR - 14/78</t>
  </si>
  <si>
    <t>6mo CR - 16/90</t>
  </si>
  <si>
    <t>Frequency, dysuria, urgency</t>
  </si>
  <si>
    <t>(Grade 3 Azotemia, reflux nephropathy)</t>
  </si>
  <si>
    <t>Cystoscopy, mandated biopsy, cytology and bladder capacity measurement</t>
  </si>
  <si>
    <t>Urgency</t>
  </si>
  <si>
    <t>No visual disaese, neg biopsy of prior scar, neg cytology</t>
  </si>
  <si>
    <t>3mo CR - 7/17</t>
  </si>
  <si>
    <t>Papillary, no CIS</t>
  </si>
  <si>
    <t>Cystoscopy + biopsy of suspicious lesions 4 wks after completion, cytology</t>
  </si>
  <si>
    <t>Dysuria, Low grade fever</t>
  </si>
  <si>
    <t>Low grade fever</t>
  </si>
  <si>
    <t>6.5mo</t>
  </si>
  <si>
    <t>8.2mo</t>
  </si>
  <si>
    <t>Cystoscopy + biopsy of suspicious lesions immediatedly after induciton, and cytology</t>
  </si>
  <si>
    <t>6mo CR - 38/40</t>
  </si>
  <si>
    <t>NR at 28mo</t>
  </si>
  <si>
    <t>07/1998 - 11/2002</t>
  </si>
  <si>
    <t>Cystoscopy, mapping biopsy for CIS, cytology</t>
  </si>
  <si>
    <t>For CIS</t>
  </si>
  <si>
    <t>any positive biopsy or 2 consecutive positive cytologies</t>
  </si>
  <si>
    <t>Infection</t>
  </si>
  <si>
    <t>3mo CR - 14/42</t>
  </si>
  <si>
    <t>Cystoscopy + biopsy of suspicious lesions, cytology 6 wks after completion</t>
  </si>
  <si>
    <t>Safety and feasibility</t>
  </si>
  <si>
    <t>Urethral pain</t>
  </si>
  <si>
    <t>any positive biopsy</t>
  </si>
  <si>
    <t>03/2007-07/2008</t>
  </si>
  <si>
    <t>Cystoscopy, random biopsy from &gt;=2 ares of normal urothelium, directed biopsy of suspicious area, cytology</t>
  </si>
  <si>
    <t>yes</t>
  </si>
  <si>
    <t>3 wks at 4.5, 7.5, 10.5mo</t>
  </si>
  <si>
    <t>dysuria</t>
  </si>
  <si>
    <t>("severe dysuria, pollakiuria)</t>
  </si>
  <si>
    <t>2.5mo</t>
  </si>
  <si>
    <t>Cystoscopy + bladder biopsies, cytology</t>
  </si>
  <si>
    <t>01/2008-11/2009</t>
  </si>
  <si>
    <t>07/2009-12/2011</t>
  </si>
  <si>
    <r>
      <t>0.5-0.6 mg/kg of photosensitizer, 5J/cm</t>
    </r>
    <r>
      <rPr>
        <vertAlign val="superscript"/>
        <sz val="11"/>
        <color theme="1"/>
        <rFont val="Calibri"/>
        <family val="2"/>
        <scheme val="minor"/>
      </rPr>
      <t>2</t>
    </r>
  </si>
  <si>
    <t>Cystoscopy, voided and wash cytology, biopsy of suspicious lesions 4 wks after treatment</t>
  </si>
  <si>
    <t>no</t>
  </si>
  <si>
    <t>28.12mo</t>
  </si>
  <si>
    <t>Efficacy and safety</t>
  </si>
  <si>
    <t>NR after 30mo</t>
  </si>
  <si>
    <t>LUTS, hematuria</t>
  </si>
  <si>
    <t>Cystoscopy + biopsy of suspicious lesions, cytology 4-6 wks after completion</t>
  </si>
  <si>
    <t>2010-2013</t>
  </si>
  <si>
    <t>Cystoscopy + mandatory biopsies at 6mo, cytology</t>
  </si>
  <si>
    <t>32.7mo (in patients with CR at 12mo)</t>
  </si>
  <si>
    <t>(Severe UTI and moderate hematuria)</t>
  </si>
  <si>
    <t>Cystoscopy + biopsy of suspicious lesions, cytology</t>
  </si>
  <si>
    <t>3x10^11 vp/mL x 2 on days 1, 4</t>
  </si>
  <si>
    <t>single cycle (2 doses) at 3mo in responders</t>
  </si>
  <si>
    <t>stranguria</t>
  </si>
  <si>
    <t>Many severe symptoms</t>
  </si>
  <si>
    <t>(Severe frequency, urgency, stranguria, nocturia, also skin photosensitivityurinary incontinencne, urinary retentionhydronehrosis, bilateral ureteral obstruction)</t>
  </si>
  <si>
    <t>06/2015-02/2017</t>
  </si>
  <si>
    <t>Yes at 6 mo</t>
  </si>
  <si>
    <t>Bladder spasms</t>
  </si>
  <si>
    <t>07/2006-07/2008</t>
  </si>
  <si>
    <t>only positive biopsy, cytology not considered recurrence</t>
  </si>
  <si>
    <t>(dysuria, thrombocytopenia)</t>
  </si>
  <si>
    <t>dysuria, frequency</t>
  </si>
  <si>
    <t>dysuria, frequency and neutropenia</t>
  </si>
  <si>
    <t>cystoscopy + biopsy of suspicious lesions, cytology</t>
  </si>
  <si>
    <t>11/2012-4/2015</t>
  </si>
  <si>
    <t>cystsocopy + bladder biopsies (mandated at 12 mo), cytology</t>
  </si>
  <si>
    <t>yes at 12 mo</t>
  </si>
  <si>
    <t>urgency, dysuria</t>
  </si>
  <si>
    <t>diarrhea, acute renal failure</t>
  </si>
  <si>
    <t>Cystsocopy + biopsy of suspicious lesions, cytology</t>
  </si>
  <si>
    <t>Dysuria, UTI</t>
  </si>
  <si>
    <t>CKI/renal failure, cholestatis hepatitis</t>
  </si>
  <si>
    <t>NR at 14.0mo</t>
  </si>
  <si>
    <t>Pruritis</t>
  </si>
  <si>
    <t>1 death considered treatment related (colitis in patient inadequately treated with steroids)</t>
  </si>
  <si>
    <t>14mo</t>
  </si>
  <si>
    <t>3mo CR - 40/103</t>
  </si>
  <si>
    <t>13mo</t>
  </si>
  <si>
    <t>2000mg gem, 2.5-5mg cabazitaxel, 66-100mg cisplatin, with gem + cabazitaxel given weekly, cisplatin q2w x 6 wks</t>
  </si>
  <si>
    <t>monthly x 12mo, q2mo x 12mo</t>
  </si>
  <si>
    <t>Cystoscopy + bladder biopsies (mandated), cytology</t>
  </si>
  <si>
    <t>3mo CR - 17/18</t>
  </si>
  <si>
    <t>NR at 13mo</t>
  </si>
  <si>
    <t>Oncofid (muco-adhesive conjugate of paclitaxel-hyaluronic acid)</t>
  </si>
  <si>
    <t>72.8 (mean)</t>
  </si>
  <si>
    <t>Weekly intravesical instillation x 12 wks</t>
  </si>
  <si>
    <t>cystoscopy with biopsies and urine cytology</t>
  </si>
  <si>
    <t>Safety</t>
  </si>
  <si>
    <t>3mo CR - 18/21</t>
  </si>
  <si>
    <t>urticaria</t>
  </si>
  <si>
    <t>IV ALT-801 + Gem</t>
  </si>
  <si>
    <t>1000mg gem x 2 doses, 0.06-0.08mg/kg ALT-801 x 4 doses x 2cycles</t>
  </si>
  <si>
    <t>Hepatotoxicity</t>
  </si>
  <si>
    <t>cystoscopy + bladder biopsy (mandated), cytology</t>
  </si>
  <si>
    <t>any positive biopsy, or positive cytology</t>
  </si>
  <si>
    <t>12mo CR - 2/9</t>
  </si>
  <si>
    <t>12/2010-03/2015</t>
  </si>
  <si>
    <t>Investigations</t>
  </si>
  <si>
    <t>Investigtions + Metabolism disorders</t>
  </si>
  <si>
    <t>11/2013-10/2014</t>
  </si>
  <si>
    <t>yes at 3, 6mo</t>
  </si>
  <si>
    <t>any positive biospy or positive cytology</t>
  </si>
  <si>
    <t>6mo CR</t>
  </si>
  <si>
    <t>pain</t>
  </si>
  <si>
    <t>cystsocopy + random bladder biopsies (mandated), cytology</t>
  </si>
  <si>
    <t>05/2010-02/2014</t>
  </si>
  <si>
    <t>skin rash, urgency and nocturia, inability to catheterize, hematuria</t>
  </si>
  <si>
    <t>Combat BRS MMC delivered at 43C over 60mins</t>
  </si>
  <si>
    <t>cystoscopy + bladder biopsy, cytology</t>
  </si>
  <si>
    <t>12mo CR - 55%</t>
  </si>
  <si>
    <t>CHT with MMC</t>
  </si>
  <si>
    <t>Tan et al*</t>
  </si>
  <si>
    <t>Hurle et al*</t>
  </si>
  <si>
    <t>Cytotoxic (0) vs. Immunogenic (1)</t>
  </si>
  <si>
    <t>combination</t>
  </si>
  <si>
    <t>Sunitinib</t>
  </si>
  <si>
    <t>37.5mg x 28 days, x 3 cycles</t>
  </si>
  <si>
    <t>cystoscopy</t>
  </si>
  <si>
    <t>3mo CR - 8/13</t>
  </si>
  <si>
    <t>fatigue</t>
  </si>
  <si>
    <t>Mohanty et al</t>
  </si>
  <si>
    <t>01/2004-12/2006</t>
  </si>
  <si>
    <t>2000mg gem x 6wks</t>
  </si>
  <si>
    <t>cystoscopy with biospies prn, urine cytology, NMP22</t>
  </si>
  <si>
    <t xml:space="preserve">18mo CR </t>
  </si>
  <si>
    <t>12mo (all patients)</t>
  </si>
  <si>
    <t>nausea</t>
  </si>
  <si>
    <t>Racioppi et al</t>
  </si>
  <si>
    <t>EMDA-MMC</t>
  </si>
  <si>
    <t>10/2012-03/2016</t>
  </si>
  <si>
    <t>66 (mean)</t>
  </si>
  <si>
    <t>both</t>
  </si>
  <si>
    <t>40mg MMC + 20mA pulsed electric current wkly x 6wks</t>
  </si>
  <si>
    <t>cystoscopy and bladder mapping biopsy</t>
  </si>
  <si>
    <t>any positive biopsy for high grade disease or cytology</t>
  </si>
  <si>
    <t>3mo CR -21/26</t>
  </si>
  <si>
    <t>Bladder spasms and SP pain</t>
  </si>
  <si>
    <t>Garcia et al*</t>
  </si>
  <si>
    <t>Chamie et al*</t>
  </si>
  <si>
    <t>BCG + ALT803</t>
  </si>
  <si>
    <t>cystoscopy + bladder biopsy</t>
  </si>
  <si>
    <t>yes at 6mo</t>
  </si>
  <si>
    <t>6mo CR - 7/11</t>
  </si>
  <si>
    <t>only HG recurrence, or 2/2 positive urine cytology with neg cysto</t>
  </si>
  <si>
    <t>6mo CR - 21/45</t>
  </si>
  <si>
    <t>BCG Unresponsive</t>
  </si>
  <si>
    <t>Li et al</t>
  </si>
  <si>
    <t>MCNA/BCG Unresponsive</t>
  </si>
  <si>
    <t>6mo CR - 46/94</t>
  </si>
  <si>
    <t>PFR</t>
  </si>
  <si>
    <t>desce</t>
  </si>
  <si>
    <t>HR</t>
  </si>
  <si>
    <t>var.HR</t>
  </si>
  <si>
    <t>O.minus.E</t>
  </si>
  <si>
    <t>Age</t>
  </si>
  <si>
    <t>Papillary +/- CIS</t>
  </si>
  <si>
    <t>Adequate BCG</t>
  </si>
  <si>
    <t>StudyDesign</t>
  </si>
  <si>
    <t>singlearm</t>
  </si>
  <si>
    <t>Some &gt;=2</t>
  </si>
  <si>
    <t>Induction</t>
  </si>
  <si>
    <t>RCT</t>
  </si>
  <si>
    <t>NRCS</t>
  </si>
  <si>
    <t>All &gt;=2</t>
  </si>
  <si>
    <t>TherapyType</t>
  </si>
  <si>
    <t>BCG.history</t>
  </si>
  <si>
    <t>Disease.Site</t>
  </si>
  <si>
    <t>Publication.Year</t>
  </si>
  <si>
    <t>StudyPhase</t>
  </si>
  <si>
    <t>induction</t>
  </si>
  <si>
    <t>used.R2.anlaysis</t>
  </si>
  <si>
    <t>slab</t>
  </si>
  <si>
    <t>PO bropirimine [16]</t>
  </si>
  <si>
    <t>i/ves valrubicin [38]</t>
  </si>
  <si>
    <t>i/ves valrubicin [39]</t>
  </si>
  <si>
    <t>i/ves oportuzumab monatox [43]</t>
  </si>
  <si>
    <t>i/ves gemcitabine [18]</t>
  </si>
  <si>
    <t>PO everolimus + i/ves gemcitabine [26]</t>
  </si>
  <si>
    <t>i/ves photodynamic therapy [47]</t>
  </si>
  <si>
    <t>i/ves BCG [7]</t>
  </si>
  <si>
    <t>i/ves gemcitabine [7]</t>
  </si>
  <si>
    <t>i/ves gemcitabine [22]</t>
  </si>
  <si>
    <t>i/ves gemcitabine [25]</t>
  </si>
  <si>
    <t>i/ves nab-paclitaxel [34]</t>
  </si>
  <si>
    <t>i/ves rAD-IFNα/Syn3 [13]</t>
  </si>
  <si>
    <t>i/ves nab-paclitaxel [35]</t>
  </si>
  <si>
    <t>PO dovitinib [41]</t>
  </si>
  <si>
    <t>i/ves oportuzumab monatox [42]</t>
  </si>
  <si>
    <t>i/ves rAD-IFNα/Syn3 [12]</t>
  </si>
  <si>
    <t>i/ves gemcitabine [24]</t>
  </si>
  <si>
    <t>i/ves docetaxel [32]</t>
  </si>
  <si>
    <t>i/ves rAD-IFNα/Syn3 [14]</t>
  </si>
  <si>
    <t>i/ves MCNA [9]</t>
  </si>
  <si>
    <t>i/ves MMC @ 42.2C [28]</t>
  </si>
  <si>
    <t>i/ves gemcitabine [23]</t>
  </si>
  <si>
    <t>i/ves EMDA MMC [31]</t>
  </si>
  <si>
    <t>i/ves photodynamic therapy [46]</t>
  </si>
  <si>
    <t>i/ves MMC@ 42.2C [29]</t>
  </si>
  <si>
    <t>i/ves gemcitabine [21]</t>
  </si>
  <si>
    <t>i/ves BCG [6]</t>
  </si>
  <si>
    <t>i/ves gemcitabine [6]</t>
  </si>
  <si>
    <t xml:space="preserve"> </t>
  </si>
  <si>
    <t>i/ves BCG + IFNα [8]</t>
  </si>
  <si>
    <t>i/ves MMC [19]</t>
  </si>
  <si>
    <t>i/ves gemcitabine [19]</t>
  </si>
  <si>
    <t>i/ves CG0070 [10]</t>
  </si>
  <si>
    <t>i/ves CG0070 [11]</t>
  </si>
  <si>
    <t>i/ves gemcitabine 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</si>
</sst>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10" fontId="0" fillId="0" borderId="0" xfId="0" applyNumberFormat="1" applyFill="1"/>
    <xf numFmtId="0" fontId="0" fillId="0" borderId="0" xfId="0" applyNumberFormat="1" applyFill="1"/>
    <xf numFmtId="0" fontId="0" fillId="5" borderId="0" xfId="0" applyFill="1"/>
    <xf numFmtId="0" fontId="0" fillId="0" borderId="3" xfId="0" applyBorder="1"/>
    <xf numFmtId="0" fontId="3" fillId="3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0" fillId="2" borderId="3" xfId="0" applyFill="1" applyBorder="1"/>
    <xf numFmtId="10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0" fontId="0" fillId="3" borderId="3" xfId="0" applyFill="1" applyBorder="1"/>
    <xf numFmtId="2" fontId="0" fillId="0" borderId="3" xfId="0" applyNumberFormat="1" applyBorder="1"/>
    <xf numFmtId="164" fontId="0" fillId="0" borderId="3" xfId="0" applyNumberFormat="1" applyBorder="1"/>
    <xf numFmtId="9" fontId="0" fillId="0" borderId="3" xfId="0" applyNumberFormat="1" applyBorder="1" applyAlignment="1">
      <alignment horizontal="left"/>
    </xf>
    <xf numFmtId="0" fontId="3" fillId="0" borderId="3" xfId="0" applyFont="1" applyBorder="1" applyAlignment="1">
      <alignment horizontal="left"/>
    </xf>
    <xf numFmtId="10" fontId="0" fillId="2" borderId="3" xfId="0" applyNumberFormat="1" applyFill="1" applyBorder="1"/>
    <xf numFmtId="10" fontId="0" fillId="0" borderId="3" xfId="0" applyNumberFormat="1" applyFill="1" applyBorder="1" applyAlignment="1">
      <alignment wrapText="1"/>
    </xf>
    <xf numFmtId="0" fontId="0" fillId="5" borderId="3" xfId="0" applyFill="1" applyBorder="1"/>
    <xf numFmtId="9" fontId="0" fillId="2" borderId="3" xfId="0" applyNumberFormat="1" applyFill="1" applyBorder="1"/>
    <xf numFmtId="165" fontId="0" fillId="0" borderId="3" xfId="0" applyNumberFormat="1" applyBorder="1"/>
    <xf numFmtId="165" fontId="0" fillId="2" borderId="3" xfId="0" applyNumberFormat="1" applyFill="1" applyBorder="1"/>
    <xf numFmtId="9" fontId="0" fillId="0" borderId="3" xfId="0" applyNumberFormat="1" applyBorder="1"/>
    <xf numFmtId="10" fontId="0" fillId="0" borderId="3" xfId="0" applyNumberFormat="1" applyBorder="1" applyAlignment="1">
      <alignment horizontal="left"/>
    </xf>
    <xf numFmtId="0" fontId="0" fillId="2" borderId="3" xfId="0" applyFill="1" applyBorder="1" applyAlignment="1">
      <alignment horizontal="left"/>
    </xf>
    <xf numFmtId="9" fontId="0" fillId="4" borderId="3" xfId="0" applyNumberFormat="1" applyFill="1" applyBorder="1"/>
    <xf numFmtId="0" fontId="0" fillId="0" borderId="3" xfId="0" applyBorder="1" applyAlignment="1">
      <alignment wrapText="1"/>
    </xf>
    <xf numFmtId="0" fontId="0" fillId="0" borderId="3" xfId="0" applyFont="1" applyBorder="1"/>
    <xf numFmtId="9" fontId="0" fillId="0" borderId="3" xfId="0" applyNumberFormat="1" applyFill="1" applyBorder="1"/>
    <xf numFmtId="10" fontId="0" fillId="0" borderId="3" xfId="0" applyNumberFormat="1" applyBorder="1"/>
    <xf numFmtId="0" fontId="0" fillId="4" borderId="3" xfId="0" applyFill="1" applyBorder="1"/>
    <xf numFmtId="0" fontId="0" fillId="0" borderId="3" xfId="0" applyNumberFormat="1" applyBorder="1" applyAlignment="1">
      <alignment horizontal="left"/>
    </xf>
    <xf numFmtId="0" fontId="0" fillId="0" borderId="3" xfId="0" applyNumberFormat="1" applyBorder="1"/>
    <xf numFmtId="0" fontId="0" fillId="0" borderId="3" xfId="0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10" fontId="0" fillId="5" borderId="3" xfId="0" applyNumberFormat="1" applyFill="1" applyBorder="1"/>
    <xf numFmtId="0" fontId="0" fillId="5" borderId="3" xfId="0" applyNumberFormat="1" applyFill="1" applyBorder="1"/>
    <xf numFmtId="0" fontId="0" fillId="3" borderId="3" xfId="0" applyFill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5" borderId="3" xfId="0" applyFill="1" applyBorder="1"/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4" xfId="0" applyFill="1" applyBorder="1"/>
    <xf numFmtId="0" fontId="0" fillId="6" borderId="3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3"/>
  <sheetViews>
    <sheetView tabSelected="1" zoomScale="90" zoomScaleNormal="9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baseColWidth="10" defaultColWidth="8.83203125" defaultRowHeight="15" x14ac:dyDescent="0.2"/>
  <cols>
    <col min="2" max="2" width="38.33203125" bestFit="1" customWidth="1"/>
    <col min="3" max="3" width="10.6640625" bestFit="1" customWidth="1"/>
    <col min="4" max="4" width="6.33203125" bestFit="1" customWidth="1"/>
    <col min="5" max="5" width="16.5" bestFit="1" customWidth="1"/>
    <col min="6" max="6" width="33.5" customWidth="1"/>
    <col min="7" max="7" width="36.5" bestFit="1" customWidth="1"/>
    <col min="8" max="8" width="15.6640625" style="48" bestFit="1" customWidth="1"/>
    <col min="9" max="9" width="12.5" bestFit="1" customWidth="1"/>
    <col min="10" max="10" width="5.5" bestFit="1" customWidth="1"/>
    <col min="11" max="11" width="17.5" bestFit="1" customWidth="1"/>
    <col min="12" max="12" width="17" bestFit="1" customWidth="1"/>
    <col min="13" max="13" width="15.6640625" bestFit="1" customWidth="1"/>
    <col min="14" max="14" width="11.33203125" bestFit="1" customWidth="1"/>
    <col min="15" max="15" width="12" bestFit="1" customWidth="1"/>
    <col min="16" max="16" width="13.5" customWidth="1"/>
    <col min="17" max="17" width="19.33203125" bestFit="1" customWidth="1"/>
    <col min="18" max="18" width="22.5" customWidth="1"/>
    <col min="19" max="19" width="13.1640625" customWidth="1"/>
    <col min="20" max="25" width="12" customWidth="1"/>
    <col min="26" max="26" width="14.33203125" customWidth="1"/>
    <col min="27" max="28" width="12" customWidth="1"/>
    <col min="29" max="29" width="19.5" customWidth="1"/>
    <col min="30" max="33" width="20" customWidth="1"/>
    <col min="34" max="34" width="59.1640625" customWidth="1"/>
    <col min="35" max="35" width="39.6640625" customWidth="1"/>
    <col min="36" max="36" width="31.1640625" customWidth="1"/>
    <col min="37" max="37" width="20.33203125" customWidth="1"/>
    <col min="38" max="38" width="60.5" customWidth="1"/>
    <col min="39" max="39" width="21" customWidth="1"/>
    <col min="40" max="40" width="84.33203125" customWidth="1"/>
    <col min="41" max="41" width="16.33203125" customWidth="1"/>
    <col min="42" max="42" width="21.5" customWidth="1"/>
    <col min="43" max="43" width="42.83203125" style="3" bestFit="1" customWidth="1"/>
    <col min="44" max="45" width="27" style="3" customWidth="1"/>
    <col min="46" max="46" width="32.6640625" style="5" customWidth="1"/>
    <col min="47" max="48" width="21.33203125" customWidth="1"/>
    <col min="49" max="49" width="7.5" bestFit="1" customWidth="1"/>
    <col min="50" max="50" width="8" bestFit="1" customWidth="1"/>
    <col min="51" max="51" width="14.33203125" customWidth="1"/>
    <col min="52" max="52" width="9" bestFit="1" customWidth="1"/>
    <col min="53" max="53" width="12" bestFit="1" customWidth="1"/>
    <col min="54" max="55" width="11.6640625" style="1" bestFit="1" customWidth="1"/>
    <col min="56" max="58" width="12.6640625" style="1" bestFit="1" customWidth="1"/>
    <col min="59" max="61" width="12.6640625" style="1" customWidth="1"/>
    <col min="62" max="62" width="22.5" style="8" bestFit="1" customWidth="1"/>
    <col min="63" max="63" width="26.1640625" style="2" bestFit="1" customWidth="1"/>
    <col min="64" max="64" width="17.5" style="9" customWidth="1"/>
    <col min="65" max="65" width="38.5" style="2" customWidth="1"/>
    <col min="66" max="66" width="10.83203125" customWidth="1"/>
    <col min="67" max="67" width="12.6640625" customWidth="1"/>
    <col min="68" max="68" width="7.5" bestFit="1" customWidth="1"/>
    <col min="69" max="69" width="8" bestFit="1" customWidth="1"/>
    <col min="70" max="70" width="30.5" bestFit="1" customWidth="1"/>
    <col min="71" max="71" width="9" bestFit="1" customWidth="1"/>
    <col min="72" max="72" width="12" bestFit="1" customWidth="1"/>
  </cols>
  <sheetData>
    <row r="1" spans="1:72" ht="15" customHeight="1" x14ac:dyDescent="0.2">
      <c r="T1" t="s">
        <v>15</v>
      </c>
      <c r="V1" t="s">
        <v>10</v>
      </c>
      <c r="Y1" t="s">
        <v>14</v>
      </c>
      <c r="AB1" t="s">
        <v>21</v>
      </c>
      <c r="AC1" t="s">
        <v>6</v>
      </c>
      <c r="AJ1" t="s">
        <v>7</v>
      </c>
      <c r="AK1" t="s">
        <v>62</v>
      </c>
      <c r="AN1" t="s">
        <v>9</v>
      </c>
      <c r="AT1" s="4"/>
      <c r="BN1" s="6" t="s">
        <v>229</v>
      </c>
      <c r="BO1" s="7" t="s">
        <v>228</v>
      </c>
      <c r="BP1" t="s">
        <v>28</v>
      </c>
      <c r="BQ1" t="s">
        <v>25</v>
      </c>
      <c r="BR1" t="s">
        <v>26</v>
      </c>
      <c r="BS1" t="s">
        <v>27</v>
      </c>
      <c r="BT1" t="s">
        <v>100</v>
      </c>
    </row>
    <row r="2" spans="1:72" ht="42.75" customHeight="1" x14ac:dyDescent="0.2">
      <c r="A2" s="11" t="s">
        <v>222</v>
      </c>
      <c r="B2" s="11" t="s">
        <v>0</v>
      </c>
      <c r="C2" s="11" t="s">
        <v>1</v>
      </c>
      <c r="D2" s="11" t="s">
        <v>3</v>
      </c>
      <c r="E2" s="11" t="s">
        <v>307</v>
      </c>
      <c r="F2" s="11" t="s">
        <v>221</v>
      </c>
      <c r="G2" s="49" t="s">
        <v>492</v>
      </c>
      <c r="H2" s="53" t="s">
        <v>491</v>
      </c>
      <c r="I2" s="12" t="s">
        <v>485</v>
      </c>
      <c r="J2" s="47" t="s">
        <v>475</v>
      </c>
      <c r="K2" s="12" t="s">
        <v>486</v>
      </c>
      <c r="L2" s="12" t="s">
        <v>487</v>
      </c>
      <c r="M2" s="12" t="s">
        <v>488</v>
      </c>
      <c r="N2" s="47" t="s">
        <v>489</v>
      </c>
      <c r="O2" s="47" t="s">
        <v>478</v>
      </c>
      <c r="P2" s="11" t="s">
        <v>434</v>
      </c>
      <c r="Q2" s="12" t="s">
        <v>261</v>
      </c>
      <c r="R2" s="11" t="s">
        <v>220</v>
      </c>
      <c r="S2" s="11" t="s">
        <v>22</v>
      </c>
      <c r="T2" s="11" t="s">
        <v>16</v>
      </c>
      <c r="U2" s="11" t="s">
        <v>17</v>
      </c>
      <c r="V2" s="11" t="s">
        <v>11</v>
      </c>
      <c r="W2" s="11" t="s">
        <v>12</v>
      </c>
      <c r="X2" s="11" t="s">
        <v>13</v>
      </c>
      <c r="Y2" s="11" t="s">
        <v>18</v>
      </c>
      <c r="Z2" s="11" t="s">
        <v>20</v>
      </c>
      <c r="AA2" s="11" t="s">
        <v>19</v>
      </c>
      <c r="AB2" s="11"/>
      <c r="AC2" s="11" t="s">
        <v>31</v>
      </c>
      <c r="AD2" s="11" t="s">
        <v>209</v>
      </c>
      <c r="AE2" s="11" t="s">
        <v>32</v>
      </c>
      <c r="AF2" s="11" t="s">
        <v>466</v>
      </c>
      <c r="AG2" s="11" t="s">
        <v>47</v>
      </c>
      <c r="AH2" s="11" t="s">
        <v>5</v>
      </c>
      <c r="AI2" s="11" t="s">
        <v>255</v>
      </c>
      <c r="AJ2" s="11" t="s">
        <v>7</v>
      </c>
      <c r="AK2" s="11" t="s">
        <v>62</v>
      </c>
      <c r="AL2" s="11" t="s">
        <v>280</v>
      </c>
      <c r="AM2" s="11" t="s">
        <v>316</v>
      </c>
      <c r="AN2" s="11" t="s">
        <v>9</v>
      </c>
      <c r="AO2" s="11" t="s">
        <v>37</v>
      </c>
      <c r="AP2" s="11" t="s">
        <v>249</v>
      </c>
      <c r="AQ2" s="13" t="s">
        <v>24</v>
      </c>
      <c r="AR2" s="13" t="s">
        <v>230</v>
      </c>
      <c r="AS2" s="13" t="s">
        <v>231</v>
      </c>
      <c r="AT2" s="14" t="s">
        <v>57</v>
      </c>
      <c r="AU2" s="11" t="s">
        <v>43</v>
      </c>
      <c r="AV2" s="13" t="s">
        <v>470</v>
      </c>
      <c r="AW2" s="11" t="s">
        <v>28</v>
      </c>
      <c r="AX2" s="11" t="s">
        <v>25</v>
      </c>
      <c r="AY2" s="11" t="s">
        <v>26</v>
      </c>
      <c r="AZ2" s="11" t="s">
        <v>27</v>
      </c>
      <c r="BA2" s="11" t="s">
        <v>100</v>
      </c>
      <c r="BB2" s="15" t="s">
        <v>223</v>
      </c>
      <c r="BC2" s="15" t="s">
        <v>224</v>
      </c>
      <c r="BD2" s="15" t="s">
        <v>225</v>
      </c>
      <c r="BE2" s="15" t="s">
        <v>226</v>
      </c>
      <c r="BF2" s="15" t="s">
        <v>227</v>
      </c>
      <c r="BG2" s="15" t="s">
        <v>472</v>
      </c>
      <c r="BH2" s="15" t="s">
        <v>473</v>
      </c>
      <c r="BI2" s="15" t="s">
        <v>474</v>
      </c>
      <c r="BJ2" s="16" t="s">
        <v>278</v>
      </c>
      <c r="BK2" s="17" t="s">
        <v>271</v>
      </c>
      <c r="BL2" s="18" t="s">
        <v>272</v>
      </c>
      <c r="BM2" s="17" t="s">
        <v>471</v>
      </c>
      <c r="BN2" s="19" t="s">
        <v>229</v>
      </c>
      <c r="BO2" s="19" t="s">
        <v>228</v>
      </c>
      <c r="BP2" s="11" t="s">
        <v>232</v>
      </c>
      <c r="BQ2" s="11" t="s">
        <v>233</v>
      </c>
      <c r="BR2" s="11" t="s">
        <v>234</v>
      </c>
      <c r="BS2" s="11" t="s">
        <v>235</v>
      </c>
      <c r="BT2" s="11" t="s">
        <v>236</v>
      </c>
    </row>
    <row r="3" spans="1:72" ht="20" customHeight="1" x14ac:dyDescent="0.2">
      <c r="A3" s="11">
        <v>1</v>
      </c>
      <c r="B3" s="11" t="s">
        <v>258</v>
      </c>
      <c r="C3" s="11" t="s">
        <v>259</v>
      </c>
      <c r="D3" s="11" t="s">
        <v>4</v>
      </c>
      <c r="E3" s="11" t="s">
        <v>311</v>
      </c>
      <c r="F3" s="15" t="s">
        <v>2</v>
      </c>
      <c r="G3" s="15" t="s">
        <v>523</v>
      </c>
      <c r="H3" s="54">
        <v>1</v>
      </c>
      <c r="I3" s="51">
        <v>1</v>
      </c>
      <c r="J3" s="51">
        <v>72</v>
      </c>
      <c r="K3" s="51" t="s">
        <v>480</v>
      </c>
      <c r="L3" s="51" t="s">
        <v>105</v>
      </c>
      <c r="M3" s="51">
        <v>2004</v>
      </c>
      <c r="N3" s="51" t="s">
        <v>92</v>
      </c>
      <c r="O3" s="51" t="s">
        <v>479</v>
      </c>
      <c r="P3" s="11">
        <v>1</v>
      </c>
      <c r="Q3" s="11">
        <v>467</v>
      </c>
      <c r="R3" s="17">
        <v>1</v>
      </c>
      <c r="S3" s="11">
        <v>72</v>
      </c>
      <c r="T3" s="20">
        <v>0.72</v>
      </c>
      <c r="U3" s="20">
        <v>0.27</v>
      </c>
      <c r="V3" s="21">
        <v>0.5</v>
      </c>
      <c r="W3" s="21">
        <v>0.2</v>
      </c>
      <c r="X3" s="21">
        <v>0.27</v>
      </c>
      <c r="Y3" s="21">
        <v>0.2</v>
      </c>
      <c r="Z3" s="21">
        <v>0.27</v>
      </c>
      <c r="AA3" s="21">
        <v>0.42</v>
      </c>
      <c r="AB3" s="21">
        <v>0.42</v>
      </c>
      <c r="AC3" s="21">
        <v>1</v>
      </c>
      <c r="AD3" s="21" t="s">
        <v>23</v>
      </c>
      <c r="AE3" s="21">
        <v>7.9000000000000001E-2</v>
      </c>
      <c r="AF3" s="21"/>
      <c r="AG3" s="11" t="s">
        <v>105</v>
      </c>
      <c r="AH3" s="11" t="s">
        <v>35</v>
      </c>
      <c r="AI3" s="11" t="s">
        <v>256</v>
      </c>
      <c r="AJ3" s="11" t="s">
        <v>8</v>
      </c>
      <c r="AK3" s="11" t="s">
        <v>79</v>
      </c>
      <c r="AL3" s="11" t="s">
        <v>282</v>
      </c>
      <c r="AM3" s="11" t="s">
        <v>317</v>
      </c>
      <c r="AN3" s="11" t="s">
        <v>281</v>
      </c>
      <c r="AO3" s="11" t="s">
        <v>38</v>
      </c>
      <c r="AP3" s="11" t="s">
        <v>257</v>
      </c>
      <c r="AQ3" s="13" t="s">
        <v>29</v>
      </c>
      <c r="AR3" s="22">
        <v>0.45</v>
      </c>
      <c r="AS3" s="13">
        <v>24</v>
      </c>
      <c r="AT3" s="23"/>
      <c r="AU3" s="11">
        <v>6.9000000000000006E-2</v>
      </c>
      <c r="AV3" s="11">
        <f t="shared" ref="AV3:AV20" si="0">1-AU3</f>
        <v>0.93100000000000005</v>
      </c>
      <c r="AW3" s="11"/>
      <c r="AX3" s="11"/>
      <c r="AY3" s="11"/>
      <c r="AZ3" s="11"/>
      <c r="BA3" s="11"/>
      <c r="BB3" s="24">
        <v>0.77500000000000002</v>
      </c>
      <c r="BC3" s="24">
        <v>0.68</v>
      </c>
      <c r="BD3" s="24">
        <v>0.55100000000000005</v>
      </c>
      <c r="BE3" s="24">
        <v>0.504</v>
      </c>
      <c r="BF3" s="24">
        <v>0.45</v>
      </c>
      <c r="BG3" s="24"/>
      <c r="BH3" s="24"/>
      <c r="BI3" s="24"/>
      <c r="BJ3" s="16">
        <v>4.8000000000000001E-2</v>
      </c>
      <c r="BK3" s="25" t="s">
        <v>265</v>
      </c>
      <c r="BL3" s="18"/>
      <c r="BM3" s="16"/>
      <c r="BN3" s="11"/>
      <c r="BO3" s="11"/>
      <c r="BP3" s="11"/>
      <c r="BQ3" s="11"/>
      <c r="BR3" s="11"/>
      <c r="BS3" s="11"/>
      <c r="BT3" s="11"/>
    </row>
    <row r="4" spans="1:72" ht="20" customHeight="1" x14ac:dyDescent="0.2">
      <c r="A4" s="11">
        <v>2</v>
      </c>
      <c r="B4" s="26" t="s">
        <v>30</v>
      </c>
      <c r="C4" s="11">
        <v>2010</v>
      </c>
      <c r="D4" s="11" t="s">
        <v>40</v>
      </c>
      <c r="E4" s="11" t="s">
        <v>309</v>
      </c>
      <c r="F4" s="15" t="s">
        <v>33</v>
      </c>
      <c r="G4" s="15" t="s">
        <v>524</v>
      </c>
      <c r="H4" s="54">
        <v>1</v>
      </c>
      <c r="I4" s="51">
        <v>0</v>
      </c>
      <c r="J4" s="51">
        <v>70</v>
      </c>
      <c r="K4" s="51" t="s">
        <v>481</v>
      </c>
      <c r="L4" s="55"/>
      <c r="M4" s="51">
        <v>2010</v>
      </c>
      <c r="N4" s="51" t="s">
        <v>92</v>
      </c>
      <c r="O4" s="51" t="s">
        <v>482</v>
      </c>
      <c r="P4" s="11">
        <v>0</v>
      </c>
      <c r="Q4" s="11">
        <v>55</v>
      </c>
      <c r="R4" s="17">
        <v>1</v>
      </c>
      <c r="S4" s="11">
        <v>70</v>
      </c>
      <c r="T4" s="11">
        <f>47/55</f>
        <v>0.8545454545454545</v>
      </c>
      <c r="U4" s="11">
        <f>8/56</f>
        <v>0.14285714285714285</v>
      </c>
      <c r="V4" s="11">
        <f>35/55</f>
        <v>0.63636363636363635</v>
      </c>
      <c r="W4" s="11">
        <f>20/55</f>
        <v>0.36363636363636365</v>
      </c>
      <c r="X4" s="11">
        <v>0</v>
      </c>
      <c r="Y4" s="11">
        <f>14/55</f>
        <v>0.25454545454545452</v>
      </c>
      <c r="Z4" s="11">
        <f>27/55</f>
        <v>0.49090909090909091</v>
      </c>
      <c r="AA4" s="11">
        <f>14/55</f>
        <v>0.25454545454545452</v>
      </c>
      <c r="AB4" s="11">
        <f>10/55</f>
        <v>0.18181818181818182</v>
      </c>
      <c r="AC4" s="11">
        <f>45/55</f>
        <v>0.81818181818181823</v>
      </c>
      <c r="AD4" s="11" t="s">
        <v>23</v>
      </c>
      <c r="AE4" s="11">
        <f>10/55</f>
        <v>0.18181818181818182</v>
      </c>
      <c r="AF4" s="11"/>
      <c r="AG4" s="11" t="s">
        <v>51</v>
      </c>
      <c r="AH4" s="11" t="s">
        <v>260</v>
      </c>
      <c r="AI4" s="11"/>
      <c r="AJ4" s="11" t="s">
        <v>36</v>
      </c>
      <c r="AK4" s="11" t="s">
        <v>274</v>
      </c>
      <c r="AL4" s="11" t="s">
        <v>283</v>
      </c>
      <c r="AM4" s="11" t="s">
        <v>318</v>
      </c>
      <c r="AN4" s="11" t="s">
        <v>44</v>
      </c>
      <c r="AO4" s="11" t="s">
        <v>39</v>
      </c>
      <c r="AP4" s="11" t="s">
        <v>257</v>
      </c>
      <c r="AQ4" s="13"/>
      <c r="AR4" s="13"/>
      <c r="AS4" s="13"/>
      <c r="AT4" s="23" t="s">
        <v>41</v>
      </c>
      <c r="AU4" s="11">
        <f>6/55</f>
        <v>0.10909090909090909</v>
      </c>
      <c r="AV4" s="11">
        <f t="shared" si="0"/>
        <v>0.89090909090909087</v>
      </c>
      <c r="AW4" s="11"/>
      <c r="AX4" s="11"/>
      <c r="AY4" s="11"/>
      <c r="AZ4" s="11"/>
      <c r="BA4" s="11"/>
      <c r="BB4" s="24">
        <v>0.98799999999999999</v>
      </c>
      <c r="BC4" s="24">
        <v>0.91200000000000003</v>
      </c>
      <c r="BD4" s="24">
        <v>0.623</v>
      </c>
      <c r="BE4" s="24">
        <v>0.441</v>
      </c>
      <c r="BF4" s="24">
        <v>0.42099999999999999</v>
      </c>
      <c r="BG4" s="24"/>
      <c r="BH4" s="24"/>
      <c r="BI4" s="24"/>
      <c r="BJ4" s="16">
        <v>0.1</v>
      </c>
      <c r="BK4" s="16" t="s">
        <v>263</v>
      </c>
      <c r="BL4" s="18"/>
      <c r="BM4" s="16"/>
      <c r="BN4" s="11"/>
      <c r="BO4" s="11"/>
      <c r="BP4" s="11"/>
      <c r="BQ4" s="11"/>
      <c r="BR4" s="11"/>
      <c r="BS4" s="11"/>
      <c r="BT4" s="11"/>
    </row>
    <row r="5" spans="1:72" ht="20" customHeight="1" x14ac:dyDescent="0.2">
      <c r="A5" s="11">
        <v>3</v>
      </c>
      <c r="B5" s="26" t="s">
        <v>30</v>
      </c>
      <c r="C5" s="11">
        <v>2010</v>
      </c>
      <c r="D5" s="11" t="s">
        <v>40</v>
      </c>
      <c r="E5" s="11" t="s">
        <v>309</v>
      </c>
      <c r="F5" s="15" t="s">
        <v>34</v>
      </c>
      <c r="G5" s="15" t="s">
        <v>525</v>
      </c>
      <c r="H5" s="54">
        <v>1</v>
      </c>
      <c r="I5" s="51">
        <v>0</v>
      </c>
      <c r="J5" s="51">
        <v>66.5</v>
      </c>
      <c r="K5" s="51" t="s">
        <v>481</v>
      </c>
      <c r="L5" s="55"/>
      <c r="M5" s="51">
        <v>2010</v>
      </c>
      <c r="N5" s="51" t="s">
        <v>92</v>
      </c>
      <c r="O5" s="51" t="s">
        <v>482</v>
      </c>
      <c r="P5" s="11">
        <v>0</v>
      </c>
      <c r="Q5" s="11">
        <v>54</v>
      </c>
      <c r="R5" s="17">
        <v>1</v>
      </c>
      <c r="S5" s="11">
        <v>66.5</v>
      </c>
      <c r="T5" s="11">
        <f>46/54</f>
        <v>0.85185185185185186</v>
      </c>
      <c r="U5" s="11">
        <f>8/44</f>
        <v>0.18181818181818182</v>
      </c>
      <c r="V5" s="11">
        <f>37/54</f>
        <v>0.68518518518518523</v>
      </c>
      <c r="W5" s="11">
        <f>17/54</f>
        <v>0.31481481481481483</v>
      </c>
      <c r="X5" s="11">
        <v>0</v>
      </c>
      <c r="Y5" s="11">
        <f>11/54</f>
        <v>0.20370370370370369</v>
      </c>
      <c r="Z5" s="11">
        <f>28/54</f>
        <v>0.51851851851851849</v>
      </c>
      <c r="AA5" s="11">
        <f>15/54</f>
        <v>0.27777777777777779</v>
      </c>
      <c r="AB5" s="11">
        <f>8/54</f>
        <v>0.14814814814814814</v>
      </c>
      <c r="AC5" s="11">
        <f>46/54</f>
        <v>0.85185185185185186</v>
      </c>
      <c r="AD5" s="11" t="s">
        <v>23</v>
      </c>
      <c r="AE5" s="11">
        <f>8/54</f>
        <v>0.14814814814814814</v>
      </c>
      <c r="AF5" s="11"/>
      <c r="AG5" s="11" t="s">
        <v>51</v>
      </c>
      <c r="AH5" s="11" t="s">
        <v>192</v>
      </c>
      <c r="AI5" s="11"/>
      <c r="AJ5" s="11" t="s">
        <v>36</v>
      </c>
      <c r="AK5" s="11" t="s">
        <v>274</v>
      </c>
      <c r="AL5" s="11" t="s">
        <v>283</v>
      </c>
      <c r="AM5" s="11" t="s">
        <v>318</v>
      </c>
      <c r="AN5" s="11" t="s">
        <v>44</v>
      </c>
      <c r="AO5" s="11" t="s">
        <v>39</v>
      </c>
      <c r="AP5" s="11" t="s">
        <v>257</v>
      </c>
      <c r="AQ5" s="13"/>
      <c r="AR5" s="13"/>
      <c r="AS5" s="13"/>
      <c r="AT5" s="23" t="s">
        <v>42</v>
      </c>
      <c r="AU5" s="11">
        <f>6/54</f>
        <v>0.1111111111111111</v>
      </c>
      <c r="AV5" s="11">
        <f t="shared" si="0"/>
        <v>0.88888888888888884</v>
      </c>
      <c r="AW5" s="11"/>
      <c r="AX5" s="11"/>
      <c r="AY5" s="11"/>
      <c r="AZ5" s="11"/>
      <c r="BA5" s="11"/>
      <c r="BB5" s="27">
        <v>1</v>
      </c>
      <c r="BC5" s="27">
        <v>1</v>
      </c>
      <c r="BD5" s="27">
        <v>0.84</v>
      </c>
      <c r="BE5" s="24">
        <v>0.65300000000000002</v>
      </c>
      <c r="BF5" s="24">
        <v>0.61399999999999999</v>
      </c>
      <c r="BG5" s="24"/>
      <c r="BH5" s="24"/>
      <c r="BI5" s="24"/>
      <c r="BJ5" s="16">
        <v>0.05</v>
      </c>
      <c r="BK5" s="16" t="s">
        <v>264</v>
      </c>
      <c r="BL5" s="18"/>
      <c r="BM5" s="16"/>
      <c r="BN5" s="11"/>
      <c r="BO5" s="11"/>
      <c r="BP5" s="11"/>
      <c r="BQ5" s="11"/>
      <c r="BR5" s="11"/>
      <c r="BS5" s="11"/>
      <c r="BT5" s="11"/>
    </row>
    <row r="6" spans="1:72" ht="20" customHeight="1" x14ac:dyDescent="0.2">
      <c r="A6" s="11">
        <v>4</v>
      </c>
      <c r="B6" s="26" t="s">
        <v>45</v>
      </c>
      <c r="C6" s="11">
        <v>2011</v>
      </c>
      <c r="D6" s="11" t="s">
        <v>46</v>
      </c>
      <c r="E6" s="11" t="s">
        <v>23</v>
      </c>
      <c r="F6" s="15" t="s">
        <v>266</v>
      </c>
      <c r="G6" s="57"/>
      <c r="H6" s="54">
        <v>0</v>
      </c>
      <c r="I6" s="51"/>
      <c r="J6" s="51"/>
      <c r="K6" s="51"/>
      <c r="L6" s="51"/>
      <c r="M6" s="51"/>
      <c r="N6" s="51"/>
      <c r="O6" s="51"/>
      <c r="P6" s="11">
        <v>0</v>
      </c>
      <c r="Q6" s="15">
        <v>15</v>
      </c>
      <c r="R6" s="17">
        <f>15/16</f>
        <v>0.9375</v>
      </c>
      <c r="S6" s="11" t="s">
        <v>49</v>
      </c>
      <c r="T6" s="11">
        <v>1</v>
      </c>
      <c r="U6" s="11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 t="s">
        <v>48</v>
      </c>
      <c r="AH6" s="11" t="s">
        <v>270</v>
      </c>
      <c r="AI6" s="11"/>
      <c r="AJ6" s="11" t="s">
        <v>69</v>
      </c>
      <c r="AK6" s="11" t="s">
        <v>63</v>
      </c>
      <c r="AL6" s="11" t="s">
        <v>268</v>
      </c>
      <c r="AM6" s="11" t="s">
        <v>256</v>
      </c>
      <c r="AN6" s="11" t="s">
        <v>284</v>
      </c>
      <c r="AO6" s="11" t="s">
        <v>50</v>
      </c>
      <c r="AP6" s="11" t="s">
        <v>267</v>
      </c>
      <c r="AQ6" s="13" t="s">
        <v>269</v>
      </c>
      <c r="AR6" s="22">
        <v>0.6</v>
      </c>
      <c r="AS6" s="13">
        <f>1/4</f>
        <v>0.25</v>
      </c>
      <c r="AT6" s="23"/>
      <c r="AU6" s="11">
        <v>0</v>
      </c>
      <c r="AV6" s="11">
        <f t="shared" si="0"/>
        <v>1</v>
      </c>
      <c r="AW6" s="11"/>
      <c r="AX6" s="11"/>
      <c r="AY6" s="11"/>
      <c r="AZ6" s="11"/>
      <c r="BA6" s="11"/>
      <c r="BB6" s="15"/>
      <c r="BC6" s="15"/>
      <c r="BD6" s="15"/>
      <c r="BE6" s="15"/>
      <c r="BF6" s="15"/>
      <c r="BG6" s="15"/>
      <c r="BH6" s="15"/>
      <c r="BI6" s="15"/>
      <c r="BJ6" s="16">
        <f>2/15</f>
        <v>0.13333333333333333</v>
      </c>
      <c r="BK6" s="17" t="s">
        <v>273</v>
      </c>
      <c r="BL6" s="18">
        <v>0</v>
      </c>
      <c r="BM6" s="17"/>
      <c r="BN6" s="11"/>
      <c r="BO6" s="11"/>
      <c r="BP6" s="11"/>
      <c r="BQ6" s="11"/>
      <c r="BR6" s="11"/>
      <c r="BS6" s="11"/>
      <c r="BT6" s="11"/>
    </row>
    <row r="7" spans="1:72" ht="20" customHeight="1" x14ac:dyDescent="0.2">
      <c r="A7" s="11">
        <v>5</v>
      </c>
      <c r="B7" s="19" t="s">
        <v>45</v>
      </c>
      <c r="C7" s="11">
        <v>2005</v>
      </c>
      <c r="D7" s="11" t="s">
        <v>46</v>
      </c>
      <c r="E7" s="11" t="s">
        <v>310</v>
      </c>
      <c r="F7" s="15" t="s">
        <v>34</v>
      </c>
      <c r="G7" s="15" t="s">
        <v>497</v>
      </c>
      <c r="H7" s="54">
        <v>1</v>
      </c>
      <c r="I7" s="51">
        <v>0</v>
      </c>
      <c r="J7" s="51">
        <v>66</v>
      </c>
      <c r="K7" s="51" t="s">
        <v>481</v>
      </c>
      <c r="L7" s="51" t="s">
        <v>48</v>
      </c>
      <c r="M7" s="51">
        <v>2005</v>
      </c>
      <c r="N7" s="51" t="s">
        <v>46</v>
      </c>
      <c r="O7" s="51" t="s">
        <v>479</v>
      </c>
      <c r="P7" s="11">
        <v>0</v>
      </c>
      <c r="Q7" s="11">
        <v>9</v>
      </c>
      <c r="R7" s="17">
        <v>1</v>
      </c>
      <c r="S7" s="11">
        <v>66</v>
      </c>
      <c r="T7" s="11">
        <f>7/9</f>
        <v>0.77777777777777779</v>
      </c>
      <c r="U7" s="11">
        <f>2/9</f>
        <v>0.22222222222222221</v>
      </c>
      <c r="V7" s="11">
        <v>0</v>
      </c>
      <c r="W7" s="11">
        <v>0</v>
      </c>
      <c r="X7" s="11">
        <v>1</v>
      </c>
      <c r="Y7" s="11">
        <v>0</v>
      </c>
      <c r="Z7" s="11">
        <v>0</v>
      </c>
      <c r="AA7" s="11">
        <v>1</v>
      </c>
      <c r="AB7" s="11">
        <v>0</v>
      </c>
      <c r="AC7" s="11">
        <v>1</v>
      </c>
      <c r="AD7" s="11" t="s">
        <v>23</v>
      </c>
      <c r="AE7" s="11">
        <v>0</v>
      </c>
      <c r="AF7" s="11"/>
      <c r="AG7" s="11" t="s">
        <v>275</v>
      </c>
      <c r="AH7" s="11" t="s">
        <v>52</v>
      </c>
      <c r="AI7" s="11"/>
      <c r="AJ7" s="11" t="s">
        <v>53</v>
      </c>
      <c r="AK7" s="11" t="s">
        <v>64</v>
      </c>
      <c r="AL7" s="11" t="s">
        <v>286</v>
      </c>
      <c r="AM7" s="11" t="s">
        <v>318</v>
      </c>
      <c r="AN7" s="11" t="s">
        <v>284</v>
      </c>
      <c r="AO7" s="11"/>
      <c r="AP7" s="11"/>
      <c r="AQ7" s="13" t="s">
        <v>55</v>
      </c>
      <c r="AR7" s="22">
        <f>4/9</f>
        <v>0.44444444444444442</v>
      </c>
      <c r="AS7" s="13">
        <v>1</v>
      </c>
      <c r="AT7" s="23" t="s">
        <v>56</v>
      </c>
      <c r="AU7" s="11">
        <v>0</v>
      </c>
      <c r="AV7" s="11">
        <f t="shared" si="0"/>
        <v>1</v>
      </c>
      <c r="AW7" s="28">
        <f>4/9</f>
        <v>0.44444444444444442</v>
      </c>
      <c r="AX7" s="28">
        <f>4/9</f>
        <v>0.44444444444444442</v>
      </c>
      <c r="AY7" s="28">
        <f>2/9</f>
        <v>0.22222222222222221</v>
      </c>
      <c r="AZ7" s="28">
        <f>2/9</f>
        <v>0.22222222222222221</v>
      </c>
      <c r="BA7" s="29">
        <f>1/9</f>
        <v>0.1111111111111111</v>
      </c>
      <c r="BB7" s="15"/>
      <c r="BC7" s="15"/>
      <c r="BD7" s="15"/>
      <c r="BE7" s="15"/>
      <c r="BF7" s="15"/>
      <c r="BG7" s="15"/>
      <c r="BH7" s="15"/>
      <c r="BI7" s="15"/>
      <c r="BJ7" s="16">
        <v>0</v>
      </c>
      <c r="BK7" s="17" t="s">
        <v>276</v>
      </c>
      <c r="BL7" s="18">
        <v>0</v>
      </c>
      <c r="BM7" s="17"/>
      <c r="BN7" s="11"/>
      <c r="BO7" s="11"/>
      <c r="BP7" s="30">
        <v>0.44</v>
      </c>
      <c r="BQ7" s="30">
        <v>0.44</v>
      </c>
      <c r="BR7" s="30">
        <v>0.22</v>
      </c>
      <c r="BS7" s="30">
        <v>0.22</v>
      </c>
      <c r="BT7" s="11"/>
    </row>
    <row r="8" spans="1:72" ht="20" customHeight="1" x14ac:dyDescent="0.2">
      <c r="A8" s="11">
        <v>6</v>
      </c>
      <c r="B8" s="17" t="s">
        <v>58</v>
      </c>
      <c r="C8" s="11">
        <v>2012</v>
      </c>
      <c r="D8" s="11" t="s">
        <v>46</v>
      </c>
      <c r="E8" s="11" t="s">
        <v>23</v>
      </c>
      <c r="F8" s="15" t="s">
        <v>60</v>
      </c>
      <c r="G8" s="15" t="s">
        <v>526</v>
      </c>
      <c r="H8" s="54">
        <v>1</v>
      </c>
      <c r="I8" s="51">
        <v>1</v>
      </c>
      <c r="J8" s="51">
        <v>68</v>
      </c>
      <c r="K8" s="51" t="s">
        <v>480</v>
      </c>
      <c r="L8" s="51" t="s">
        <v>105</v>
      </c>
      <c r="M8" s="51">
        <v>2012</v>
      </c>
      <c r="N8" s="51" t="s">
        <v>46</v>
      </c>
      <c r="O8" s="51" t="s">
        <v>479</v>
      </c>
      <c r="P8" s="11">
        <v>1</v>
      </c>
      <c r="Q8" s="11">
        <v>35</v>
      </c>
      <c r="R8" s="17">
        <v>1</v>
      </c>
      <c r="S8" s="11">
        <v>68</v>
      </c>
      <c r="T8" s="11">
        <v>0.8</v>
      </c>
      <c r="U8" s="11">
        <v>0.2</v>
      </c>
      <c r="V8" s="11">
        <f>17/35</f>
        <v>0.48571428571428571</v>
      </c>
      <c r="W8" s="11">
        <f>10/35</f>
        <v>0.2857142857142857</v>
      </c>
      <c r="X8" s="11">
        <f>17/35</f>
        <v>0.48571428571428571</v>
      </c>
      <c r="Y8" s="11">
        <v>0.27300000000000002</v>
      </c>
      <c r="Z8" s="11">
        <v>0.27300000000000002</v>
      </c>
      <c r="AA8" s="11">
        <v>0.45500000000000002</v>
      </c>
      <c r="AB8" s="11">
        <v>1</v>
      </c>
      <c r="AC8" s="11">
        <v>1</v>
      </c>
      <c r="AD8" s="11" t="s">
        <v>59</v>
      </c>
      <c r="AE8" s="11">
        <v>0</v>
      </c>
      <c r="AF8" s="11"/>
      <c r="AG8" s="11" t="s">
        <v>105</v>
      </c>
      <c r="AH8" s="11" t="s">
        <v>61</v>
      </c>
      <c r="AI8" s="11"/>
      <c r="AJ8" s="11" t="s">
        <v>69</v>
      </c>
      <c r="AK8" s="11" t="s">
        <v>65</v>
      </c>
      <c r="AL8" s="11" t="s">
        <v>285</v>
      </c>
      <c r="AM8" s="11" t="s">
        <v>318</v>
      </c>
      <c r="AN8" s="11" t="s">
        <v>54</v>
      </c>
      <c r="AO8" s="11" t="s">
        <v>70</v>
      </c>
      <c r="AP8" s="11"/>
      <c r="AQ8" s="13" t="s">
        <v>66</v>
      </c>
      <c r="AR8" s="31">
        <f>17/35</f>
        <v>0.48571428571428571</v>
      </c>
      <c r="AS8" s="13">
        <v>3</v>
      </c>
      <c r="AT8" s="23" t="s">
        <v>71</v>
      </c>
      <c r="AU8" s="11"/>
      <c r="AV8" s="11">
        <f t="shared" si="0"/>
        <v>1</v>
      </c>
      <c r="AW8" s="11"/>
      <c r="AX8" s="11"/>
      <c r="AY8" s="11"/>
      <c r="AZ8" s="11"/>
      <c r="BA8" s="11"/>
      <c r="BB8" s="15"/>
      <c r="BC8" s="15"/>
      <c r="BD8" s="15"/>
      <c r="BE8" s="15"/>
      <c r="BF8" s="15"/>
      <c r="BG8" s="15"/>
      <c r="BH8" s="15"/>
      <c r="BI8" s="15"/>
      <c r="BJ8" s="16">
        <f>3/35</f>
        <v>8.5714285714285715E-2</v>
      </c>
      <c r="BK8" s="17" t="s">
        <v>277</v>
      </c>
      <c r="BL8" s="18">
        <v>1</v>
      </c>
      <c r="BM8" s="17" t="s">
        <v>279</v>
      </c>
      <c r="BN8" s="11"/>
      <c r="BO8" s="11"/>
      <c r="BP8" s="11"/>
      <c r="BQ8" s="11"/>
      <c r="BR8" s="11"/>
      <c r="BS8" s="11"/>
      <c r="BT8" s="11"/>
    </row>
    <row r="9" spans="1:72" ht="20" customHeight="1" x14ac:dyDescent="0.2">
      <c r="A9" s="11">
        <v>7</v>
      </c>
      <c r="B9" s="11"/>
      <c r="C9" s="11"/>
      <c r="D9" s="11"/>
      <c r="E9" s="11"/>
      <c r="F9" s="11"/>
      <c r="G9" s="49"/>
      <c r="H9" s="54">
        <v>0</v>
      </c>
      <c r="I9" s="52"/>
      <c r="J9" s="52"/>
      <c r="K9" s="52"/>
      <c r="L9" s="52"/>
      <c r="M9" s="52"/>
      <c r="N9" s="52"/>
      <c r="O9" s="52"/>
      <c r="P9" s="11"/>
      <c r="Q9" s="11"/>
      <c r="R9" s="17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 t="s">
        <v>287</v>
      </c>
      <c r="AO9" s="11"/>
      <c r="AP9" s="11"/>
      <c r="AQ9" s="13" t="s">
        <v>67</v>
      </c>
      <c r="AR9" s="22">
        <f>4/8</f>
        <v>0.5</v>
      </c>
      <c r="AS9" s="13"/>
      <c r="AT9" s="23"/>
      <c r="AU9" s="11"/>
      <c r="AV9" s="11">
        <f t="shared" si="0"/>
        <v>1</v>
      </c>
      <c r="AW9" s="11"/>
      <c r="AX9" s="11"/>
      <c r="AY9" s="11"/>
      <c r="AZ9" s="11"/>
      <c r="BA9" s="11"/>
      <c r="BB9" s="15"/>
      <c r="BC9" s="15"/>
      <c r="BD9" s="15"/>
      <c r="BE9" s="15"/>
      <c r="BF9" s="15"/>
      <c r="BG9" s="15"/>
      <c r="BH9" s="15"/>
      <c r="BI9" s="15"/>
      <c r="BJ9" s="16"/>
      <c r="BK9" s="17"/>
      <c r="BL9" s="18"/>
      <c r="BM9" s="17"/>
      <c r="BN9" s="11"/>
      <c r="BO9" s="11"/>
      <c r="BP9" s="11"/>
      <c r="BQ9" s="11"/>
      <c r="BR9" s="11"/>
      <c r="BS9" s="11"/>
      <c r="BT9" s="11"/>
    </row>
    <row r="10" spans="1:72" ht="20" customHeight="1" x14ac:dyDescent="0.2">
      <c r="A10" s="11">
        <v>8</v>
      </c>
      <c r="B10" s="11"/>
      <c r="C10" s="11"/>
      <c r="D10" s="11"/>
      <c r="E10" s="11"/>
      <c r="F10" s="11"/>
      <c r="G10" s="49"/>
      <c r="H10" s="54">
        <v>0</v>
      </c>
      <c r="I10" s="52"/>
      <c r="J10" s="52"/>
      <c r="K10" s="52"/>
      <c r="L10" s="52"/>
      <c r="M10" s="52"/>
      <c r="N10" s="52"/>
      <c r="O10" s="52"/>
      <c r="P10" s="11"/>
      <c r="Q10" s="11"/>
      <c r="R10" s="17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3" t="s">
        <v>68</v>
      </c>
      <c r="AR10" s="31">
        <v>0.53900000000000003</v>
      </c>
      <c r="AS10" s="13"/>
      <c r="AT10" s="23"/>
      <c r="AU10" s="11"/>
      <c r="AV10" s="11">
        <f t="shared" si="0"/>
        <v>1</v>
      </c>
      <c r="AW10" s="11"/>
      <c r="AX10" s="11"/>
      <c r="AY10" s="11"/>
      <c r="AZ10" s="11"/>
      <c r="BA10" s="11"/>
      <c r="BB10" s="15"/>
      <c r="BC10" s="15"/>
      <c r="BD10" s="15"/>
      <c r="BE10" s="15"/>
      <c r="BF10" s="15"/>
      <c r="BG10" s="15"/>
      <c r="BH10" s="15"/>
      <c r="BI10" s="15"/>
      <c r="BJ10" s="16"/>
      <c r="BK10" s="17"/>
      <c r="BL10" s="18"/>
      <c r="BM10" s="17"/>
      <c r="BN10" s="11"/>
      <c r="BO10" s="11"/>
      <c r="BP10" s="11"/>
      <c r="BQ10" s="11"/>
      <c r="BR10" s="11"/>
      <c r="BS10" s="11"/>
      <c r="BT10" s="11"/>
    </row>
    <row r="11" spans="1:72" ht="20" customHeight="1" x14ac:dyDescent="0.2">
      <c r="A11" s="11">
        <v>9</v>
      </c>
      <c r="B11" s="11" t="s">
        <v>72</v>
      </c>
      <c r="C11" s="11">
        <v>2002</v>
      </c>
      <c r="D11" s="11" t="s">
        <v>46</v>
      </c>
      <c r="E11" s="11" t="s">
        <v>23</v>
      </c>
      <c r="F11" s="15" t="s">
        <v>34</v>
      </c>
      <c r="G11" s="15" t="s">
        <v>528</v>
      </c>
      <c r="H11" s="54">
        <v>1</v>
      </c>
      <c r="I11" s="51">
        <v>0</v>
      </c>
      <c r="J11" s="51">
        <v>74</v>
      </c>
      <c r="K11" s="51" t="s">
        <v>480</v>
      </c>
      <c r="L11" s="51" t="s">
        <v>105</v>
      </c>
      <c r="M11" s="51">
        <v>2002</v>
      </c>
      <c r="N11" s="51" t="s">
        <v>46</v>
      </c>
      <c r="O11" s="51" t="s">
        <v>479</v>
      </c>
      <c r="P11" s="11">
        <v>0</v>
      </c>
      <c r="Q11" s="11">
        <v>18</v>
      </c>
      <c r="R11" s="17">
        <v>1</v>
      </c>
      <c r="S11" s="11">
        <v>74</v>
      </c>
      <c r="T11" s="11">
        <f>14/18</f>
        <v>0.77777777777777779</v>
      </c>
      <c r="U11" s="11">
        <f>4/18</f>
        <v>0.22222222222222221</v>
      </c>
      <c r="V11" s="11">
        <v>0</v>
      </c>
      <c r="W11" s="11">
        <f>6/18</f>
        <v>0.33333333333333331</v>
      </c>
      <c r="X11" s="11">
        <f>14/18</f>
        <v>0.77777777777777779</v>
      </c>
      <c r="Y11" s="11">
        <v>0</v>
      </c>
      <c r="Z11" s="11">
        <v>1</v>
      </c>
      <c r="AA11" s="11">
        <v>0</v>
      </c>
      <c r="AB11" s="11">
        <f>5/18</f>
        <v>0.27777777777777779</v>
      </c>
      <c r="AC11" s="11">
        <v>1</v>
      </c>
      <c r="AD11" s="11">
        <f>10/18</f>
        <v>0.55555555555555558</v>
      </c>
      <c r="AE11" s="11">
        <v>0</v>
      </c>
      <c r="AF11" s="11"/>
      <c r="AG11" s="11" t="s">
        <v>105</v>
      </c>
      <c r="AH11" s="11" t="s">
        <v>73</v>
      </c>
      <c r="AI11" s="11"/>
      <c r="AJ11" s="11" t="s">
        <v>69</v>
      </c>
      <c r="AK11" s="15" t="s">
        <v>289</v>
      </c>
      <c r="AL11" s="11" t="s">
        <v>290</v>
      </c>
      <c r="AM11" s="11" t="s">
        <v>318</v>
      </c>
      <c r="AN11" s="11" t="s">
        <v>54</v>
      </c>
      <c r="AO11" s="11"/>
      <c r="AP11" s="11" t="s">
        <v>267</v>
      </c>
      <c r="AQ11" s="13" t="s">
        <v>294</v>
      </c>
      <c r="AR11" s="31">
        <v>0.38800000000000001</v>
      </c>
      <c r="AS11" s="32">
        <v>2</v>
      </c>
      <c r="AT11" s="23"/>
      <c r="AU11" s="11">
        <f>1/18</f>
        <v>5.5555555555555552E-2</v>
      </c>
      <c r="AV11" s="11">
        <f t="shared" si="0"/>
        <v>0.94444444444444442</v>
      </c>
      <c r="AW11" s="11"/>
      <c r="AX11" s="11"/>
      <c r="AY11" s="11"/>
      <c r="AZ11" s="11"/>
      <c r="BA11" s="11"/>
      <c r="BB11" s="15"/>
      <c r="BC11" s="15"/>
      <c r="BD11" s="15"/>
      <c r="BE11" s="15"/>
      <c r="BF11" s="15"/>
      <c r="BG11" s="15"/>
      <c r="BH11" s="15"/>
      <c r="BI11" s="15"/>
      <c r="BJ11" s="16">
        <f>2/18</f>
        <v>0.1111111111111111</v>
      </c>
      <c r="BK11" s="17" t="s">
        <v>291</v>
      </c>
      <c r="BL11" s="18">
        <v>0</v>
      </c>
      <c r="BM11" s="17" t="s">
        <v>292</v>
      </c>
      <c r="BN11" s="11"/>
      <c r="BO11" s="11"/>
      <c r="BP11" s="11"/>
      <c r="BQ11" s="11"/>
      <c r="BR11" s="11"/>
      <c r="BS11" s="11"/>
      <c r="BT11" s="11"/>
    </row>
    <row r="12" spans="1:72" ht="20" customHeight="1" x14ac:dyDescent="0.2">
      <c r="A12" s="11">
        <v>10</v>
      </c>
      <c r="B12" s="11" t="s">
        <v>72</v>
      </c>
      <c r="C12" s="11">
        <v>2006</v>
      </c>
      <c r="D12" s="11" t="s">
        <v>4</v>
      </c>
      <c r="E12" s="11" t="s">
        <v>23</v>
      </c>
      <c r="F12" s="15" t="s">
        <v>34</v>
      </c>
      <c r="G12" s="15" t="s">
        <v>519</v>
      </c>
      <c r="H12" s="54">
        <v>1</v>
      </c>
      <c r="I12" s="51">
        <v>0</v>
      </c>
      <c r="J12" s="51">
        <v>70</v>
      </c>
      <c r="K12" s="51" t="s">
        <v>480</v>
      </c>
      <c r="L12" s="51" t="s">
        <v>105</v>
      </c>
      <c r="M12" s="51">
        <v>2006</v>
      </c>
      <c r="N12" s="51" t="s">
        <v>92</v>
      </c>
      <c r="O12" s="51" t="s">
        <v>479</v>
      </c>
      <c r="P12" s="11">
        <v>0</v>
      </c>
      <c r="Q12" s="11">
        <v>30</v>
      </c>
      <c r="R12" s="17">
        <f>30/31</f>
        <v>0.967741935483871</v>
      </c>
      <c r="S12" s="11">
        <v>70</v>
      </c>
      <c r="T12" s="11">
        <f>22/30</f>
        <v>0.73333333333333328</v>
      </c>
      <c r="U12" s="11">
        <f>8/30</f>
        <v>0.26666666666666666</v>
      </c>
      <c r="V12" s="15">
        <f>4/30</f>
        <v>0.13333333333333333</v>
      </c>
      <c r="W12" s="15">
        <f>3/30</f>
        <v>0.1</v>
      </c>
      <c r="X12" s="15">
        <f>23/30</f>
        <v>0.76666666666666672</v>
      </c>
      <c r="Y12" s="11">
        <v>0</v>
      </c>
      <c r="Z12" s="11">
        <v>0</v>
      </c>
      <c r="AA12" s="11">
        <v>1</v>
      </c>
      <c r="AB12" s="11">
        <f>1/30</f>
        <v>3.3333333333333333E-2</v>
      </c>
      <c r="AC12" s="11">
        <v>0.9</v>
      </c>
      <c r="AD12" s="11">
        <f>20/30</f>
        <v>0.66666666666666663</v>
      </c>
      <c r="AE12" s="11">
        <f>0.1</f>
        <v>0.1</v>
      </c>
      <c r="AF12" s="11"/>
      <c r="AG12" s="11" t="s">
        <v>105</v>
      </c>
      <c r="AH12" s="11" t="s">
        <v>293</v>
      </c>
      <c r="AI12" s="11"/>
      <c r="AJ12" s="11" t="s">
        <v>69</v>
      </c>
      <c r="AK12" s="15" t="s">
        <v>289</v>
      </c>
      <c r="AL12" s="11" t="s">
        <v>290</v>
      </c>
      <c r="AM12" s="11" t="s">
        <v>318</v>
      </c>
      <c r="AN12" s="11" t="s">
        <v>54</v>
      </c>
      <c r="AO12" s="11" t="s">
        <v>75</v>
      </c>
      <c r="AP12" s="11" t="s">
        <v>296</v>
      </c>
      <c r="AQ12" s="13" t="s">
        <v>295</v>
      </c>
      <c r="AR12" s="22">
        <v>0.5</v>
      </c>
      <c r="AS12" s="13">
        <v>2</v>
      </c>
      <c r="AT12" s="23" t="s">
        <v>82</v>
      </c>
      <c r="AU12" s="11">
        <f>2/30</f>
        <v>6.6666666666666666E-2</v>
      </c>
      <c r="AV12" s="11">
        <f t="shared" si="0"/>
        <v>0.93333333333333335</v>
      </c>
      <c r="AW12" s="11"/>
      <c r="AX12" s="11"/>
      <c r="AY12" s="33" t="s">
        <v>74</v>
      </c>
      <c r="AZ12" s="11"/>
      <c r="BA12" s="11"/>
      <c r="BB12" s="24">
        <v>0.57399999999999995</v>
      </c>
      <c r="BC12" s="24">
        <v>0.29299999999999998</v>
      </c>
      <c r="BD12" s="24">
        <v>0.221</v>
      </c>
      <c r="BE12" s="24">
        <v>0.15</v>
      </c>
      <c r="BF12" s="24">
        <v>0.15</v>
      </c>
      <c r="BG12" s="24"/>
      <c r="BH12" s="24"/>
      <c r="BI12" s="24"/>
      <c r="BJ12" s="16">
        <f>6/30</f>
        <v>0.2</v>
      </c>
      <c r="BK12" s="16" t="s">
        <v>277</v>
      </c>
      <c r="BL12" s="18"/>
      <c r="BM12" s="16" t="s">
        <v>297</v>
      </c>
      <c r="BN12" s="11"/>
      <c r="BO12" s="11"/>
      <c r="BP12" s="11"/>
      <c r="BQ12" s="11"/>
      <c r="BR12" s="30">
        <v>0.1</v>
      </c>
      <c r="BS12" s="11"/>
      <c r="BT12" s="11"/>
    </row>
    <row r="13" spans="1:72" ht="20" customHeight="1" x14ac:dyDescent="0.2">
      <c r="A13" s="11">
        <v>11</v>
      </c>
      <c r="B13" s="11" t="s">
        <v>76</v>
      </c>
      <c r="C13" s="11">
        <v>2010</v>
      </c>
      <c r="D13" s="11" t="s">
        <v>4</v>
      </c>
      <c r="E13" s="11" t="s">
        <v>308</v>
      </c>
      <c r="F13" s="15" t="s">
        <v>34</v>
      </c>
      <c r="G13" s="15" t="s">
        <v>521</v>
      </c>
      <c r="H13" s="54">
        <v>1</v>
      </c>
      <c r="I13" s="51">
        <v>0</v>
      </c>
      <c r="J13" s="51">
        <v>69.3</v>
      </c>
      <c r="K13" s="51" t="s">
        <v>481</v>
      </c>
      <c r="L13" s="51" t="s">
        <v>476</v>
      </c>
      <c r="M13" s="51">
        <v>2010</v>
      </c>
      <c r="N13" s="51" t="s">
        <v>92</v>
      </c>
      <c r="O13" s="51" t="s">
        <v>482</v>
      </c>
      <c r="P13" s="11">
        <v>0</v>
      </c>
      <c r="Q13" s="11">
        <v>40</v>
      </c>
      <c r="R13" s="17">
        <v>1</v>
      </c>
      <c r="S13" s="11" t="s">
        <v>89</v>
      </c>
      <c r="T13" s="11">
        <f>27/40</f>
        <v>0.67500000000000004</v>
      </c>
      <c r="U13" s="11">
        <f>13/40</f>
        <v>0.32500000000000001</v>
      </c>
      <c r="V13" s="11">
        <f>10/40</f>
        <v>0.25</v>
      </c>
      <c r="W13" s="11">
        <f>30/40</f>
        <v>0.75</v>
      </c>
      <c r="X13" s="11">
        <f>12/40</f>
        <v>0.3</v>
      </c>
      <c r="Y13" s="11">
        <f>11/40</f>
        <v>0.27500000000000002</v>
      </c>
      <c r="Z13" s="11">
        <v>0</v>
      </c>
      <c r="AA13" s="11">
        <f>29/40</f>
        <v>0.72499999999999998</v>
      </c>
      <c r="AB13" s="11"/>
      <c r="AC13" s="11">
        <v>1</v>
      </c>
      <c r="AD13" s="11" t="s">
        <v>23</v>
      </c>
      <c r="AE13" s="11"/>
      <c r="AF13" s="11"/>
      <c r="AG13" s="11" t="s">
        <v>84</v>
      </c>
      <c r="AH13" s="11" t="s">
        <v>77</v>
      </c>
      <c r="AI13" s="11"/>
      <c r="AJ13" s="11" t="s">
        <v>312</v>
      </c>
      <c r="AK13" s="11" t="s">
        <v>65</v>
      </c>
      <c r="AL13" s="34" t="s">
        <v>313</v>
      </c>
      <c r="AM13" s="34" t="s">
        <v>318</v>
      </c>
      <c r="AN13" s="11" t="s">
        <v>314</v>
      </c>
      <c r="AO13" s="11" t="s">
        <v>80</v>
      </c>
      <c r="AP13" s="34" t="s">
        <v>296</v>
      </c>
      <c r="AQ13" s="13" t="s">
        <v>87</v>
      </c>
      <c r="AR13" s="22">
        <v>0.19</v>
      </c>
      <c r="AS13" s="13">
        <v>24</v>
      </c>
      <c r="AT13" s="23" t="s">
        <v>85</v>
      </c>
      <c r="AU13" s="11">
        <f>7/40</f>
        <v>0.17499999999999999</v>
      </c>
      <c r="AV13" s="11">
        <f t="shared" si="0"/>
        <v>0.82499999999999996</v>
      </c>
      <c r="AW13" s="11"/>
      <c r="AX13" s="11"/>
      <c r="AY13" s="11"/>
      <c r="AZ13" s="11"/>
      <c r="BA13" s="11"/>
      <c r="BB13" s="24">
        <v>0.96799999999999997</v>
      </c>
      <c r="BC13" s="24">
        <v>0.81299999999999994</v>
      </c>
      <c r="BD13" s="24">
        <v>0.52400000000000002</v>
      </c>
      <c r="BE13" s="24">
        <v>0.26600000000000001</v>
      </c>
      <c r="BF13" s="24">
        <v>0.192</v>
      </c>
      <c r="BG13" s="24"/>
      <c r="BH13" s="24"/>
      <c r="BI13" s="24"/>
      <c r="BJ13" s="16">
        <f>3/40</f>
        <v>7.4999999999999997E-2</v>
      </c>
      <c r="BK13" s="16" t="s">
        <v>277</v>
      </c>
      <c r="BL13" s="18"/>
      <c r="BM13" s="16"/>
      <c r="BN13" s="11"/>
      <c r="BO13" s="11"/>
      <c r="BP13" s="11"/>
      <c r="BQ13" s="11"/>
      <c r="BR13" s="11"/>
      <c r="BS13" s="11"/>
      <c r="BT13" s="11"/>
    </row>
    <row r="14" spans="1:72" ht="20" customHeight="1" x14ac:dyDescent="0.2">
      <c r="A14" s="11">
        <v>12</v>
      </c>
      <c r="B14" s="11" t="s">
        <v>76</v>
      </c>
      <c r="C14" s="11">
        <v>2010</v>
      </c>
      <c r="D14" s="11" t="s">
        <v>4</v>
      </c>
      <c r="E14" s="11" t="s">
        <v>308</v>
      </c>
      <c r="F14" s="15" t="s">
        <v>83</v>
      </c>
      <c r="G14" s="15" t="s">
        <v>520</v>
      </c>
      <c r="H14" s="54">
        <v>1</v>
      </c>
      <c r="I14" s="51">
        <v>1</v>
      </c>
      <c r="J14" s="51">
        <v>71.400000000000006</v>
      </c>
      <c r="K14" s="51" t="s">
        <v>481</v>
      </c>
      <c r="L14" s="51" t="s">
        <v>476</v>
      </c>
      <c r="M14" s="51">
        <v>2010</v>
      </c>
      <c r="N14" s="51" t="s">
        <v>92</v>
      </c>
      <c r="O14" s="51" t="s">
        <v>482</v>
      </c>
      <c r="P14" s="11">
        <v>1</v>
      </c>
      <c r="Q14" s="11">
        <v>40</v>
      </c>
      <c r="R14" s="17">
        <v>1</v>
      </c>
      <c r="S14" s="11" t="s">
        <v>90</v>
      </c>
      <c r="T14" s="11">
        <f>22/40</f>
        <v>0.55000000000000004</v>
      </c>
      <c r="U14" s="11">
        <f>18/40</f>
        <v>0.45</v>
      </c>
      <c r="V14" s="11">
        <f>8/40</f>
        <v>0.2</v>
      </c>
      <c r="W14" s="11">
        <f>32/40</f>
        <v>0.8</v>
      </c>
      <c r="X14" s="11">
        <f>13/40</f>
        <v>0.32500000000000001</v>
      </c>
      <c r="Y14" s="11">
        <f>13/40</f>
        <v>0.32500000000000001</v>
      </c>
      <c r="Z14" s="11">
        <v>0</v>
      </c>
      <c r="AA14" s="11">
        <f>27/40</f>
        <v>0.67500000000000004</v>
      </c>
      <c r="AB14" s="11"/>
      <c r="AC14" s="11">
        <v>1</v>
      </c>
      <c r="AD14" s="11" t="s">
        <v>23</v>
      </c>
      <c r="AE14" s="11"/>
      <c r="AF14" s="11"/>
      <c r="AG14" s="11" t="s">
        <v>84</v>
      </c>
      <c r="AH14" s="11" t="s">
        <v>112</v>
      </c>
      <c r="AI14" s="11"/>
      <c r="AJ14" s="11" t="s">
        <v>78</v>
      </c>
      <c r="AK14" s="11" t="s">
        <v>65</v>
      </c>
      <c r="AL14" s="34" t="s">
        <v>313</v>
      </c>
      <c r="AM14" s="34" t="s">
        <v>318</v>
      </c>
      <c r="AN14" s="11" t="s">
        <v>314</v>
      </c>
      <c r="AO14" s="11" t="s">
        <v>81</v>
      </c>
      <c r="AP14" s="11" t="s">
        <v>296</v>
      </c>
      <c r="AQ14" s="13" t="s">
        <v>88</v>
      </c>
      <c r="AR14" s="22">
        <v>0.03</v>
      </c>
      <c r="AS14" s="13">
        <v>24</v>
      </c>
      <c r="AT14" s="23" t="s">
        <v>86</v>
      </c>
      <c r="AU14" s="11">
        <f>13/40</f>
        <v>0.32500000000000001</v>
      </c>
      <c r="AV14" s="11">
        <f t="shared" si="0"/>
        <v>0.67500000000000004</v>
      </c>
      <c r="AW14" s="11"/>
      <c r="AX14" s="11"/>
      <c r="AY14" s="11"/>
      <c r="AZ14" s="11"/>
      <c r="BA14" s="11"/>
      <c r="BB14" s="24">
        <v>0.82799999999999996</v>
      </c>
      <c r="BC14" s="24">
        <v>0.52700000000000002</v>
      </c>
      <c r="BD14" s="24">
        <v>0.22500000000000001</v>
      </c>
      <c r="BE14" s="24">
        <v>7.1499999999999994E-2</v>
      </c>
      <c r="BF14" s="24">
        <v>2.1299999999999999E-2</v>
      </c>
      <c r="BG14" s="24"/>
      <c r="BH14" s="24"/>
      <c r="BI14" s="24"/>
      <c r="BJ14" s="16">
        <f>3/40</f>
        <v>7.4999999999999997E-2</v>
      </c>
      <c r="BK14" s="16" t="s">
        <v>277</v>
      </c>
      <c r="BL14" s="18"/>
      <c r="BM14" s="16"/>
      <c r="BN14" s="11"/>
      <c r="BO14" s="11"/>
      <c r="BP14" s="11"/>
      <c r="BQ14" s="11"/>
      <c r="BR14" s="11"/>
      <c r="BS14" s="11"/>
      <c r="BT14" s="11"/>
    </row>
    <row r="15" spans="1:72" ht="20" customHeight="1" x14ac:dyDescent="0.2">
      <c r="A15" s="11">
        <v>13</v>
      </c>
      <c r="B15" s="19" t="s">
        <v>93</v>
      </c>
      <c r="C15" s="11">
        <v>2013</v>
      </c>
      <c r="D15" s="11" t="s">
        <v>92</v>
      </c>
      <c r="E15" s="11"/>
      <c r="F15" s="15" t="s">
        <v>95</v>
      </c>
      <c r="G15" s="15" t="s">
        <v>494</v>
      </c>
      <c r="H15" s="54">
        <v>1</v>
      </c>
      <c r="I15" s="51">
        <v>0</v>
      </c>
      <c r="J15" s="51">
        <v>70</v>
      </c>
      <c r="K15" s="51" t="s">
        <v>480</v>
      </c>
      <c r="L15" s="51" t="s">
        <v>48</v>
      </c>
      <c r="M15" s="51">
        <v>2013</v>
      </c>
      <c r="N15" s="51" t="s">
        <v>92</v>
      </c>
      <c r="O15" s="51" t="s">
        <v>479</v>
      </c>
      <c r="P15" s="11">
        <v>0</v>
      </c>
      <c r="Q15" s="11">
        <v>78</v>
      </c>
      <c r="R15" s="17">
        <f>78/80</f>
        <v>0.97499999999999998</v>
      </c>
      <c r="S15" s="11" t="s">
        <v>98</v>
      </c>
      <c r="T15" s="11">
        <f>67/78</f>
        <v>0.85897435897435892</v>
      </c>
      <c r="U15" s="11">
        <f>11/78</f>
        <v>0.14102564102564102</v>
      </c>
      <c r="V15" s="11">
        <f>13/78</f>
        <v>0.16666666666666666</v>
      </c>
      <c r="W15" s="11">
        <f>7/78</f>
        <v>8.9743589743589744E-2</v>
      </c>
      <c r="X15" s="11">
        <v>1</v>
      </c>
      <c r="Y15" s="11">
        <v>0</v>
      </c>
      <c r="Z15" s="11">
        <v>0</v>
      </c>
      <c r="AA15" s="11">
        <v>1</v>
      </c>
      <c r="AB15" s="11"/>
      <c r="AC15" s="11">
        <f>77/80</f>
        <v>0.96250000000000002</v>
      </c>
      <c r="AD15" s="11">
        <v>0.39</v>
      </c>
      <c r="AE15" s="11">
        <f>3/80</f>
        <v>3.7499999999999999E-2</v>
      </c>
      <c r="AF15" s="11"/>
      <c r="AG15" s="11" t="s">
        <v>94</v>
      </c>
      <c r="AH15" s="11" t="s">
        <v>96</v>
      </c>
      <c r="AI15" s="11"/>
      <c r="AJ15" s="11" t="s">
        <v>69</v>
      </c>
      <c r="AK15" s="11" t="s">
        <v>65</v>
      </c>
      <c r="AL15" s="11" t="s">
        <v>315</v>
      </c>
      <c r="AM15" s="11" t="s">
        <v>256</v>
      </c>
      <c r="AN15" s="11" t="s">
        <v>319</v>
      </c>
      <c r="AO15" s="11" t="s">
        <v>23</v>
      </c>
      <c r="AP15" s="11" t="s">
        <v>296</v>
      </c>
      <c r="AQ15" s="32" t="s">
        <v>321</v>
      </c>
      <c r="AR15" s="13"/>
      <c r="AS15" s="13"/>
      <c r="AT15" s="23"/>
      <c r="AU15" s="11"/>
      <c r="AV15" s="11">
        <f t="shared" si="0"/>
        <v>1</v>
      </c>
      <c r="AW15" s="15">
        <f>28/78</f>
        <v>0.35897435897435898</v>
      </c>
      <c r="AX15" s="15">
        <f>14/78</f>
        <v>0.17948717948717949</v>
      </c>
      <c r="AY15" s="11">
        <v>0.1</v>
      </c>
      <c r="AZ15" s="30"/>
      <c r="BA15" s="11">
        <f>4/100</f>
        <v>0.04</v>
      </c>
      <c r="BB15" s="24">
        <v>0.60299999999999998</v>
      </c>
      <c r="BC15" s="24">
        <v>0.26600000000000001</v>
      </c>
      <c r="BD15" s="24">
        <v>9.8599999999999993E-2</v>
      </c>
      <c r="BE15" s="24">
        <v>7.2599999999999998E-2</v>
      </c>
      <c r="BF15" s="24">
        <v>4.5199999999999997E-2</v>
      </c>
      <c r="BG15" s="24"/>
      <c r="BH15" s="24"/>
      <c r="BI15" s="24"/>
      <c r="BJ15" s="16">
        <f>12/80</f>
        <v>0.15</v>
      </c>
      <c r="BK15" s="16" t="s">
        <v>323</v>
      </c>
      <c r="BL15" s="18"/>
      <c r="BM15" s="16" t="s">
        <v>324</v>
      </c>
      <c r="BN15" s="11"/>
      <c r="BO15" s="11"/>
      <c r="BP15" s="11">
        <f>28/80</f>
        <v>0.35</v>
      </c>
      <c r="BQ15" s="11">
        <f>14/80</f>
        <v>0.17499999999999999</v>
      </c>
      <c r="BR15" s="11">
        <v>0.1</v>
      </c>
      <c r="BS15" s="30"/>
      <c r="BT15" s="11">
        <f>4/100</f>
        <v>0.04</v>
      </c>
    </row>
    <row r="16" spans="1:72" ht="20" customHeight="1" x14ac:dyDescent="0.2">
      <c r="A16" s="11">
        <v>14</v>
      </c>
      <c r="B16" s="46" t="s">
        <v>288</v>
      </c>
      <c r="C16" s="11">
        <v>2013</v>
      </c>
      <c r="D16" s="11" t="s">
        <v>40</v>
      </c>
      <c r="E16" s="11" t="s">
        <v>320</v>
      </c>
      <c r="F16" s="15" t="s">
        <v>95</v>
      </c>
      <c r="G16" s="56" t="s">
        <v>495</v>
      </c>
      <c r="H16" s="54">
        <v>1</v>
      </c>
      <c r="I16" s="51">
        <v>0</v>
      </c>
      <c r="J16" s="51">
        <v>68.400000000000006</v>
      </c>
      <c r="K16" s="51" t="s">
        <v>480</v>
      </c>
      <c r="L16" s="51" t="s">
        <v>48</v>
      </c>
      <c r="M16" s="51">
        <v>2013</v>
      </c>
      <c r="N16" s="51" t="s">
        <v>92</v>
      </c>
      <c r="O16" s="51" t="s">
        <v>479</v>
      </c>
      <c r="P16" s="11">
        <v>0</v>
      </c>
      <c r="Q16" s="11">
        <v>90</v>
      </c>
      <c r="R16" s="17">
        <f>87/90</f>
        <v>0.96666666666666667</v>
      </c>
      <c r="S16" s="11" t="s">
        <v>99</v>
      </c>
      <c r="T16" s="11">
        <f>79/90</f>
        <v>0.87777777777777777</v>
      </c>
      <c r="U16" s="11">
        <f>12/90</f>
        <v>0.13333333333333333</v>
      </c>
      <c r="V16" s="11">
        <f>12/90</f>
        <v>0.13333333333333333</v>
      </c>
      <c r="W16" s="11">
        <f>5/90</f>
        <v>5.5555555555555552E-2</v>
      </c>
      <c r="X16" s="11">
        <f>1</f>
        <v>1</v>
      </c>
      <c r="Y16" s="11">
        <v>0</v>
      </c>
      <c r="Z16" s="11">
        <v>0</v>
      </c>
      <c r="AA16" s="11">
        <v>1</v>
      </c>
      <c r="AB16" s="11"/>
      <c r="AC16" s="11">
        <f>1</f>
        <v>1</v>
      </c>
      <c r="AD16" s="11">
        <v>0.7</v>
      </c>
      <c r="AE16" s="11"/>
      <c r="AF16" s="11"/>
      <c r="AG16" s="11" t="s">
        <v>94</v>
      </c>
      <c r="AH16" s="11" t="s">
        <v>97</v>
      </c>
      <c r="AI16" s="11"/>
      <c r="AJ16" s="11" t="s">
        <v>69</v>
      </c>
      <c r="AK16" s="11" t="s">
        <v>65</v>
      </c>
      <c r="AL16" s="11" t="s">
        <v>315</v>
      </c>
      <c r="AM16" s="11" t="s">
        <v>256</v>
      </c>
      <c r="AN16" s="11" t="s">
        <v>319</v>
      </c>
      <c r="AO16" s="11" t="s">
        <v>101</v>
      </c>
      <c r="AP16" s="11" t="s">
        <v>296</v>
      </c>
      <c r="AQ16" s="32" t="s">
        <v>322</v>
      </c>
      <c r="AR16" s="13"/>
      <c r="AS16" s="13"/>
      <c r="AT16" s="23" t="s">
        <v>102</v>
      </c>
      <c r="AU16" s="11">
        <f>2/90</f>
        <v>2.2222222222222223E-2</v>
      </c>
      <c r="AV16" s="11">
        <f t="shared" si="0"/>
        <v>0.97777777777777775</v>
      </c>
      <c r="AW16" s="11"/>
      <c r="AX16" s="30">
        <f>16/90</f>
        <v>0.17777777777777778</v>
      </c>
      <c r="AY16" s="30">
        <v>0.13</v>
      </c>
      <c r="AZ16" s="11"/>
      <c r="BA16" s="11"/>
      <c r="BB16" s="15"/>
      <c r="BC16" s="15"/>
      <c r="BD16" s="15"/>
      <c r="BE16" s="15"/>
      <c r="BF16" s="15"/>
      <c r="BG16" s="15"/>
      <c r="BH16" s="15"/>
      <c r="BI16" s="15"/>
      <c r="BJ16" s="16">
        <v>0</v>
      </c>
      <c r="BK16" s="16" t="s">
        <v>323</v>
      </c>
      <c r="BL16" s="18">
        <v>3</v>
      </c>
      <c r="BM16" s="17"/>
      <c r="BN16" s="11"/>
      <c r="BO16" s="11"/>
      <c r="BP16" s="11"/>
      <c r="BQ16" s="30">
        <f>16/90</f>
        <v>0.17777777777777778</v>
      </c>
      <c r="BR16" s="30">
        <v>0.13</v>
      </c>
      <c r="BS16" s="11"/>
      <c r="BT16" s="11"/>
    </row>
    <row r="17" spans="1:72" ht="20" customHeight="1" x14ac:dyDescent="0.2">
      <c r="A17" s="11">
        <v>15</v>
      </c>
      <c r="B17" s="11" t="s">
        <v>103</v>
      </c>
      <c r="C17" s="11">
        <v>2013</v>
      </c>
      <c r="D17" s="11" t="s">
        <v>46</v>
      </c>
      <c r="E17" s="11" t="s">
        <v>23</v>
      </c>
      <c r="F17" s="15" t="s">
        <v>104</v>
      </c>
      <c r="G17" s="15" t="s">
        <v>509</v>
      </c>
      <c r="H17" s="54">
        <v>1</v>
      </c>
      <c r="I17" s="51">
        <v>1</v>
      </c>
      <c r="J17" s="51">
        <v>72</v>
      </c>
      <c r="K17" s="51" t="s">
        <v>466</v>
      </c>
      <c r="L17" s="51" t="s">
        <v>105</v>
      </c>
      <c r="M17" s="51">
        <v>2013</v>
      </c>
      <c r="N17" s="51" t="s">
        <v>46</v>
      </c>
      <c r="O17" s="51" t="s">
        <v>479</v>
      </c>
      <c r="P17" s="11">
        <v>1</v>
      </c>
      <c r="Q17" s="11">
        <v>17</v>
      </c>
      <c r="R17" s="17">
        <v>1</v>
      </c>
      <c r="S17" s="11">
        <v>72</v>
      </c>
      <c r="T17" s="11">
        <f>16/17</f>
        <v>0.94117647058823528</v>
      </c>
      <c r="U17" s="11">
        <f>1/17</f>
        <v>5.8823529411764705E-2</v>
      </c>
      <c r="V17" s="11">
        <f>10/17</f>
        <v>0.58823529411764708</v>
      </c>
      <c r="W17" s="11">
        <f>1/17</f>
        <v>5.8823529411764705E-2</v>
      </c>
      <c r="X17" s="11">
        <f>11/17</f>
        <v>0.6470588235294118</v>
      </c>
      <c r="Y17" s="11">
        <f>2/17</f>
        <v>0.11764705882352941</v>
      </c>
      <c r="Z17" s="11">
        <v>0</v>
      </c>
      <c r="AA17" s="11">
        <f>15/17</f>
        <v>0.88235294117647056</v>
      </c>
      <c r="AB17" s="11">
        <f>3/17</f>
        <v>0.17647058823529413</v>
      </c>
      <c r="AC17" s="11">
        <f>16/17</f>
        <v>0.94117647058823528</v>
      </c>
      <c r="AD17" s="11">
        <f>15/17</f>
        <v>0.88235294117647056</v>
      </c>
      <c r="AE17" s="11">
        <f>1/17</f>
        <v>5.8823529411764705E-2</v>
      </c>
      <c r="AF17" s="11">
        <v>1</v>
      </c>
      <c r="AG17" s="11" t="s">
        <v>105</v>
      </c>
      <c r="AH17" s="11" t="s">
        <v>168</v>
      </c>
      <c r="AI17" s="11"/>
      <c r="AJ17" s="11" t="s">
        <v>69</v>
      </c>
      <c r="AK17" s="11" t="s">
        <v>65</v>
      </c>
      <c r="AL17" s="11" t="s">
        <v>325</v>
      </c>
      <c r="AM17" s="11" t="s">
        <v>256</v>
      </c>
      <c r="AN17" s="11" t="s">
        <v>327</v>
      </c>
      <c r="AO17" s="11" t="s">
        <v>106</v>
      </c>
      <c r="AP17" s="11" t="s">
        <v>267</v>
      </c>
      <c r="AQ17" s="32" t="s">
        <v>328</v>
      </c>
      <c r="AR17" s="13"/>
      <c r="AS17" s="13"/>
      <c r="AT17" s="23" t="s">
        <v>107</v>
      </c>
      <c r="AU17" s="11">
        <f>2/17</f>
        <v>0.11764705882352941</v>
      </c>
      <c r="AV17" s="11">
        <f t="shared" si="0"/>
        <v>0.88235294117647056</v>
      </c>
      <c r="AW17" s="11">
        <f>7/17</f>
        <v>0.41176470588235292</v>
      </c>
      <c r="AX17" s="11">
        <v>0.4118</v>
      </c>
      <c r="AY17" s="11">
        <f>5/17</f>
        <v>0.29411764705882354</v>
      </c>
      <c r="AZ17" s="11">
        <f>AY17</f>
        <v>0.29411764705882354</v>
      </c>
      <c r="BA17" s="11">
        <f>4/17</f>
        <v>0.23529411764705882</v>
      </c>
      <c r="BB17" s="15"/>
      <c r="BC17" s="15"/>
      <c r="BD17" s="15"/>
      <c r="BE17" s="15"/>
      <c r="BF17" s="15"/>
      <c r="BG17" s="15"/>
      <c r="BH17" s="15"/>
      <c r="BI17" s="15"/>
      <c r="BJ17" s="16">
        <v>0</v>
      </c>
      <c r="BK17" s="16" t="s">
        <v>326</v>
      </c>
      <c r="BL17" s="18">
        <v>0</v>
      </c>
      <c r="BM17" s="17"/>
      <c r="BN17" s="11"/>
      <c r="BO17" s="11"/>
      <c r="BP17" s="11">
        <f>7/17</f>
        <v>0.41176470588235292</v>
      </c>
      <c r="BQ17" s="11">
        <v>0.4118</v>
      </c>
      <c r="BR17" s="11">
        <f>5/17</f>
        <v>0.29411764705882354</v>
      </c>
      <c r="BS17" s="11">
        <f>BR17</f>
        <v>0.29411764705882354</v>
      </c>
      <c r="BT17" s="11">
        <f>4/17</f>
        <v>0.23529411764705882</v>
      </c>
    </row>
    <row r="18" spans="1:72" ht="20" customHeight="1" x14ac:dyDescent="0.2">
      <c r="A18" s="11">
        <v>16</v>
      </c>
      <c r="B18" s="11" t="s">
        <v>108</v>
      </c>
      <c r="C18" s="11">
        <v>2006</v>
      </c>
      <c r="D18" s="35" t="s">
        <v>92</v>
      </c>
      <c r="E18" s="35" t="s">
        <v>23</v>
      </c>
      <c r="F18" s="15" t="s">
        <v>34</v>
      </c>
      <c r="G18" s="15" t="s">
        <v>501</v>
      </c>
      <c r="H18" s="54">
        <v>1</v>
      </c>
      <c r="I18" s="51">
        <v>0</v>
      </c>
      <c r="J18" s="51">
        <v>75</v>
      </c>
      <c r="K18" s="51" t="s">
        <v>477</v>
      </c>
      <c r="L18" s="51" t="s">
        <v>476</v>
      </c>
      <c r="M18" s="51">
        <v>2006</v>
      </c>
      <c r="N18" s="51" t="s">
        <v>92</v>
      </c>
      <c r="O18" s="51" t="s">
        <v>483</v>
      </c>
      <c r="P18" s="11">
        <v>0</v>
      </c>
      <c r="Q18" s="11">
        <v>9</v>
      </c>
      <c r="R18" s="17">
        <v>1</v>
      </c>
      <c r="S18" s="11">
        <v>75</v>
      </c>
      <c r="T18" s="11">
        <f>7/9</f>
        <v>0.77777777777777779</v>
      </c>
      <c r="U18" s="11">
        <f>2/9</f>
        <v>0.22222222222222221</v>
      </c>
      <c r="V18" s="11">
        <f>4/9</f>
        <v>0.44444444444444442</v>
      </c>
      <c r="W18" s="11">
        <f>5/9</f>
        <v>0.55555555555555558</v>
      </c>
      <c r="X18" s="11">
        <v>0</v>
      </c>
      <c r="Y18" s="11">
        <f>1/9</f>
        <v>0.1111111111111111</v>
      </c>
      <c r="Z18" s="11">
        <f>3/9</f>
        <v>0.33333333333333331</v>
      </c>
      <c r="AA18" s="11">
        <f>5/9</f>
        <v>0.55555555555555558</v>
      </c>
      <c r="AB18" s="11"/>
      <c r="AC18" s="11">
        <v>1</v>
      </c>
      <c r="AD18" s="11">
        <v>1</v>
      </c>
      <c r="AE18" s="11">
        <v>0</v>
      </c>
      <c r="AF18" s="11">
        <v>1</v>
      </c>
      <c r="AG18" s="11" t="s">
        <v>329</v>
      </c>
      <c r="AH18" s="11" t="s">
        <v>110</v>
      </c>
      <c r="AI18" s="11"/>
      <c r="AJ18" s="11" t="s">
        <v>111</v>
      </c>
      <c r="AK18" s="11" t="s">
        <v>65</v>
      </c>
      <c r="AL18" s="11" t="s">
        <v>330</v>
      </c>
      <c r="AM18" s="11" t="s">
        <v>318</v>
      </c>
      <c r="AN18" s="11" t="s">
        <v>54</v>
      </c>
      <c r="AO18" s="11" t="s">
        <v>109</v>
      </c>
      <c r="AP18" s="11" t="s">
        <v>296</v>
      </c>
      <c r="AQ18" s="13"/>
      <c r="AR18" s="13"/>
      <c r="AS18" s="13"/>
      <c r="AT18" s="23" t="s">
        <v>333</v>
      </c>
      <c r="AU18" s="11">
        <v>0.2</v>
      </c>
      <c r="AV18" s="11">
        <f t="shared" si="0"/>
        <v>0.8</v>
      </c>
      <c r="AW18" s="11">
        <v>1</v>
      </c>
      <c r="AX18" s="11">
        <f>6/9</f>
        <v>0.66666666666666663</v>
      </c>
      <c r="AY18" s="11">
        <f>4/9</f>
        <v>0.44444444444444442</v>
      </c>
      <c r="AZ18" s="11">
        <f>1/9</f>
        <v>0.1111111111111111</v>
      </c>
      <c r="BA18" s="11">
        <f>0</f>
        <v>0</v>
      </c>
      <c r="BB18" s="27">
        <v>1</v>
      </c>
      <c r="BC18" s="24">
        <v>0.66669999999999996</v>
      </c>
      <c r="BD18" s="24">
        <v>0.44400000000000001</v>
      </c>
      <c r="BE18" s="24">
        <v>0.33500000000000002</v>
      </c>
      <c r="BF18" s="15"/>
      <c r="BG18" s="15"/>
      <c r="BH18" s="15"/>
      <c r="BI18" s="15"/>
      <c r="BJ18" s="16">
        <v>0</v>
      </c>
      <c r="BK18" s="16" t="s">
        <v>331</v>
      </c>
      <c r="BL18" s="18"/>
      <c r="BM18" s="17"/>
      <c r="BN18" s="11"/>
      <c r="BO18" s="11"/>
      <c r="BP18" s="11">
        <v>1</v>
      </c>
      <c r="BQ18" s="11">
        <f>6/9</f>
        <v>0.66666666666666663</v>
      </c>
      <c r="BR18" s="11">
        <f>4/9</f>
        <v>0.44444444444444442</v>
      </c>
      <c r="BS18" s="11">
        <f>1/9</f>
        <v>0.1111111111111111</v>
      </c>
      <c r="BT18" s="11">
        <f>0</f>
        <v>0</v>
      </c>
    </row>
    <row r="19" spans="1:72" ht="20" customHeight="1" x14ac:dyDescent="0.2">
      <c r="A19" s="11">
        <v>17</v>
      </c>
      <c r="B19" s="11" t="s">
        <v>108</v>
      </c>
      <c r="C19" s="11">
        <v>2006</v>
      </c>
      <c r="D19" s="11" t="s">
        <v>92</v>
      </c>
      <c r="E19" s="35" t="s">
        <v>23</v>
      </c>
      <c r="F19" s="15" t="s">
        <v>83</v>
      </c>
      <c r="G19" s="15" t="s">
        <v>500</v>
      </c>
      <c r="H19" s="54">
        <v>1</v>
      </c>
      <c r="I19" s="51">
        <v>1</v>
      </c>
      <c r="J19" s="51">
        <v>75.5</v>
      </c>
      <c r="K19" s="51" t="s">
        <v>477</v>
      </c>
      <c r="L19" s="51" t="s">
        <v>476</v>
      </c>
      <c r="M19" s="51">
        <v>2006</v>
      </c>
      <c r="N19" s="51" t="s">
        <v>92</v>
      </c>
      <c r="O19" s="51" t="s">
        <v>483</v>
      </c>
      <c r="P19" s="11">
        <v>1</v>
      </c>
      <c r="Q19" s="11">
        <v>10</v>
      </c>
      <c r="R19" s="17">
        <v>1</v>
      </c>
      <c r="S19" s="11">
        <v>75.5</v>
      </c>
      <c r="T19" s="11">
        <f>0.8</f>
        <v>0.8</v>
      </c>
      <c r="U19" s="11">
        <v>0.2</v>
      </c>
      <c r="V19" s="11">
        <v>0.7</v>
      </c>
      <c r="W19" s="11">
        <v>0.3</v>
      </c>
      <c r="X19" s="11">
        <v>0</v>
      </c>
      <c r="Y19" s="11">
        <v>0.1</v>
      </c>
      <c r="Z19" s="11">
        <v>0.6</v>
      </c>
      <c r="AA19" s="11">
        <v>0.3</v>
      </c>
      <c r="AB19" s="11"/>
      <c r="AC19" s="11">
        <v>1</v>
      </c>
      <c r="AD19" s="11">
        <v>1</v>
      </c>
      <c r="AE19" s="11">
        <v>0</v>
      </c>
      <c r="AF19" s="11">
        <v>1</v>
      </c>
      <c r="AG19" s="11" t="s">
        <v>329</v>
      </c>
      <c r="AH19" s="11" t="s">
        <v>113</v>
      </c>
      <c r="AI19" s="11"/>
      <c r="AJ19" s="11" t="s">
        <v>114</v>
      </c>
      <c r="AK19" s="11" t="s">
        <v>65</v>
      </c>
      <c r="AL19" s="11" t="s">
        <v>330</v>
      </c>
      <c r="AM19" s="11" t="s">
        <v>318</v>
      </c>
      <c r="AN19" s="11" t="s">
        <v>54</v>
      </c>
      <c r="AO19" s="11" t="s">
        <v>115</v>
      </c>
      <c r="AP19" s="11" t="s">
        <v>296</v>
      </c>
      <c r="AQ19" s="13"/>
      <c r="AR19" s="13"/>
      <c r="AS19" s="13"/>
      <c r="AT19" s="23" t="s">
        <v>334</v>
      </c>
      <c r="AU19" s="11">
        <v>0.4</v>
      </c>
      <c r="AV19" s="11">
        <f t="shared" si="0"/>
        <v>0.6</v>
      </c>
      <c r="AW19" s="11">
        <f>8/10</f>
        <v>0.8</v>
      </c>
      <c r="AX19" s="11">
        <f>6/10</f>
        <v>0.6</v>
      </c>
      <c r="AY19" s="11">
        <v>0.1</v>
      </c>
      <c r="AZ19" s="11">
        <v>0.1</v>
      </c>
      <c r="BA19" s="11">
        <v>0.1</v>
      </c>
      <c r="BB19" s="27">
        <v>0.8</v>
      </c>
      <c r="BC19" s="27">
        <v>0.6</v>
      </c>
      <c r="BD19" s="27">
        <v>0.1</v>
      </c>
      <c r="BE19" s="27">
        <v>0.1</v>
      </c>
      <c r="BF19" s="27">
        <v>0.1</v>
      </c>
      <c r="BG19" s="27"/>
      <c r="BH19" s="27"/>
      <c r="BI19" s="27"/>
      <c r="BJ19" s="16">
        <v>0</v>
      </c>
      <c r="BK19" s="36" t="s">
        <v>332</v>
      </c>
      <c r="BL19" s="18"/>
      <c r="BM19" s="36"/>
      <c r="BN19" s="11"/>
      <c r="BO19" s="11"/>
      <c r="BP19" s="11"/>
      <c r="BQ19" s="11"/>
      <c r="BR19" s="11"/>
      <c r="BS19" s="11"/>
      <c r="BT19" s="11"/>
    </row>
    <row r="20" spans="1:72" ht="20" customHeight="1" x14ac:dyDescent="0.2">
      <c r="A20" s="11">
        <v>18</v>
      </c>
      <c r="B20" s="11" t="s">
        <v>116</v>
      </c>
      <c r="C20" s="11">
        <v>2007</v>
      </c>
      <c r="D20" s="11" t="s">
        <v>4</v>
      </c>
      <c r="E20" s="35" t="s">
        <v>23</v>
      </c>
      <c r="F20" s="15" t="s">
        <v>34</v>
      </c>
      <c r="G20" s="15" t="s">
        <v>502</v>
      </c>
      <c r="H20" s="54">
        <v>1</v>
      </c>
      <c r="I20" s="51">
        <v>0</v>
      </c>
      <c r="J20" s="51">
        <v>66</v>
      </c>
      <c r="K20" s="51" t="s">
        <v>477</v>
      </c>
      <c r="L20" s="51" t="s">
        <v>476</v>
      </c>
      <c r="M20" s="51">
        <v>2007</v>
      </c>
      <c r="N20" s="51" t="s">
        <v>92</v>
      </c>
      <c r="O20" s="51" t="s">
        <v>479</v>
      </c>
      <c r="P20" s="11">
        <v>0</v>
      </c>
      <c r="Q20" s="11">
        <v>40</v>
      </c>
      <c r="R20" s="17">
        <f>40/41</f>
        <v>0.97560975609756095</v>
      </c>
      <c r="S20" s="11">
        <v>66</v>
      </c>
      <c r="T20" s="11">
        <f>38/40</f>
        <v>0.95</v>
      </c>
      <c r="U20" s="11">
        <f>2/40</f>
        <v>0.05</v>
      </c>
      <c r="V20" s="11">
        <f>4/40</f>
        <v>0.1</v>
      </c>
      <c r="W20" s="11">
        <f>36/40</f>
        <v>0.9</v>
      </c>
      <c r="X20" s="11">
        <v>0</v>
      </c>
      <c r="Y20" s="11">
        <f>2/410</f>
        <v>4.8780487804878049E-3</v>
      </c>
      <c r="Z20" s="11">
        <f>21/40</f>
        <v>0.52500000000000002</v>
      </c>
      <c r="AA20" s="11">
        <f>17/40</f>
        <v>0.42499999999999999</v>
      </c>
      <c r="AB20" s="11"/>
      <c r="AC20" s="11">
        <v>1</v>
      </c>
      <c r="AD20" s="11">
        <v>1</v>
      </c>
      <c r="AE20" s="11"/>
      <c r="AF20" s="11">
        <v>1</v>
      </c>
      <c r="AG20" s="11" t="s">
        <v>329</v>
      </c>
      <c r="AH20" s="11" t="s">
        <v>117</v>
      </c>
      <c r="AI20" s="11" t="s">
        <v>256</v>
      </c>
      <c r="AJ20" s="11" t="s">
        <v>69</v>
      </c>
      <c r="AK20" s="11" t="s">
        <v>118</v>
      </c>
      <c r="AL20" s="11" t="s">
        <v>335</v>
      </c>
      <c r="AM20" s="11" t="s">
        <v>318</v>
      </c>
      <c r="AN20" s="11" t="s">
        <v>54</v>
      </c>
      <c r="AO20" s="11" t="s">
        <v>119</v>
      </c>
      <c r="AP20" s="11" t="s">
        <v>296</v>
      </c>
      <c r="AQ20" s="32" t="s">
        <v>336</v>
      </c>
      <c r="AR20" s="22">
        <v>0.95</v>
      </c>
      <c r="AS20" s="13">
        <v>6</v>
      </c>
      <c r="AT20" s="23" t="s">
        <v>337</v>
      </c>
      <c r="AU20" s="11">
        <v>0</v>
      </c>
      <c r="AV20" s="11">
        <f t="shared" si="0"/>
        <v>1</v>
      </c>
      <c r="AW20" s="11"/>
      <c r="AX20" s="15">
        <f>38/40</f>
        <v>0.95</v>
      </c>
      <c r="AY20" s="15">
        <f>31/40</f>
        <v>0.77500000000000002</v>
      </c>
      <c r="AZ20" s="15">
        <f>28/40</f>
        <v>0.7</v>
      </c>
      <c r="BA20" s="15">
        <f>28/40</f>
        <v>0.7</v>
      </c>
      <c r="BB20" s="27">
        <v>1</v>
      </c>
      <c r="BC20" s="24">
        <v>0.95299999999999996</v>
      </c>
      <c r="BD20" s="24">
        <v>0.81499999999999995</v>
      </c>
      <c r="BE20" s="24">
        <v>0.72699999999999998</v>
      </c>
      <c r="BF20" s="24">
        <v>0.66400000000000003</v>
      </c>
      <c r="BG20" s="24"/>
      <c r="BH20" s="24"/>
      <c r="BI20" s="24"/>
      <c r="BJ20" s="16">
        <f>4/40</f>
        <v>0.1</v>
      </c>
      <c r="BK20" s="16" t="s">
        <v>277</v>
      </c>
      <c r="BL20" s="18">
        <v>1</v>
      </c>
      <c r="BM20" s="16"/>
      <c r="BN20" s="11" t="s">
        <v>120</v>
      </c>
      <c r="BO20" s="11"/>
      <c r="BP20" s="11"/>
      <c r="BQ20" s="11"/>
      <c r="BR20" s="11"/>
      <c r="BS20" s="11"/>
      <c r="BT20" s="11"/>
    </row>
    <row r="21" spans="1:72" ht="20" customHeight="1" x14ac:dyDescent="0.2">
      <c r="A21" s="11">
        <v>19</v>
      </c>
      <c r="B21" s="26" t="s">
        <v>121</v>
      </c>
      <c r="C21" s="11">
        <v>2009</v>
      </c>
      <c r="D21" s="11" t="s">
        <v>4</v>
      </c>
      <c r="E21" s="35" t="s">
        <v>338</v>
      </c>
      <c r="F21" s="15" t="s">
        <v>123</v>
      </c>
      <c r="G21" s="58"/>
      <c r="H21" s="54">
        <v>0</v>
      </c>
      <c r="I21" s="49"/>
      <c r="J21" s="49"/>
      <c r="K21" s="49"/>
      <c r="L21" s="49"/>
      <c r="M21" s="49"/>
      <c r="N21" s="49"/>
      <c r="O21" s="49"/>
      <c r="P21" s="11">
        <v>0</v>
      </c>
      <c r="Q21" s="11">
        <v>42</v>
      </c>
      <c r="R21" s="17">
        <f>38/42</f>
        <v>0.90476190476190477</v>
      </c>
      <c r="S21" s="11">
        <v>72</v>
      </c>
      <c r="T21" s="11">
        <f>36/42</f>
        <v>0.8571428571428571</v>
      </c>
      <c r="U21" s="11">
        <f>6/42</f>
        <v>0.14285714285714285</v>
      </c>
      <c r="V21" s="11"/>
      <c r="W21" s="11"/>
      <c r="X21" s="11">
        <f>21/42</f>
        <v>0.5</v>
      </c>
      <c r="Y21" s="11"/>
      <c r="Z21" s="11"/>
      <c r="AA21" s="11"/>
      <c r="AB21" s="11"/>
      <c r="AC21" s="11">
        <v>1</v>
      </c>
      <c r="AD21" s="11"/>
      <c r="AE21" s="11"/>
      <c r="AF21" s="11"/>
      <c r="AG21" s="11" t="s">
        <v>105</v>
      </c>
      <c r="AH21" s="11" t="s">
        <v>124</v>
      </c>
      <c r="AI21" s="11"/>
      <c r="AJ21" s="11" t="s">
        <v>69</v>
      </c>
      <c r="AK21" s="11" t="s">
        <v>65</v>
      </c>
      <c r="AL21" s="11" t="s">
        <v>339</v>
      </c>
      <c r="AM21" s="11" t="s">
        <v>340</v>
      </c>
      <c r="AN21" s="11" t="s">
        <v>341</v>
      </c>
      <c r="AO21" s="11" t="s">
        <v>38</v>
      </c>
      <c r="AP21" s="11" t="s">
        <v>296</v>
      </c>
      <c r="AQ21" s="32" t="s">
        <v>343</v>
      </c>
      <c r="AR21" s="22">
        <f>14/42</f>
        <v>0.33333333333333331</v>
      </c>
      <c r="AS21" s="13">
        <v>3</v>
      </c>
      <c r="AT21" s="23" t="s">
        <v>125</v>
      </c>
      <c r="AU21" s="11">
        <f>9/42</f>
        <v>0.21428571428571427</v>
      </c>
      <c r="AV21" s="11">
        <f>1-AU21</f>
        <v>0.7857142857142857</v>
      </c>
      <c r="AW21" s="11"/>
      <c r="AX21" s="11"/>
      <c r="AY21" s="11">
        <f>8/42</f>
        <v>0.19047619047619047</v>
      </c>
      <c r="AZ21" s="11"/>
      <c r="BA21" s="11">
        <f>7/42</f>
        <v>0.16666666666666666</v>
      </c>
      <c r="BB21" s="15"/>
      <c r="BC21" s="15"/>
      <c r="BD21" s="15"/>
      <c r="BE21" s="15"/>
      <c r="BF21" s="15"/>
      <c r="BG21" s="15"/>
      <c r="BH21" s="15"/>
      <c r="BI21" s="15"/>
      <c r="BJ21" s="16">
        <f>7/42</f>
        <v>0.16666666666666666</v>
      </c>
      <c r="BK21" s="16" t="s">
        <v>342</v>
      </c>
      <c r="BL21" s="18"/>
      <c r="BM21" s="17"/>
      <c r="BN21" s="11"/>
      <c r="BO21" s="11"/>
      <c r="BP21" s="11"/>
      <c r="BQ21" s="11"/>
      <c r="BR21" s="11">
        <f>8/42</f>
        <v>0.19047619047619047</v>
      </c>
      <c r="BS21" s="11"/>
      <c r="BT21" s="11">
        <f>7/42</f>
        <v>0.16666666666666666</v>
      </c>
    </row>
    <row r="22" spans="1:72" ht="20" customHeight="1" x14ac:dyDescent="0.2">
      <c r="A22" s="11">
        <v>20</v>
      </c>
      <c r="B22" s="11" t="s">
        <v>126</v>
      </c>
      <c r="C22" s="11">
        <v>2014</v>
      </c>
      <c r="D22" s="11" t="s">
        <v>46</v>
      </c>
      <c r="E22" s="35" t="s">
        <v>23</v>
      </c>
      <c r="F22" s="15" t="s">
        <v>127</v>
      </c>
      <c r="G22" s="15" t="s">
        <v>514</v>
      </c>
      <c r="H22" s="54">
        <v>1</v>
      </c>
      <c r="I22" s="51">
        <v>0</v>
      </c>
      <c r="J22" s="51">
        <v>66</v>
      </c>
      <c r="K22" s="51" t="s">
        <v>481</v>
      </c>
      <c r="L22" s="51" t="s">
        <v>105</v>
      </c>
      <c r="M22" s="51">
        <v>2014</v>
      </c>
      <c r="N22" s="51" t="s">
        <v>46</v>
      </c>
      <c r="O22" s="51" t="s">
        <v>479</v>
      </c>
      <c r="P22" s="11">
        <v>0</v>
      </c>
      <c r="Q22" s="11">
        <v>15</v>
      </c>
      <c r="R22" s="21">
        <f>11/15</f>
        <v>0.73333333333333328</v>
      </c>
      <c r="S22" s="11">
        <v>66</v>
      </c>
      <c r="T22" s="11">
        <f>13/15</f>
        <v>0.8666666666666667</v>
      </c>
      <c r="U22" s="11">
        <f>2/15</f>
        <v>0.13333333333333333</v>
      </c>
      <c r="V22" s="11">
        <v>0</v>
      </c>
      <c r="W22" s="11">
        <f>4/15</f>
        <v>0.26666666666666666</v>
      </c>
      <c r="X22" s="11">
        <f>11/15</f>
        <v>0.73333333333333328</v>
      </c>
      <c r="Y22" s="11">
        <v>0</v>
      </c>
      <c r="Z22" s="11">
        <v>0</v>
      </c>
      <c r="AA22" s="11">
        <v>1</v>
      </c>
      <c r="AB22" s="11"/>
      <c r="AC22" s="11">
        <v>1</v>
      </c>
      <c r="AD22" s="11"/>
      <c r="AE22" s="11"/>
      <c r="AF22" s="11"/>
      <c r="AG22" s="11" t="s">
        <v>105</v>
      </c>
      <c r="AH22" s="11" t="s">
        <v>128</v>
      </c>
      <c r="AI22" s="11"/>
      <c r="AJ22" s="11" t="s">
        <v>129</v>
      </c>
      <c r="AK22" s="11" t="s">
        <v>65</v>
      </c>
      <c r="AL22" s="11" t="s">
        <v>344</v>
      </c>
      <c r="AM22" s="11" t="s">
        <v>318</v>
      </c>
      <c r="AN22" s="11" t="s">
        <v>347</v>
      </c>
      <c r="AO22" s="11" t="s">
        <v>130</v>
      </c>
      <c r="AP22" s="11" t="s">
        <v>345</v>
      </c>
      <c r="AQ22" s="13"/>
      <c r="AR22" s="13"/>
      <c r="AS22" s="13"/>
      <c r="AT22" s="23" t="s">
        <v>131</v>
      </c>
      <c r="AU22" s="11">
        <v>0</v>
      </c>
      <c r="AV22" s="11">
        <f t="shared" ref="AV22:AV53" si="1">1-AU22</f>
        <v>1</v>
      </c>
      <c r="AW22" s="11">
        <f>11/15</f>
        <v>0.73333333333333328</v>
      </c>
      <c r="AX22" s="11">
        <f>10/15</f>
        <v>0.66666666666666663</v>
      </c>
      <c r="AY22" s="11">
        <f>10/15</f>
        <v>0.66666666666666663</v>
      </c>
      <c r="AZ22" s="11">
        <v>0.4</v>
      </c>
      <c r="BA22" s="11">
        <f>4/15</f>
        <v>0.26666666666666666</v>
      </c>
      <c r="BB22" s="24">
        <v>0.86399999999999999</v>
      </c>
      <c r="BC22" s="27">
        <v>0.8</v>
      </c>
      <c r="BD22" s="27">
        <v>0.73</v>
      </c>
      <c r="BE22" s="24">
        <v>0.46400000000000002</v>
      </c>
      <c r="BF22" s="24">
        <v>0.33300000000000002</v>
      </c>
      <c r="BG22" s="24"/>
      <c r="BH22" s="24"/>
      <c r="BI22" s="24"/>
      <c r="BJ22" s="16">
        <v>0</v>
      </c>
      <c r="BK22" s="16" t="s">
        <v>346</v>
      </c>
      <c r="BL22" s="18">
        <v>0</v>
      </c>
      <c r="BM22" s="16"/>
      <c r="BN22" s="11"/>
      <c r="BO22" s="11"/>
      <c r="BP22" s="11">
        <f>11/15</f>
        <v>0.73333333333333328</v>
      </c>
      <c r="BQ22" s="11">
        <f>10/15</f>
        <v>0.66666666666666663</v>
      </c>
      <c r="BR22" s="11">
        <f>10/15</f>
        <v>0.66666666666666663</v>
      </c>
      <c r="BS22" s="11">
        <v>0.4</v>
      </c>
      <c r="BT22" s="11">
        <f>4/15</f>
        <v>0.26666666666666666</v>
      </c>
    </row>
    <row r="23" spans="1:72" ht="20" customHeight="1" x14ac:dyDescent="0.2">
      <c r="A23" s="17">
        <v>21</v>
      </c>
      <c r="B23" s="11" t="s">
        <v>132</v>
      </c>
      <c r="C23" s="11">
        <v>2010</v>
      </c>
      <c r="D23" s="11" t="s">
        <v>46</v>
      </c>
      <c r="E23" s="35" t="s">
        <v>23</v>
      </c>
      <c r="F23" s="15" t="s">
        <v>137</v>
      </c>
      <c r="G23" s="15" t="s">
        <v>508</v>
      </c>
      <c r="H23" s="54">
        <v>1</v>
      </c>
      <c r="I23" s="51">
        <v>0</v>
      </c>
      <c r="J23" s="51">
        <v>69</v>
      </c>
      <c r="K23" s="51" t="s">
        <v>480</v>
      </c>
      <c r="L23" s="51" t="s">
        <v>476</v>
      </c>
      <c r="M23" s="51">
        <v>2010</v>
      </c>
      <c r="N23" s="51" t="s">
        <v>46</v>
      </c>
      <c r="O23" s="51" t="s">
        <v>479</v>
      </c>
      <c r="P23" s="11">
        <v>0</v>
      </c>
      <c r="Q23" s="11">
        <v>64</v>
      </c>
      <c r="R23" s="11">
        <v>1</v>
      </c>
      <c r="S23" s="11">
        <v>69</v>
      </c>
      <c r="T23" s="11">
        <f>50/64</f>
        <v>0.78125</v>
      </c>
      <c r="U23" s="11">
        <f>14/64</f>
        <v>0.21875</v>
      </c>
      <c r="V23" s="11">
        <f>47/64</f>
        <v>0.734375</v>
      </c>
      <c r="W23" s="11">
        <f>27/64</f>
        <v>0.421875</v>
      </c>
      <c r="X23" s="11">
        <f>27/64</f>
        <v>0.421875</v>
      </c>
      <c r="Y23" s="11">
        <v>0</v>
      </c>
      <c r="Z23" s="11" t="s">
        <v>135</v>
      </c>
      <c r="AA23" s="11" t="s">
        <v>135</v>
      </c>
      <c r="AB23" s="11"/>
      <c r="AC23" s="11">
        <f>62/64</f>
        <v>0.96875</v>
      </c>
      <c r="AD23" s="11">
        <f>35/64</f>
        <v>0.546875</v>
      </c>
      <c r="AE23" s="11">
        <f>2/64</f>
        <v>3.125E-2</v>
      </c>
      <c r="AF23" s="11"/>
      <c r="AG23" s="11" t="s">
        <v>84</v>
      </c>
      <c r="AH23" s="34" t="s">
        <v>133</v>
      </c>
      <c r="AI23" s="34"/>
      <c r="AJ23" s="11" t="s">
        <v>69</v>
      </c>
      <c r="AK23" s="11" t="s">
        <v>65</v>
      </c>
      <c r="AL23" s="11" t="s">
        <v>365</v>
      </c>
      <c r="AM23" s="11" t="s">
        <v>318</v>
      </c>
      <c r="AN23" s="11" t="s">
        <v>134</v>
      </c>
      <c r="AO23" s="11" t="s">
        <v>91</v>
      </c>
      <c r="AP23" s="11" t="s">
        <v>267</v>
      </c>
      <c r="AQ23" s="13" t="s">
        <v>136</v>
      </c>
      <c r="AR23" s="22">
        <v>0.39</v>
      </c>
      <c r="AS23" s="13">
        <v>3</v>
      </c>
      <c r="AT23" s="23" t="s">
        <v>42</v>
      </c>
      <c r="AU23" s="11">
        <v>0</v>
      </c>
      <c r="AV23" s="11">
        <f t="shared" si="1"/>
        <v>1</v>
      </c>
      <c r="AW23" s="11">
        <f>24/61</f>
        <v>0.39344262295081966</v>
      </c>
      <c r="AX23" s="11"/>
      <c r="AY23" s="11"/>
      <c r="AZ23" s="11"/>
      <c r="BA23" s="11"/>
      <c r="BB23" s="15"/>
      <c r="BC23" s="15"/>
      <c r="BD23" s="15"/>
      <c r="BE23" s="15"/>
      <c r="BF23" s="15"/>
      <c r="BG23" s="15"/>
      <c r="BH23" s="15"/>
      <c r="BI23" s="15"/>
      <c r="BJ23" s="16">
        <f>1/64</f>
        <v>1.5625E-2</v>
      </c>
      <c r="BK23" s="16" t="s">
        <v>277</v>
      </c>
      <c r="BL23" s="18">
        <v>0</v>
      </c>
      <c r="BM23" s="17"/>
      <c r="BN23" s="11"/>
      <c r="BO23" s="11"/>
      <c r="BP23" s="11">
        <f>24/61</f>
        <v>0.39344262295081966</v>
      </c>
      <c r="BQ23" s="11"/>
      <c r="BR23" s="11"/>
      <c r="BS23" s="11"/>
      <c r="BT23" s="11"/>
    </row>
    <row r="24" spans="1:72" ht="20" customHeight="1" x14ac:dyDescent="0.2">
      <c r="A24" s="11">
        <v>22</v>
      </c>
      <c r="B24" s="19" t="s">
        <v>132</v>
      </c>
      <c r="C24" s="11">
        <v>2012</v>
      </c>
      <c r="D24" s="11" t="s">
        <v>4</v>
      </c>
      <c r="E24" s="11" t="s">
        <v>348</v>
      </c>
      <c r="F24" s="15" t="s">
        <v>137</v>
      </c>
      <c r="G24" s="15" t="s">
        <v>496</v>
      </c>
      <c r="H24" s="54">
        <v>1</v>
      </c>
      <c r="I24" s="51">
        <v>0</v>
      </c>
      <c r="J24" s="51">
        <v>74</v>
      </c>
      <c r="K24" s="51" t="s">
        <v>481</v>
      </c>
      <c r="L24" s="51" t="s">
        <v>48</v>
      </c>
      <c r="M24" s="51">
        <v>2012</v>
      </c>
      <c r="N24" s="51" t="s">
        <v>92</v>
      </c>
      <c r="O24" s="51" t="s">
        <v>479</v>
      </c>
      <c r="P24" s="11">
        <v>0</v>
      </c>
      <c r="Q24" s="11">
        <v>45</v>
      </c>
      <c r="R24" s="11">
        <f>42/45</f>
        <v>0.93333333333333335</v>
      </c>
      <c r="S24" s="11">
        <v>74</v>
      </c>
      <c r="T24" s="11">
        <f>35/45</f>
        <v>0.77777777777777779</v>
      </c>
      <c r="U24" s="11">
        <f>10/45</f>
        <v>0.22222222222222221</v>
      </c>
      <c r="V24" s="11">
        <f>11/45</f>
        <v>0.24444444444444444</v>
      </c>
      <c r="W24" s="11">
        <f>8/45</f>
        <v>0.17777777777777778</v>
      </c>
      <c r="X24" s="11">
        <v>1</v>
      </c>
      <c r="Y24" s="11">
        <v>0</v>
      </c>
      <c r="Z24" s="11">
        <v>0</v>
      </c>
      <c r="AA24" s="11">
        <v>1</v>
      </c>
      <c r="AB24" s="11"/>
      <c r="AC24" s="11">
        <v>1</v>
      </c>
      <c r="AD24" s="11" t="s">
        <v>23</v>
      </c>
      <c r="AE24" s="11">
        <v>0</v>
      </c>
      <c r="AF24" s="11"/>
      <c r="AG24" s="11" t="s">
        <v>48</v>
      </c>
      <c r="AH24" s="11" t="s">
        <v>138</v>
      </c>
      <c r="AI24" s="11"/>
      <c r="AJ24" s="11" t="s">
        <v>351</v>
      </c>
      <c r="AK24" s="11" t="s">
        <v>65</v>
      </c>
      <c r="AL24" s="11" t="s">
        <v>349</v>
      </c>
      <c r="AM24" s="11" t="s">
        <v>350</v>
      </c>
      <c r="AN24" s="11" t="s">
        <v>134</v>
      </c>
      <c r="AO24" s="11" t="s">
        <v>175</v>
      </c>
      <c r="AP24" s="11" t="s">
        <v>296</v>
      </c>
      <c r="AQ24" s="13" t="s">
        <v>139</v>
      </c>
      <c r="AR24" s="22">
        <v>0.44</v>
      </c>
      <c r="AS24" s="13">
        <v>3</v>
      </c>
      <c r="AT24" s="23" t="s">
        <v>140</v>
      </c>
      <c r="AU24" s="11">
        <f>2/45</f>
        <v>4.4444444444444446E-2</v>
      </c>
      <c r="AV24" s="11">
        <f t="shared" si="1"/>
        <v>0.9555555555555556</v>
      </c>
      <c r="AW24" s="30">
        <v>0.44</v>
      </c>
      <c r="AX24" s="11">
        <f>12/45</f>
        <v>0.26666666666666666</v>
      </c>
      <c r="AY24" s="11">
        <f>7/45</f>
        <v>0.15555555555555556</v>
      </c>
      <c r="AZ24" s="11"/>
      <c r="BA24" s="11"/>
      <c r="BB24" s="27"/>
      <c r="BC24" s="24"/>
      <c r="BD24" s="24"/>
      <c r="BE24" s="15"/>
      <c r="BF24" s="15"/>
      <c r="BG24" s="15"/>
      <c r="BH24" s="15"/>
      <c r="BI24" s="15"/>
      <c r="BJ24" s="16">
        <f>3/45</f>
        <v>6.6666666666666666E-2</v>
      </c>
      <c r="BK24" s="16" t="s">
        <v>352</v>
      </c>
      <c r="BL24" s="18">
        <v>0</v>
      </c>
      <c r="BM24" s="17" t="s">
        <v>353</v>
      </c>
      <c r="BN24" s="11"/>
      <c r="BO24" s="11"/>
      <c r="BP24" s="30">
        <v>0.44</v>
      </c>
      <c r="BQ24" s="11">
        <f>12/45</f>
        <v>0.26666666666666666</v>
      </c>
      <c r="BR24" s="11">
        <f>7/45</f>
        <v>0.15555555555555556</v>
      </c>
      <c r="BS24" s="11"/>
      <c r="BT24" s="11"/>
    </row>
    <row r="25" spans="1:72" ht="20" customHeight="1" x14ac:dyDescent="0.2">
      <c r="A25" s="11">
        <v>23</v>
      </c>
      <c r="B25" s="11" t="s">
        <v>141</v>
      </c>
      <c r="C25" s="11">
        <v>2013</v>
      </c>
      <c r="D25" s="11" t="s">
        <v>4</v>
      </c>
      <c r="E25" s="11" t="s">
        <v>357</v>
      </c>
      <c r="F25" s="15" t="s">
        <v>177</v>
      </c>
      <c r="G25" s="15" t="s">
        <v>517</v>
      </c>
      <c r="H25" s="54">
        <v>1</v>
      </c>
      <c r="I25" s="51">
        <v>0</v>
      </c>
      <c r="J25" s="51">
        <v>62.9</v>
      </c>
      <c r="K25" s="51" t="s">
        <v>481</v>
      </c>
      <c r="L25" s="51" t="s">
        <v>476</v>
      </c>
      <c r="M25" s="51">
        <v>2013</v>
      </c>
      <c r="N25" s="51" t="s">
        <v>92</v>
      </c>
      <c r="O25" s="51" t="s">
        <v>479</v>
      </c>
      <c r="P25" s="11">
        <v>0</v>
      </c>
      <c r="Q25" s="11">
        <v>34</v>
      </c>
      <c r="R25" s="11">
        <v>1</v>
      </c>
      <c r="S25" s="11" t="s">
        <v>142</v>
      </c>
      <c r="T25" s="11">
        <f>22/34</f>
        <v>0.6470588235294118</v>
      </c>
      <c r="U25" s="11">
        <f>12/34</f>
        <v>0.35294117647058826</v>
      </c>
      <c r="V25" s="11">
        <v>0</v>
      </c>
      <c r="W25" s="11">
        <v>1</v>
      </c>
      <c r="X25" s="11">
        <f>14/34</f>
        <v>0.41176470588235292</v>
      </c>
      <c r="Y25" s="11">
        <v>0</v>
      </c>
      <c r="Z25" s="11">
        <v>0</v>
      </c>
      <c r="AA25" s="11">
        <v>1</v>
      </c>
      <c r="AB25" s="11"/>
      <c r="AC25" s="11">
        <v>1</v>
      </c>
      <c r="AD25" s="11" t="s">
        <v>23</v>
      </c>
      <c r="AE25" s="11"/>
      <c r="AF25" s="11"/>
      <c r="AG25" s="11" t="s">
        <v>148</v>
      </c>
      <c r="AH25" s="11" t="s">
        <v>358</v>
      </c>
      <c r="AI25" s="11"/>
      <c r="AJ25" s="11" t="s">
        <v>69</v>
      </c>
      <c r="AK25" s="11" t="s">
        <v>122</v>
      </c>
      <c r="AL25" s="11" t="s">
        <v>359</v>
      </c>
      <c r="AM25" s="11" t="s">
        <v>360</v>
      </c>
      <c r="AN25" s="11" t="s">
        <v>134</v>
      </c>
      <c r="AO25" s="11" t="s">
        <v>361</v>
      </c>
      <c r="AP25" s="11" t="s">
        <v>362</v>
      </c>
      <c r="AQ25" s="13" t="s">
        <v>143</v>
      </c>
      <c r="AR25" s="22">
        <v>1</v>
      </c>
      <c r="AS25" s="13">
        <v>3</v>
      </c>
      <c r="AT25" s="23" t="s">
        <v>363</v>
      </c>
      <c r="AU25" s="11">
        <f>3/34</f>
        <v>8.8235294117647065E-2</v>
      </c>
      <c r="AV25" s="11">
        <f t="shared" si="1"/>
        <v>0.91176470588235292</v>
      </c>
      <c r="AW25" s="30">
        <v>1</v>
      </c>
      <c r="AX25" s="11"/>
      <c r="AY25" s="37">
        <v>0.90900000000000003</v>
      </c>
      <c r="AZ25" s="11"/>
      <c r="BA25" s="37">
        <v>0.64400000000000002</v>
      </c>
      <c r="BB25" s="24">
        <v>1</v>
      </c>
      <c r="BC25" s="24">
        <v>0.97</v>
      </c>
      <c r="BD25" s="24">
        <v>0.94099999999999995</v>
      </c>
      <c r="BE25" s="24">
        <v>0.73499999999999999</v>
      </c>
      <c r="BF25" s="24">
        <v>0.69399999999999995</v>
      </c>
      <c r="BG25" s="24"/>
      <c r="BH25" s="24"/>
      <c r="BI25" s="24"/>
      <c r="BJ25" s="16">
        <v>0</v>
      </c>
      <c r="BK25" s="16" t="s">
        <v>364</v>
      </c>
      <c r="BL25" s="18">
        <v>0</v>
      </c>
      <c r="BM25" s="16"/>
      <c r="BN25" s="11" t="s">
        <v>144</v>
      </c>
      <c r="BO25" s="11"/>
      <c r="BP25" s="30">
        <v>1</v>
      </c>
      <c r="BQ25" s="11"/>
      <c r="BR25" s="37">
        <v>0.90900000000000003</v>
      </c>
      <c r="BS25" s="11"/>
      <c r="BT25" s="37">
        <v>0.64400000000000002</v>
      </c>
    </row>
    <row r="26" spans="1:72" ht="20" customHeight="1" x14ac:dyDescent="0.2">
      <c r="A26" s="11">
        <v>24</v>
      </c>
      <c r="B26" s="11" t="s">
        <v>145</v>
      </c>
      <c r="C26" s="11">
        <v>2006</v>
      </c>
      <c r="D26" s="11" t="s">
        <v>46</v>
      </c>
      <c r="E26" s="11" t="s">
        <v>23</v>
      </c>
      <c r="F26" s="15" t="s">
        <v>149</v>
      </c>
      <c r="G26" s="15" t="s">
        <v>511</v>
      </c>
      <c r="H26" s="54">
        <v>1</v>
      </c>
      <c r="I26" s="51">
        <v>0</v>
      </c>
      <c r="J26" s="51">
        <v>75</v>
      </c>
      <c r="K26" s="51" t="s">
        <v>481</v>
      </c>
      <c r="L26" s="51" t="s">
        <v>105</v>
      </c>
      <c r="M26" s="51">
        <v>2006</v>
      </c>
      <c r="N26" s="51" t="s">
        <v>46</v>
      </c>
      <c r="O26" s="51" t="s">
        <v>479</v>
      </c>
      <c r="P26" s="11">
        <v>0</v>
      </c>
      <c r="Q26" s="11">
        <v>18</v>
      </c>
      <c r="R26" s="11">
        <v>1</v>
      </c>
      <c r="S26" s="11" t="s">
        <v>147</v>
      </c>
      <c r="T26" s="11">
        <f>16/18</f>
        <v>0.88888888888888884</v>
      </c>
      <c r="U26" s="11">
        <f>2/18</f>
        <v>0.1111111111111111</v>
      </c>
      <c r="V26" s="11">
        <f>8/18</f>
        <v>0.44444444444444442</v>
      </c>
      <c r="W26" s="11">
        <f>5/18</f>
        <v>0.27777777777777779</v>
      </c>
      <c r="X26" s="11">
        <f>10/18</f>
        <v>0.55555555555555558</v>
      </c>
      <c r="Y26" s="11">
        <v>0</v>
      </c>
      <c r="Z26" s="11">
        <v>0</v>
      </c>
      <c r="AA26" s="11">
        <v>1</v>
      </c>
      <c r="AB26" s="11">
        <f>4/18</f>
        <v>0.22222222222222221</v>
      </c>
      <c r="AC26" s="11">
        <v>1</v>
      </c>
      <c r="AD26" s="11" t="s">
        <v>23</v>
      </c>
      <c r="AE26" s="11"/>
      <c r="AF26" s="11"/>
      <c r="AG26" s="11" t="s">
        <v>105</v>
      </c>
      <c r="AH26" s="11" t="s">
        <v>150</v>
      </c>
      <c r="AI26" s="11"/>
      <c r="AJ26" s="11" t="s">
        <v>69</v>
      </c>
      <c r="AK26" s="11" t="s">
        <v>354</v>
      </c>
      <c r="AL26" s="11" t="s">
        <v>355</v>
      </c>
      <c r="AM26" s="11" t="s">
        <v>350</v>
      </c>
      <c r="AN26" s="11" t="s">
        <v>54</v>
      </c>
      <c r="AO26" s="11" t="s">
        <v>354</v>
      </c>
      <c r="AP26" s="11" t="s">
        <v>267</v>
      </c>
      <c r="AQ26" s="13" t="s">
        <v>146</v>
      </c>
      <c r="AR26" s="13">
        <f>10/18</f>
        <v>0.55555555555555558</v>
      </c>
      <c r="AS26" s="13">
        <v>1</v>
      </c>
      <c r="AT26" s="23" t="s">
        <v>42</v>
      </c>
      <c r="AU26" s="11">
        <v>0</v>
      </c>
      <c r="AV26" s="11">
        <f t="shared" si="1"/>
        <v>1</v>
      </c>
      <c r="AW26" s="11">
        <f>10/18</f>
        <v>0.55555555555555558</v>
      </c>
      <c r="AX26" s="11"/>
      <c r="AY26" s="11"/>
      <c r="AZ26" s="11"/>
      <c r="BA26" s="11"/>
      <c r="BB26" s="15"/>
      <c r="BC26" s="15"/>
      <c r="BD26" s="15"/>
      <c r="BE26" s="15"/>
      <c r="BF26" s="15"/>
      <c r="BG26" s="15"/>
      <c r="BH26" s="15"/>
      <c r="BI26" s="15"/>
      <c r="BJ26" s="16">
        <v>0</v>
      </c>
      <c r="BK26" s="16" t="s">
        <v>352</v>
      </c>
      <c r="BL26" s="18">
        <v>0</v>
      </c>
      <c r="BM26" s="17"/>
      <c r="BN26" s="11"/>
      <c r="BO26" s="11"/>
      <c r="BP26" s="11"/>
      <c r="BQ26" s="11"/>
      <c r="BR26" s="11"/>
      <c r="BS26" s="11"/>
      <c r="BT26" s="11"/>
    </row>
    <row r="27" spans="1:72" ht="20" customHeight="1" x14ac:dyDescent="0.2">
      <c r="A27" s="11">
        <v>25</v>
      </c>
      <c r="B27" s="11" t="s">
        <v>145</v>
      </c>
      <c r="C27" s="11">
        <v>2011</v>
      </c>
      <c r="D27" s="11" t="s">
        <v>46</v>
      </c>
      <c r="E27" s="11" t="s">
        <v>356</v>
      </c>
      <c r="F27" s="15" t="s">
        <v>151</v>
      </c>
      <c r="G27" s="15" t="s">
        <v>504</v>
      </c>
      <c r="H27" s="54">
        <v>1</v>
      </c>
      <c r="I27" s="51">
        <v>0</v>
      </c>
      <c r="J27" s="51">
        <v>71</v>
      </c>
      <c r="K27" s="51" t="s">
        <v>490</v>
      </c>
      <c r="L27" s="51" t="s">
        <v>105</v>
      </c>
      <c r="M27" s="51">
        <v>2011</v>
      </c>
      <c r="N27" s="51" t="s">
        <v>46</v>
      </c>
      <c r="O27" s="51" t="s">
        <v>479</v>
      </c>
      <c r="P27" s="11">
        <v>0</v>
      </c>
      <c r="Q27" s="11">
        <v>18</v>
      </c>
      <c r="R27" s="11">
        <v>1</v>
      </c>
      <c r="S27" s="11">
        <v>71</v>
      </c>
      <c r="T27" s="11">
        <f>13/18</f>
        <v>0.72222222222222221</v>
      </c>
      <c r="U27" s="11">
        <f>5/18</f>
        <v>0.27777777777777779</v>
      </c>
      <c r="V27" s="11">
        <f>3/18</f>
        <v>0.16666666666666666</v>
      </c>
      <c r="W27" s="11">
        <f>6/18</f>
        <v>0.33333333333333331</v>
      </c>
      <c r="X27" s="11">
        <f>9/18</f>
        <v>0.5</v>
      </c>
      <c r="Y27" s="11">
        <v>0</v>
      </c>
      <c r="Z27" s="11">
        <v>0</v>
      </c>
      <c r="AA27" s="11">
        <v>1</v>
      </c>
      <c r="AB27" s="11">
        <f>6/18</f>
        <v>0.33333333333333331</v>
      </c>
      <c r="AC27" s="11">
        <v>1</v>
      </c>
      <c r="AD27" s="11" t="s">
        <v>23</v>
      </c>
      <c r="AE27" s="11"/>
      <c r="AF27" s="11"/>
      <c r="AG27" s="11" t="s">
        <v>105</v>
      </c>
      <c r="AH27" s="11" t="s">
        <v>152</v>
      </c>
      <c r="AI27" s="11"/>
      <c r="AJ27" s="11" t="s">
        <v>69</v>
      </c>
      <c r="AK27" s="11" t="s">
        <v>65</v>
      </c>
      <c r="AL27" s="11" t="s">
        <v>355</v>
      </c>
      <c r="AM27" s="11" t="s">
        <v>350</v>
      </c>
      <c r="AN27" s="11" t="s">
        <v>54</v>
      </c>
      <c r="AO27" s="11" t="s">
        <v>91</v>
      </c>
      <c r="AP27" s="11" t="s">
        <v>267</v>
      </c>
      <c r="AQ27" s="13" t="s">
        <v>153</v>
      </c>
      <c r="AR27" s="22">
        <v>0.27</v>
      </c>
      <c r="AS27" s="13">
        <v>3</v>
      </c>
      <c r="AT27" s="23" t="s">
        <v>42</v>
      </c>
      <c r="AU27" s="11">
        <f>1/18</f>
        <v>5.5555555555555552E-2</v>
      </c>
      <c r="AV27" s="11">
        <f t="shared" si="1"/>
        <v>0.94444444444444442</v>
      </c>
      <c r="AW27" s="11">
        <f>5/18</f>
        <v>0.27777777777777779</v>
      </c>
      <c r="AX27" s="11"/>
      <c r="AY27" s="11"/>
      <c r="AZ27" s="11"/>
      <c r="BA27" s="11"/>
      <c r="BB27" s="15"/>
      <c r="BC27" s="15"/>
      <c r="BD27" s="15"/>
      <c r="BE27" s="15"/>
      <c r="BF27" s="15"/>
      <c r="BG27" s="15"/>
      <c r="BH27" s="15"/>
      <c r="BI27" s="15"/>
      <c r="BJ27" s="16">
        <v>0</v>
      </c>
      <c r="BK27" s="16" t="s">
        <v>352</v>
      </c>
      <c r="BL27" s="18">
        <v>0</v>
      </c>
      <c r="BM27" s="17"/>
      <c r="BN27" s="11"/>
      <c r="BO27" s="11"/>
      <c r="BP27" s="11">
        <f>5/18</f>
        <v>0.27777777777777779</v>
      </c>
      <c r="BQ27" s="11"/>
      <c r="BR27" s="11"/>
      <c r="BS27" s="11"/>
      <c r="BT27" s="11"/>
    </row>
    <row r="28" spans="1:72" ht="20" customHeight="1" x14ac:dyDescent="0.2">
      <c r="A28" s="11">
        <v>26</v>
      </c>
      <c r="B28" s="11" t="s">
        <v>145</v>
      </c>
      <c r="C28" s="11">
        <v>2014</v>
      </c>
      <c r="D28" s="11" t="s">
        <v>4</v>
      </c>
      <c r="E28" s="11" t="s">
        <v>366</v>
      </c>
      <c r="F28" s="15" t="s">
        <v>151</v>
      </c>
      <c r="G28" s="15" t="s">
        <v>506</v>
      </c>
      <c r="H28" s="54">
        <v>1</v>
      </c>
      <c r="I28" s="51">
        <v>0</v>
      </c>
      <c r="J28" s="51">
        <v>76</v>
      </c>
      <c r="K28" s="51" t="s">
        <v>480</v>
      </c>
      <c r="L28" s="51" t="s">
        <v>105</v>
      </c>
      <c r="M28" s="51">
        <v>2014</v>
      </c>
      <c r="N28" s="51" t="s">
        <v>92</v>
      </c>
      <c r="O28" s="51" t="s">
        <v>479</v>
      </c>
      <c r="P28" s="11">
        <v>0</v>
      </c>
      <c r="Q28" s="11">
        <v>28</v>
      </c>
      <c r="R28" s="11">
        <f>26/28</f>
        <v>0.9285714285714286</v>
      </c>
      <c r="S28" s="11">
        <v>76</v>
      </c>
      <c r="T28" s="11">
        <f>22/28</f>
        <v>0.7857142857142857</v>
      </c>
      <c r="U28" s="11">
        <f>6/28</f>
        <v>0.21428571428571427</v>
      </c>
      <c r="V28" s="11">
        <f>6/28</f>
        <v>0.21428571428571427</v>
      </c>
      <c r="W28" s="11">
        <f>9/28</f>
        <v>0.32142857142857145</v>
      </c>
      <c r="X28" s="11">
        <f>20/28</f>
        <v>0.7142857142857143</v>
      </c>
      <c r="Y28" s="11">
        <f>1/28</f>
        <v>3.5714285714285712E-2</v>
      </c>
      <c r="Z28" s="11">
        <v>0</v>
      </c>
      <c r="AA28" s="11">
        <f>27/28</f>
        <v>0.9642857142857143</v>
      </c>
      <c r="AB28" s="11">
        <f>6/28</f>
        <v>0.21428571428571427</v>
      </c>
      <c r="AC28" s="11">
        <v>1</v>
      </c>
      <c r="AD28" s="11">
        <f>21/28</f>
        <v>0.75</v>
      </c>
      <c r="AE28" s="11"/>
      <c r="AF28" s="11"/>
      <c r="AG28" s="11" t="s">
        <v>105</v>
      </c>
      <c r="AH28" s="11" t="s">
        <v>154</v>
      </c>
      <c r="AI28" s="11"/>
      <c r="AJ28" s="11" t="s">
        <v>155</v>
      </c>
      <c r="AK28" s="11" t="s">
        <v>65</v>
      </c>
      <c r="AL28" s="11" t="s">
        <v>355</v>
      </c>
      <c r="AM28" s="11" t="s">
        <v>350</v>
      </c>
      <c r="AN28" s="11" t="s">
        <v>54</v>
      </c>
      <c r="AO28" s="11" t="s">
        <v>156</v>
      </c>
      <c r="AP28" s="11" t="s">
        <v>296</v>
      </c>
      <c r="AQ28" s="13" t="s">
        <v>157</v>
      </c>
      <c r="AR28" s="13">
        <f>10/28</f>
        <v>0.35714285714285715</v>
      </c>
      <c r="AS28" s="13">
        <v>3</v>
      </c>
      <c r="AT28" s="23" t="s">
        <v>156</v>
      </c>
      <c r="AU28" s="11">
        <f>1/28</f>
        <v>3.5714285714285712E-2</v>
      </c>
      <c r="AV28" s="11">
        <f t="shared" si="1"/>
        <v>0.9642857142857143</v>
      </c>
      <c r="AW28" s="11">
        <f>10/28</f>
        <v>0.35714285714285715</v>
      </c>
      <c r="AX28" s="11"/>
      <c r="AY28" s="11">
        <v>0.35699999999999998</v>
      </c>
      <c r="AZ28" s="11"/>
      <c r="BA28" s="11">
        <v>0.30599999999999999</v>
      </c>
      <c r="BB28" s="24">
        <v>0.42899999999999999</v>
      </c>
      <c r="BC28" s="24">
        <v>0.35699999999999998</v>
      </c>
      <c r="BD28" s="24">
        <v>0.35699999999999998</v>
      </c>
      <c r="BE28" s="24">
        <v>0.30499999999999999</v>
      </c>
      <c r="BF28" s="24">
        <v>0.30499999999999999</v>
      </c>
      <c r="BG28" s="24"/>
      <c r="BH28" s="24"/>
      <c r="BI28" s="24"/>
      <c r="BJ28" s="16">
        <v>0</v>
      </c>
      <c r="BK28" s="16" t="s">
        <v>352</v>
      </c>
      <c r="BL28" s="18">
        <v>0</v>
      </c>
      <c r="BM28" s="16"/>
      <c r="BN28" s="11"/>
      <c r="BO28" s="11"/>
      <c r="BP28" s="11">
        <f>10/28</f>
        <v>0.35714285714285715</v>
      </c>
      <c r="BQ28" s="11"/>
      <c r="BR28" s="11">
        <v>0.35699999999999998</v>
      </c>
      <c r="BS28" s="11"/>
      <c r="BT28" s="11">
        <v>0.30599999999999999</v>
      </c>
    </row>
    <row r="29" spans="1:72" ht="20" customHeight="1" x14ac:dyDescent="0.2">
      <c r="A29" s="11">
        <v>27</v>
      </c>
      <c r="B29" s="11" t="s">
        <v>158</v>
      </c>
      <c r="C29" s="11">
        <v>2015</v>
      </c>
      <c r="D29" s="11" t="s">
        <v>4</v>
      </c>
      <c r="E29" s="11" t="s">
        <v>23</v>
      </c>
      <c r="F29" s="15" t="s">
        <v>163</v>
      </c>
      <c r="G29" s="15" t="s">
        <v>513</v>
      </c>
      <c r="H29" s="54">
        <v>0</v>
      </c>
      <c r="I29" s="49"/>
      <c r="J29" s="49"/>
      <c r="K29" s="49"/>
      <c r="L29" s="49"/>
      <c r="M29" s="49"/>
      <c r="N29" s="49"/>
      <c r="O29" s="49"/>
      <c r="P29" s="11">
        <v>1</v>
      </c>
      <c r="Q29" s="11">
        <v>129</v>
      </c>
      <c r="R29" s="11">
        <v>0.99</v>
      </c>
      <c r="S29" s="11" t="s">
        <v>162</v>
      </c>
      <c r="T29" s="11">
        <f>95/129</f>
        <v>0.73643410852713176</v>
      </c>
      <c r="U29" s="11">
        <f>34/129</f>
        <v>0.26356589147286824</v>
      </c>
      <c r="V29" s="11">
        <f>56/129</f>
        <v>0.43410852713178294</v>
      </c>
      <c r="W29" s="11">
        <f>9/129</f>
        <v>6.9767441860465115E-2</v>
      </c>
      <c r="X29" s="11">
        <f>91/129</f>
        <v>0.70542635658914732</v>
      </c>
      <c r="Y29" s="11">
        <v>0</v>
      </c>
      <c r="Z29" s="11">
        <v>0</v>
      </c>
      <c r="AA29" s="11">
        <v>1</v>
      </c>
      <c r="AB29" s="11">
        <f>45/129</f>
        <v>0.34883720930232559</v>
      </c>
      <c r="AC29" s="11">
        <v>1</v>
      </c>
      <c r="AD29" s="11">
        <f>97/129</f>
        <v>0.75193798449612403</v>
      </c>
      <c r="AE29" s="11"/>
      <c r="AF29" s="11"/>
      <c r="AG29" s="11" t="s">
        <v>105</v>
      </c>
      <c r="AH29" s="11" t="s">
        <v>159</v>
      </c>
      <c r="AI29" s="11"/>
      <c r="AJ29" s="11" t="s">
        <v>160</v>
      </c>
      <c r="AK29" s="11" t="s">
        <v>65</v>
      </c>
      <c r="AL29" s="11" t="s">
        <v>367</v>
      </c>
      <c r="AM29" s="11" t="s">
        <v>350</v>
      </c>
      <c r="AN29" s="11" t="s">
        <v>161</v>
      </c>
      <c r="AO29" s="11" t="s">
        <v>164</v>
      </c>
      <c r="AP29" s="11" t="s">
        <v>296</v>
      </c>
      <c r="AQ29" s="13" t="s">
        <v>165</v>
      </c>
      <c r="AR29" s="13">
        <f>30/129</f>
        <v>0.23255813953488372</v>
      </c>
      <c r="AS29" s="13">
        <v>52</v>
      </c>
      <c r="AT29" s="23" t="s">
        <v>368</v>
      </c>
      <c r="AU29" s="11">
        <f>28/129</f>
        <v>0.21705426356589147</v>
      </c>
      <c r="AV29" s="11">
        <f t="shared" si="1"/>
        <v>0.78294573643410859</v>
      </c>
      <c r="AW29" s="11">
        <f>89/129</f>
        <v>0.68992248062015504</v>
      </c>
      <c r="AX29" s="11">
        <f>44/129</f>
        <v>0.34108527131782945</v>
      </c>
      <c r="AY29" s="11">
        <f>29/129</f>
        <v>0.22480620155038761</v>
      </c>
      <c r="AZ29" s="11"/>
      <c r="BA29" s="11">
        <f>19/129</f>
        <v>0.14728682170542637</v>
      </c>
      <c r="BB29" s="24">
        <v>0.71699999999999997</v>
      </c>
      <c r="BC29" s="24">
        <v>0.42799999999999999</v>
      </c>
      <c r="BD29" s="24">
        <v>0.25800000000000001</v>
      </c>
      <c r="BE29" s="24">
        <v>0.216</v>
      </c>
      <c r="BF29" s="24">
        <v>0.19600000000000001</v>
      </c>
      <c r="BG29" s="24"/>
      <c r="BH29" s="24"/>
      <c r="BI29" s="24"/>
      <c r="BJ29" s="16">
        <f>2/129</f>
        <v>1.5503875968992248E-2</v>
      </c>
      <c r="BK29" s="16" t="s">
        <v>276</v>
      </c>
      <c r="BL29" s="18">
        <v>2</v>
      </c>
      <c r="BM29" s="16" t="s">
        <v>369</v>
      </c>
      <c r="BN29" s="11"/>
      <c r="BO29" s="11"/>
      <c r="BP29" s="11">
        <f>89/129</f>
        <v>0.68992248062015504</v>
      </c>
      <c r="BQ29" s="11">
        <f>44/129</f>
        <v>0.34108527131782945</v>
      </c>
      <c r="BR29" s="11">
        <f>29/129</f>
        <v>0.22480620155038761</v>
      </c>
      <c r="BS29" s="11"/>
      <c r="BT29" s="11">
        <f>19/129</f>
        <v>0.14728682170542637</v>
      </c>
    </row>
    <row r="30" spans="1:72" x14ac:dyDescent="0.2">
      <c r="A30" s="11">
        <v>52</v>
      </c>
      <c r="B30" s="38" t="s">
        <v>467</v>
      </c>
      <c r="C30" s="11">
        <v>2017</v>
      </c>
      <c r="D30" s="11"/>
      <c r="E30" s="11"/>
      <c r="F30" s="15" t="s">
        <v>468</v>
      </c>
      <c r="G30" s="57"/>
      <c r="H30" s="54">
        <v>1</v>
      </c>
      <c r="I30" s="51">
        <v>1</v>
      </c>
      <c r="J30" s="51">
        <v>67.900000000000006</v>
      </c>
      <c r="K30" s="51" t="s">
        <v>466</v>
      </c>
      <c r="L30" s="55"/>
      <c r="M30" s="51">
        <v>2017</v>
      </c>
      <c r="N30" s="55"/>
      <c r="O30" s="51" t="s">
        <v>479</v>
      </c>
      <c r="P30" s="11">
        <v>1</v>
      </c>
      <c r="Q30" s="11">
        <v>94</v>
      </c>
      <c r="R30" s="11">
        <v>1</v>
      </c>
      <c r="S30" s="11">
        <v>67.900000000000006</v>
      </c>
      <c r="T30" s="11">
        <f>65/94</f>
        <v>0.69148936170212771</v>
      </c>
      <c r="U30" s="11">
        <f>29/94</f>
        <v>0.30851063829787234</v>
      </c>
      <c r="V30" s="11">
        <f>42/94</f>
        <v>0.44680851063829785</v>
      </c>
      <c r="W30" s="11">
        <f>4/94</f>
        <v>4.2553191489361701E-2</v>
      </c>
      <c r="X30" s="11">
        <f>68/94</f>
        <v>0.72340425531914898</v>
      </c>
      <c r="Y30" s="11">
        <f>17/94</f>
        <v>0.18085106382978725</v>
      </c>
      <c r="Z30" s="11">
        <v>0</v>
      </c>
      <c r="AA30" s="11">
        <f>1-Y30</f>
        <v>0.81914893617021278</v>
      </c>
      <c r="AB30" s="11"/>
      <c r="AC30" s="11">
        <v>1</v>
      </c>
      <c r="AD30" s="11">
        <v>1</v>
      </c>
      <c r="AE30" s="11"/>
      <c r="AF30" s="11">
        <v>1</v>
      </c>
      <c r="AG30" s="11" t="s">
        <v>105</v>
      </c>
      <c r="AH30" s="11" t="s">
        <v>159</v>
      </c>
      <c r="AI30" s="11"/>
      <c r="AJ30" s="11" t="s">
        <v>160</v>
      </c>
      <c r="AK30" s="11" t="s">
        <v>91</v>
      </c>
      <c r="AL30" s="11" t="s">
        <v>367</v>
      </c>
      <c r="AM30" s="11" t="s">
        <v>350</v>
      </c>
      <c r="AN30" s="11" t="s">
        <v>161</v>
      </c>
      <c r="AO30" s="11"/>
      <c r="AP30" s="11" t="s">
        <v>296</v>
      </c>
      <c r="AQ30" s="13" t="s">
        <v>469</v>
      </c>
      <c r="AR30" s="13">
        <f>46/94</f>
        <v>0.48936170212765956</v>
      </c>
      <c r="AS30" s="13">
        <v>6</v>
      </c>
      <c r="AT30" s="23"/>
      <c r="AU30" s="11"/>
      <c r="AV30" s="11">
        <f t="shared" si="1"/>
        <v>1</v>
      </c>
      <c r="AW30" s="11"/>
      <c r="AX30" s="11">
        <f>46/94</f>
        <v>0.48936170212765956</v>
      </c>
      <c r="AY30" s="11">
        <f>33/94</f>
        <v>0.35106382978723405</v>
      </c>
      <c r="AZ30" s="11"/>
      <c r="BA30" s="11">
        <f>27/94</f>
        <v>0.28723404255319152</v>
      </c>
      <c r="BB30" s="15"/>
      <c r="BC30" s="15"/>
      <c r="BD30" s="15"/>
      <c r="BE30" s="15"/>
      <c r="BF30" s="15"/>
      <c r="BG30" s="15"/>
      <c r="BH30" s="15"/>
      <c r="BI30" s="15"/>
      <c r="BJ30" s="16" t="s">
        <v>23</v>
      </c>
      <c r="BK30" s="17"/>
      <c r="BL30" s="18"/>
      <c r="BM30" s="17"/>
      <c r="BN30" s="11"/>
      <c r="BO30" s="11"/>
      <c r="BP30" s="11"/>
      <c r="BQ30" s="11"/>
      <c r="BR30" s="11"/>
      <c r="BS30" s="11"/>
      <c r="BT30" s="11"/>
    </row>
    <row r="31" spans="1:72" ht="20" customHeight="1" x14ac:dyDescent="0.2">
      <c r="A31" s="11">
        <v>28</v>
      </c>
      <c r="B31" s="11" t="s">
        <v>166</v>
      </c>
      <c r="C31" s="11">
        <v>2016</v>
      </c>
      <c r="D31" s="11" t="s">
        <v>167</v>
      </c>
      <c r="E31" s="11" t="s">
        <v>23</v>
      </c>
      <c r="F31" s="15" t="s">
        <v>104</v>
      </c>
      <c r="G31" s="15" t="s">
        <v>505</v>
      </c>
      <c r="H31" s="54">
        <v>1</v>
      </c>
      <c r="I31" s="51">
        <v>1</v>
      </c>
      <c r="J31" s="51">
        <v>76.2</v>
      </c>
      <c r="K31" s="51" t="s">
        <v>466</v>
      </c>
      <c r="L31" s="51" t="s">
        <v>105</v>
      </c>
      <c r="M31" s="51">
        <v>2016</v>
      </c>
      <c r="N31" s="51" t="s">
        <v>46</v>
      </c>
      <c r="O31" s="51" t="s">
        <v>479</v>
      </c>
      <c r="P31" s="11">
        <v>1</v>
      </c>
      <c r="Q31" s="11">
        <v>7</v>
      </c>
      <c r="R31" s="11">
        <v>1</v>
      </c>
      <c r="S31" s="11">
        <v>76.2</v>
      </c>
      <c r="T31" s="11">
        <v>1</v>
      </c>
      <c r="U31" s="11">
        <v>0</v>
      </c>
      <c r="V31" s="11">
        <f>4/7</f>
        <v>0.5714285714285714</v>
      </c>
      <c r="W31" s="11">
        <f>1/7</f>
        <v>0.14285714285714285</v>
      </c>
      <c r="X31" s="11">
        <f>5/7</f>
        <v>0.7142857142857143</v>
      </c>
      <c r="Y31" s="11">
        <v>0</v>
      </c>
      <c r="Z31" s="11">
        <v>0</v>
      </c>
      <c r="AA31" s="11">
        <v>1</v>
      </c>
      <c r="AB31" s="11"/>
      <c r="AC31" s="11">
        <v>1</v>
      </c>
      <c r="AD31" s="11">
        <v>1</v>
      </c>
      <c r="AE31" s="11"/>
      <c r="AF31" s="11">
        <v>1</v>
      </c>
      <c r="AG31" s="11" t="s">
        <v>105</v>
      </c>
      <c r="AH31" s="11" t="s">
        <v>371</v>
      </c>
      <c r="AI31" s="11"/>
      <c r="AJ31" s="11" t="s">
        <v>372</v>
      </c>
      <c r="AK31" s="11" t="s">
        <v>65</v>
      </c>
      <c r="AL31" s="11" t="s">
        <v>370</v>
      </c>
      <c r="AM31" s="11" t="s">
        <v>318</v>
      </c>
      <c r="AN31" s="11" t="s">
        <v>54</v>
      </c>
      <c r="AO31" s="11" t="s">
        <v>169</v>
      </c>
      <c r="AP31" s="11" t="s">
        <v>296</v>
      </c>
      <c r="AQ31" s="13" t="s">
        <v>170</v>
      </c>
      <c r="AR31" s="13">
        <f xml:space="preserve"> 2/7</f>
        <v>0.2857142857142857</v>
      </c>
      <c r="AS31" s="13">
        <v>3</v>
      </c>
      <c r="AT31" s="23" t="s">
        <v>91</v>
      </c>
      <c r="AU31" s="11">
        <f>1/7</f>
        <v>0.14285714285714285</v>
      </c>
      <c r="AV31" s="11">
        <f t="shared" si="1"/>
        <v>0.85714285714285721</v>
      </c>
      <c r="AW31" s="11">
        <f>2/7</f>
        <v>0.2857142857142857</v>
      </c>
      <c r="AX31" s="11">
        <f>1/7</f>
        <v>0.14285714285714285</v>
      </c>
      <c r="AY31" s="11">
        <v>0</v>
      </c>
      <c r="AZ31" s="11"/>
      <c r="BA31" s="11">
        <v>0</v>
      </c>
      <c r="BB31" s="15"/>
      <c r="BC31" s="15"/>
      <c r="BD31" s="15"/>
      <c r="BE31" s="15"/>
      <c r="BF31" s="15"/>
      <c r="BG31" s="15"/>
      <c r="BH31" s="15"/>
      <c r="BI31" s="15"/>
      <c r="BJ31" s="16"/>
      <c r="BK31" s="17"/>
      <c r="BL31" s="18"/>
      <c r="BM31" s="17"/>
      <c r="BN31" s="11"/>
      <c r="BO31" s="11"/>
      <c r="BP31" s="11">
        <f>2/7</f>
        <v>0.2857142857142857</v>
      </c>
      <c r="BQ31" s="11">
        <f>1/7</f>
        <v>0.14285714285714285</v>
      </c>
      <c r="BR31" s="11">
        <v>0</v>
      </c>
      <c r="BS31" s="11"/>
      <c r="BT31" s="11">
        <v>0</v>
      </c>
    </row>
    <row r="32" spans="1:72" ht="20" customHeight="1" x14ac:dyDescent="0.2">
      <c r="A32" s="11">
        <v>29</v>
      </c>
      <c r="B32" s="19" t="s">
        <v>171</v>
      </c>
      <c r="C32" s="11">
        <v>1998</v>
      </c>
      <c r="D32" s="11" t="s">
        <v>4</v>
      </c>
      <c r="E32" s="11" t="s">
        <v>23</v>
      </c>
      <c r="F32" s="15" t="s">
        <v>177</v>
      </c>
      <c r="G32" s="15" t="s">
        <v>499</v>
      </c>
      <c r="H32" s="54">
        <v>1</v>
      </c>
      <c r="I32" s="51">
        <v>0</v>
      </c>
      <c r="J32" s="51">
        <v>64.5</v>
      </c>
      <c r="K32" s="51" t="s">
        <v>480</v>
      </c>
      <c r="L32" s="51" t="s">
        <v>48</v>
      </c>
      <c r="M32" s="51">
        <v>1998</v>
      </c>
      <c r="N32" s="51" t="s">
        <v>92</v>
      </c>
      <c r="O32" s="51" t="s">
        <v>479</v>
      </c>
      <c r="P32" s="11">
        <v>0</v>
      </c>
      <c r="Q32" s="11">
        <v>36</v>
      </c>
      <c r="R32" s="11">
        <v>1</v>
      </c>
      <c r="S32" s="11" t="s">
        <v>172</v>
      </c>
      <c r="T32" s="11">
        <f>25/36</f>
        <v>0.69444444444444442</v>
      </c>
      <c r="U32" s="11">
        <f>11/36</f>
        <v>0.30555555555555558</v>
      </c>
      <c r="V32" s="11"/>
      <c r="W32" s="11"/>
      <c r="X32" s="11">
        <v>1</v>
      </c>
      <c r="Y32" s="11">
        <v>0</v>
      </c>
      <c r="Z32" s="11">
        <v>0</v>
      </c>
      <c r="AA32" s="11">
        <v>1</v>
      </c>
      <c r="AB32" s="11">
        <f>22/36</f>
        <v>0.61111111111111116</v>
      </c>
      <c r="AC32" s="11">
        <v>1</v>
      </c>
      <c r="AD32" s="11">
        <v>0.5</v>
      </c>
      <c r="AE32" s="11"/>
      <c r="AF32" s="11"/>
      <c r="AG32" s="11" t="s">
        <v>48</v>
      </c>
      <c r="AH32" s="11" t="s">
        <v>173</v>
      </c>
      <c r="AI32" s="11"/>
      <c r="AJ32" s="11" t="s">
        <v>69</v>
      </c>
      <c r="AK32" s="11" t="s">
        <v>65</v>
      </c>
      <c r="AL32" s="11" t="s">
        <v>370</v>
      </c>
      <c r="AM32" s="11" t="s">
        <v>360</v>
      </c>
      <c r="AN32" s="11" t="s">
        <v>54</v>
      </c>
      <c r="AO32" s="11" t="s">
        <v>175</v>
      </c>
      <c r="AP32" s="11" t="s">
        <v>296</v>
      </c>
      <c r="AQ32" s="13" t="s">
        <v>174</v>
      </c>
      <c r="AR32" s="13">
        <f xml:space="preserve"> 21/36</f>
        <v>0.58333333333333337</v>
      </c>
      <c r="AS32" s="13">
        <v>3</v>
      </c>
      <c r="AT32" s="23" t="s">
        <v>176</v>
      </c>
      <c r="AU32" s="11">
        <f>8/36</f>
        <v>0.22222222222222221</v>
      </c>
      <c r="AV32" s="11">
        <f t="shared" si="1"/>
        <v>0.77777777777777779</v>
      </c>
      <c r="AW32" s="11">
        <f>21/36</f>
        <v>0.58333333333333337</v>
      </c>
      <c r="AX32" s="11"/>
      <c r="AY32" s="11">
        <f>11/36</f>
        <v>0.30555555555555558</v>
      </c>
      <c r="AZ32" s="11"/>
      <c r="BA32" s="11"/>
      <c r="BB32" s="15"/>
      <c r="BC32" s="15"/>
      <c r="BD32" s="15"/>
      <c r="BE32" s="15"/>
      <c r="BF32" s="15"/>
      <c r="BG32" s="15"/>
      <c r="BH32" s="15"/>
      <c r="BI32" s="15"/>
      <c r="BJ32" s="16" t="s">
        <v>374</v>
      </c>
      <c r="BK32" s="16" t="s">
        <v>373</v>
      </c>
      <c r="BL32" s="18"/>
      <c r="BM32" s="17" t="s">
        <v>375</v>
      </c>
      <c r="BN32" s="11"/>
      <c r="BO32" s="11"/>
      <c r="BP32" s="11">
        <f>21/36</f>
        <v>0.58333333333333337</v>
      </c>
      <c r="BQ32" s="11"/>
      <c r="BR32" s="11">
        <f>11/36</f>
        <v>0.30555555555555558</v>
      </c>
      <c r="BS32" s="11"/>
      <c r="BT32" s="11"/>
    </row>
    <row r="33" spans="1:72" ht="20" customHeight="1" x14ac:dyDescent="0.2">
      <c r="A33" s="11">
        <v>30</v>
      </c>
      <c r="B33" s="17" t="s">
        <v>178</v>
      </c>
      <c r="C33" s="11">
        <v>2018</v>
      </c>
      <c r="D33" s="11" t="s">
        <v>4</v>
      </c>
      <c r="E33" s="11" t="s">
        <v>376</v>
      </c>
      <c r="F33" s="15" t="s">
        <v>60</v>
      </c>
      <c r="G33" s="15" t="s">
        <v>527</v>
      </c>
      <c r="H33" s="54">
        <v>1</v>
      </c>
      <c r="I33" s="51">
        <v>1</v>
      </c>
      <c r="J33" s="51">
        <v>72</v>
      </c>
      <c r="K33" s="51"/>
      <c r="L33" s="51" t="s">
        <v>105</v>
      </c>
      <c r="M33" s="51">
        <v>2018</v>
      </c>
      <c r="N33" s="51" t="s">
        <v>92</v>
      </c>
      <c r="O33" s="51" t="s">
        <v>479</v>
      </c>
      <c r="P33" s="11">
        <v>1</v>
      </c>
      <c r="Q33" s="11">
        <v>45</v>
      </c>
      <c r="R33" s="11">
        <v>1</v>
      </c>
      <c r="S33" s="11">
        <v>72</v>
      </c>
      <c r="T33" s="11">
        <f>54/67</f>
        <v>0.80597014925373134</v>
      </c>
      <c r="U33" s="11">
        <f>13/67</f>
        <v>0.19402985074626866</v>
      </c>
      <c r="V33" s="11">
        <f>14/45</f>
        <v>0.31111111111111112</v>
      </c>
      <c r="W33" s="11">
        <f>7/45</f>
        <v>0.15555555555555556</v>
      </c>
      <c r="X33" s="11">
        <f>36/45</f>
        <v>0.8</v>
      </c>
      <c r="Y33" s="11">
        <v>0</v>
      </c>
      <c r="Z33" s="11">
        <v>0</v>
      </c>
      <c r="AA33" s="11">
        <v>1</v>
      </c>
      <c r="AB33" s="11"/>
      <c r="AC33" s="11">
        <v>1</v>
      </c>
      <c r="AD33" s="11" t="s">
        <v>23</v>
      </c>
      <c r="AE33" s="11"/>
      <c r="AF33" s="11"/>
      <c r="AG33" s="11" t="s">
        <v>105</v>
      </c>
      <c r="AH33" s="11" t="s">
        <v>181</v>
      </c>
      <c r="AI33" s="11"/>
      <c r="AJ33" s="11" t="s">
        <v>179</v>
      </c>
      <c r="AK33" s="11" t="s">
        <v>65</v>
      </c>
      <c r="AL33" s="11" t="s">
        <v>355</v>
      </c>
      <c r="AM33" s="11" t="s">
        <v>377</v>
      </c>
      <c r="AN33" s="11" t="s">
        <v>464</v>
      </c>
      <c r="AO33" s="11" t="s">
        <v>182</v>
      </c>
      <c r="AP33" s="11" t="s">
        <v>296</v>
      </c>
      <c r="AQ33" s="13" t="s">
        <v>465</v>
      </c>
      <c r="AR33" s="39">
        <f>21/45</f>
        <v>0.46666666666666667</v>
      </c>
      <c r="AS33" s="13">
        <v>6</v>
      </c>
      <c r="AT33" s="23" t="s">
        <v>42</v>
      </c>
      <c r="AU33" s="11">
        <f>2/45</f>
        <v>4.4444444444444446E-2</v>
      </c>
      <c r="AV33" s="11">
        <f t="shared" si="1"/>
        <v>0.9555555555555556</v>
      </c>
      <c r="AW33" s="11"/>
      <c r="AX33" s="11">
        <f>21/45</f>
        <v>0.46666666666666667</v>
      </c>
      <c r="AY33" s="11">
        <f>18/61</f>
        <v>0.29508196721311475</v>
      </c>
      <c r="AZ33" s="11"/>
      <c r="BA33" s="11"/>
      <c r="BB33" s="15"/>
      <c r="BC33" s="15"/>
      <c r="BD33" s="15"/>
      <c r="BE33" s="15"/>
      <c r="BF33" s="15"/>
      <c r="BG33" s="15"/>
      <c r="BH33" s="15"/>
      <c r="BI33" s="15"/>
      <c r="BJ33" s="16">
        <f>2/67</f>
        <v>2.9850746268656716E-2</v>
      </c>
      <c r="BK33" s="16" t="s">
        <v>378</v>
      </c>
      <c r="BL33" s="18">
        <v>0</v>
      </c>
      <c r="BM33" s="17"/>
      <c r="BN33" s="11" t="s">
        <v>180</v>
      </c>
      <c r="BO33" s="11"/>
      <c r="BP33" s="11"/>
      <c r="BQ33" s="11">
        <f>21/45</f>
        <v>0.46666666666666667</v>
      </c>
      <c r="BR33" s="11"/>
      <c r="BS33" s="11"/>
      <c r="BT33" s="11"/>
    </row>
    <row r="34" spans="1:72" ht="20" customHeight="1" x14ac:dyDescent="0.2">
      <c r="A34" s="11">
        <v>31</v>
      </c>
      <c r="B34" s="11" t="s">
        <v>183</v>
      </c>
      <c r="C34" s="11">
        <v>2010</v>
      </c>
      <c r="D34" s="11" t="s">
        <v>4</v>
      </c>
      <c r="E34" s="11" t="s">
        <v>379</v>
      </c>
      <c r="F34" s="15" t="s">
        <v>34</v>
      </c>
      <c r="G34" s="15" t="s">
        <v>515</v>
      </c>
      <c r="H34" s="54">
        <v>1</v>
      </c>
      <c r="I34" s="51">
        <v>0</v>
      </c>
      <c r="J34" s="51">
        <v>68.3</v>
      </c>
      <c r="K34" s="51" t="s">
        <v>477</v>
      </c>
      <c r="L34" s="51" t="s">
        <v>105</v>
      </c>
      <c r="M34" s="51">
        <v>2010</v>
      </c>
      <c r="N34" s="51" t="s">
        <v>92</v>
      </c>
      <c r="O34" s="51" t="s">
        <v>479</v>
      </c>
      <c r="P34" s="11">
        <v>0</v>
      </c>
      <c r="Q34" s="11">
        <v>20</v>
      </c>
      <c r="R34" s="11">
        <v>1</v>
      </c>
      <c r="S34" s="11" t="s">
        <v>188</v>
      </c>
      <c r="T34" s="11">
        <f>13/20</f>
        <v>0.65</v>
      </c>
      <c r="U34" s="11">
        <f>7/20</f>
        <v>0.35</v>
      </c>
      <c r="V34" s="11">
        <f>4/20</f>
        <v>0.2</v>
      </c>
      <c r="W34" s="11">
        <f>16/20</f>
        <v>0.8</v>
      </c>
      <c r="X34" s="11">
        <f>7/20</f>
        <v>0.35</v>
      </c>
      <c r="Y34" s="11">
        <f>5/20</f>
        <v>0.25</v>
      </c>
      <c r="Z34" s="11">
        <v>0</v>
      </c>
      <c r="AA34" s="11">
        <f>15/20</f>
        <v>0.75</v>
      </c>
      <c r="AB34" s="11"/>
      <c r="AC34" s="11">
        <v>1</v>
      </c>
      <c r="AD34" s="11">
        <v>1</v>
      </c>
      <c r="AE34" s="11"/>
      <c r="AF34" s="11">
        <v>1</v>
      </c>
      <c r="AG34" s="11" t="s">
        <v>105</v>
      </c>
      <c r="AH34" s="11" t="s">
        <v>186</v>
      </c>
      <c r="AI34" s="11"/>
      <c r="AJ34" s="11" t="s">
        <v>184</v>
      </c>
      <c r="AK34" s="11" t="s">
        <v>65</v>
      </c>
      <c r="AL34" s="11" t="s">
        <v>384</v>
      </c>
      <c r="AM34" s="11" t="s">
        <v>360</v>
      </c>
      <c r="AN34" s="11" t="s">
        <v>380</v>
      </c>
      <c r="AO34" s="11" t="s">
        <v>80</v>
      </c>
      <c r="AP34" s="11" t="s">
        <v>296</v>
      </c>
      <c r="AQ34" s="13" t="s">
        <v>187</v>
      </c>
      <c r="AR34" s="13">
        <f>15/20</f>
        <v>0.75</v>
      </c>
      <c r="AS34" s="13">
        <v>3</v>
      </c>
      <c r="AT34" s="23" t="s">
        <v>185</v>
      </c>
      <c r="AU34" s="11">
        <f>5/20</f>
        <v>0.25</v>
      </c>
      <c r="AV34" s="11">
        <f t="shared" si="1"/>
        <v>0.75</v>
      </c>
      <c r="AW34" s="11">
        <f>15/20</f>
        <v>0.75</v>
      </c>
      <c r="AX34" s="11">
        <f>13/20</f>
        <v>0.65</v>
      </c>
      <c r="AY34" s="11">
        <f>10/20</f>
        <v>0.5</v>
      </c>
      <c r="AZ34" s="11">
        <f>8/20</f>
        <v>0.4</v>
      </c>
      <c r="BA34" s="11">
        <f>7/20</f>
        <v>0.35</v>
      </c>
      <c r="BB34" s="24">
        <v>0.88500000000000001</v>
      </c>
      <c r="BC34" s="24">
        <v>0.66300000000000003</v>
      </c>
      <c r="BD34" s="27">
        <v>0.5</v>
      </c>
      <c r="BE34" s="24">
        <v>0.44900000000000001</v>
      </c>
      <c r="BF34" s="24">
        <v>0.373</v>
      </c>
      <c r="BG34" s="24"/>
      <c r="BH34" s="24"/>
      <c r="BI34" s="24"/>
      <c r="BJ34" s="16">
        <f>3/20</f>
        <v>0.15</v>
      </c>
      <c r="BK34" s="16" t="s">
        <v>352</v>
      </c>
      <c r="BL34" s="18">
        <v>3</v>
      </c>
      <c r="BM34" s="16" t="s">
        <v>381</v>
      </c>
      <c r="BN34" s="11"/>
      <c r="BO34" s="11"/>
      <c r="BP34" s="11">
        <f>15/20</f>
        <v>0.75</v>
      </c>
      <c r="BQ34" s="11">
        <f>13/20</f>
        <v>0.65</v>
      </c>
      <c r="BR34" s="11">
        <f>10/20</f>
        <v>0.5</v>
      </c>
      <c r="BS34" s="11">
        <f>8/20</f>
        <v>0.4</v>
      </c>
      <c r="BT34" s="11">
        <f>7/20</f>
        <v>0.35</v>
      </c>
    </row>
    <row r="35" spans="1:72" ht="20" customHeight="1" x14ac:dyDescent="0.2">
      <c r="A35" s="11">
        <v>32</v>
      </c>
      <c r="B35" s="11" t="s">
        <v>191</v>
      </c>
      <c r="C35" s="11">
        <v>2013</v>
      </c>
      <c r="D35" s="11" t="s">
        <v>4</v>
      </c>
      <c r="E35" s="11" t="s">
        <v>23</v>
      </c>
      <c r="F35" s="15" t="s">
        <v>34</v>
      </c>
      <c r="G35" s="15" t="s">
        <v>510</v>
      </c>
      <c r="H35" s="54">
        <v>1</v>
      </c>
      <c r="I35" s="51">
        <v>0</v>
      </c>
      <c r="J35" s="51">
        <v>70</v>
      </c>
      <c r="K35" s="51" t="s">
        <v>477</v>
      </c>
      <c r="L35" s="51" t="s">
        <v>105</v>
      </c>
      <c r="M35" s="51">
        <v>2013</v>
      </c>
      <c r="N35" s="51" t="s">
        <v>92</v>
      </c>
      <c r="O35" s="51" t="s">
        <v>479</v>
      </c>
      <c r="P35" s="11">
        <v>0</v>
      </c>
      <c r="Q35" s="11">
        <v>47</v>
      </c>
      <c r="R35" s="11">
        <v>1</v>
      </c>
      <c r="S35" s="11">
        <v>70</v>
      </c>
      <c r="T35" s="11">
        <f>33/47</f>
        <v>0.7021276595744681</v>
      </c>
      <c r="U35" s="11">
        <f>14/47</f>
        <v>0.2978723404255319</v>
      </c>
      <c r="V35" s="11">
        <f>17/47</f>
        <v>0.36170212765957449</v>
      </c>
      <c r="W35" s="11">
        <f>2/47</f>
        <v>4.2553191489361701E-2</v>
      </c>
      <c r="X35" s="11">
        <f>28/47</f>
        <v>0.5957446808510638</v>
      </c>
      <c r="Y35" s="11">
        <f>5/47</f>
        <v>0.10638297872340426</v>
      </c>
      <c r="Z35" s="11">
        <v>0</v>
      </c>
      <c r="AA35" s="11">
        <f>42/47</f>
        <v>0.8936170212765957</v>
      </c>
      <c r="AB35" s="11"/>
      <c r="AC35" s="11">
        <v>1</v>
      </c>
      <c r="AD35" s="11">
        <v>1</v>
      </c>
      <c r="AE35" s="11"/>
      <c r="AF35" s="11">
        <v>1</v>
      </c>
      <c r="AG35" s="11" t="s">
        <v>105</v>
      </c>
      <c r="AH35" s="11" t="s">
        <v>192</v>
      </c>
      <c r="AI35" s="11"/>
      <c r="AJ35" s="11" t="s">
        <v>193</v>
      </c>
      <c r="AK35" s="11" t="s">
        <v>65</v>
      </c>
      <c r="AL35" s="11" t="s">
        <v>355</v>
      </c>
      <c r="AM35" s="11" t="s">
        <v>350</v>
      </c>
      <c r="AN35" s="11" t="s">
        <v>54</v>
      </c>
      <c r="AO35" s="11" t="s">
        <v>196</v>
      </c>
      <c r="AP35" s="11" t="s">
        <v>296</v>
      </c>
      <c r="AQ35" s="13" t="s">
        <v>194</v>
      </c>
      <c r="AR35" s="13">
        <f>20/47</f>
        <v>0.42553191489361702</v>
      </c>
      <c r="AS35" s="13">
        <v>3</v>
      </c>
      <c r="AT35" s="23" t="s">
        <v>195</v>
      </c>
      <c r="AU35" s="11">
        <f>3/47</f>
        <v>6.3829787234042548E-2</v>
      </c>
      <c r="AV35" s="11">
        <f t="shared" si="1"/>
        <v>0.93617021276595747</v>
      </c>
      <c r="AW35" s="11">
        <f>22/47</f>
        <v>0.46808510638297873</v>
      </c>
      <c r="AX35" s="11"/>
      <c r="AY35" s="11">
        <f>13/47</f>
        <v>0.27659574468085107</v>
      </c>
      <c r="AZ35" s="11"/>
      <c r="BA35" s="30">
        <v>0.21</v>
      </c>
      <c r="BB35" s="24">
        <v>0.59499999999999997</v>
      </c>
      <c r="BC35" s="24">
        <v>0.48899999999999999</v>
      </c>
      <c r="BD35" s="24">
        <v>0.27600000000000002</v>
      </c>
      <c r="BE35" s="24">
        <v>0.23300000000000001</v>
      </c>
      <c r="BF35" s="24">
        <v>0.21199999999999999</v>
      </c>
      <c r="BG35" s="24"/>
      <c r="BH35" s="24"/>
      <c r="BI35" s="24"/>
      <c r="BJ35" s="16">
        <f>3/55</f>
        <v>5.4545454545454543E-2</v>
      </c>
      <c r="BK35" s="16" t="s">
        <v>382</v>
      </c>
      <c r="BL35" s="24">
        <f>1/55</f>
        <v>1.8181818181818181E-2</v>
      </c>
      <c r="BM35" s="16" t="s">
        <v>383</v>
      </c>
      <c r="BN35" s="11"/>
      <c r="BO35" s="11"/>
      <c r="BP35" s="11">
        <f>22/47</f>
        <v>0.46808510638297873</v>
      </c>
      <c r="BQ35" s="11"/>
      <c r="BR35" s="11">
        <f>13/47</f>
        <v>0.27659574468085107</v>
      </c>
      <c r="BS35" s="11"/>
      <c r="BT35" s="30">
        <v>0.21</v>
      </c>
    </row>
    <row r="36" spans="1:72" ht="20" customHeight="1" x14ac:dyDescent="0.2">
      <c r="A36" s="11">
        <v>33</v>
      </c>
      <c r="B36" s="11" t="s">
        <v>199</v>
      </c>
      <c r="C36" s="11">
        <v>2017</v>
      </c>
      <c r="D36" s="11" t="s">
        <v>4</v>
      </c>
      <c r="E36" s="11" t="s">
        <v>385</v>
      </c>
      <c r="F36" s="15" t="s">
        <v>104</v>
      </c>
      <c r="G36" s="15" t="s">
        <v>512</v>
      </c>
      <c r="H36" s="54">
        <v>1</v>
      </c>
      <c r="I36" s="51">
        <v>1</v>
      </c>
      <c r="J36" s="51">
        <v>70.5</v>
      </c>
      <c r="K36" s="51" t="s">
        <v>466</v>
      </c>
      <c r="L36" s="51" t="s">
        <v>105</v>
      </c>
      <c r="M36" s="51">
        <v>2017</v>
      </c>
      <c r="N36" s="51" t="s">
        <v>92</v>
      </c>
      <c r="O36" s="51" t="s">
        <v>479</v>
      </c>
      <c r="P36" s="11">
        <v>1</v>
      </c>
      <c r="Q36" s="11">
        <v>40</v>
      </c>
      <c r="R36" s="11">
        <v>1</v>
      </c>
      <c r="S36" s="11">
        <v>70.5</v>
      </c>
      <c r="T36" s="11">
        <f>33/40</f>
        <v>0.82499999999999996</v>
      </c>
      <c r="U36" s="11">
        <f>7/40</f>
        <v>0.17499999999999999</v>
      </c>
      <c r="V36" s="11">
        <f>8/40</f>
        <v>0.2</v>
      </c>
      <c r="W36" s="11">
        <f>11/40</f>
        <v>0.27500000000000002</v>
      </c>
      <c r="X36" s="11">
        <f>30/40</f>
        <v>0.75</v>
      </c>
      <c r="Y36" s="11">
        <v>0</v>
      </c>
      <c r="Z36" s="11">
        <v>0</v>
      </c>
      <c r="AA36" s="11">
        <v>1</v>
      </c>
      <c r="AB36" s="11"/>
      <c r="AC36" s="11">
        <v>1</v>
      </c>
      <c r="AD36" s="15">
        <f>38/40</f>
        <v>0.95</v>
      </c>
      <c r="AE36" s="11"/>
      <c r="AF36" s="11">
        <v>1</v>
      </c>
      <c r="AG36" s="11" t="s">
        <v>105</v>
      </c>
      <c r="AH36" s="11" t="s">
        <v>202</v>
      </c>
      <c r="AI36" s="11"/>
      <c r="AJ36" s="11" t="s">
        <v>203</v>
      </c>
      <c r="AK36" s="11" t="s">
        <v>91</v>
      </c>
      <c r="AL36" s="11" t="s">
        <v>386</v>
      </c>
      <c r="AM36" s="11" t="s">
        <v>387</v>
      </c>
      <c r="AN36" s="11" t="s">
        <v>200</v>
      </c>
      <c r="AO36" s="11" t="s">
        <v>175</v>
      </c>
      <c r="AP36" s="11" t="s">
        <v>296</v>
      </c>
      <c r="AQ36" s="13" t="s">
        <v>204</v>
      </c>
      <c r="AR36" s="13">
        <f>14/40</f>
        <v>0.35</v>
      </c>
      <c r="AS36" s="13">
        <v>12</v>
      </c>
      <c r="AT36" s="23" t="s">
        <v>201</v>
      </c>
      <c r="AU36" s="40">
        <f>2/40</f>
        <v>0.05</v>
      </c>
      <c r="AV36" s="11">
        <f t="shared" si="1"/>
        <v>0.95</v>
      </c>
      <c r="AW36" s="11">
        <f>23/40</f>
        <v>0.57499999999999996</v>
      </c>
      <c r="AX36" s="11">
        <f>17/40</f>
        <v>0.42499999999999999</v>
      </c>
      <c r="AY36" s="11">
        <f>14/40</f>
        <v>0.35</v>
      </c>
      <c r="AZ36" s="11"/>
      <c r="BA36" s="11"/>
      <c r="BB36" s="24"/>
      <c r="BC36" s="24"/>
      <c r="BD36" s="24"/>
      <c r="BE36" s="24"/>
      <c r="BF36" s="24"/>
      <c r="BG36" s="24"/>
      <c r="BH36" s="24"/>
      <c r="BI36" s="24"/>
      <c r="BJ36" s="16">
        <f>5/40</f>
        <v>0.125</v>
      </c>
      <c r="BK36" s="16" t="s">
        <v>388</v>
      </c>
      <c r="BL36" s="18">
        <v>0</v>
      </c>
      <c r="BM36" s="16" t="s">
        <v>389</v>
      </c>
      <c r="BN36" s="11"/>
      <c r="BO36" s="11"/>
      <c r="BP36" s="11">
        <f>23/40</f>
        <v>0.57499999999999996</v>
      </c>
      <c r="BQ36" s="11">
        <f>17/40</f>
        <v>0.42499999999999999</v>
      </c>
      <c r="BR36" s="11">
        <f>14/40</f>
        <v>0.35</v>
      </c>
      <c r="BS36" s="11"/>
      <c r="BT36" s="11"/>
    </row>
    <row r="37" spans="1:72" ht="20" customHeight="1" x14ac:dyDescent="0.2">
      <c r="A37" s="11">
        <v>34</v>
      </c>
      <c r="B37" s="26" t="s">
        <v>205</v>
      </c>
      <c r="C37" s="11">
        <v>2018</v>
      </c>
      <c r="D37" s="11" t="s">
        <v>40</v>
      </c>
      <c r="E37" s="11" t="s">
        <v>23</v>
      </c>
      <c r="F37" s="15" t="s">
        <v>206</v>
      </c>
      <c r="G37" s="57"/>
      <c r="H37" s="54">
        <v>0</v>
      </c>
      <c r="I37" s="50"/>
      <c r="J37" s="50"/>
      <c r="K37" s="50"/>
      <c r="L37" s="50"/>
      <c r="M37" s="50"/>
      <c r="N37" s="50"/>
      <c r="O37" s="50"/>
      <c r="P37" s="11">
        <v>0</v>
      </c>
      <c r="Q37" s="11">
        <v>111</v>
      </c>
      <c r="R37" s="11">
        <v>1</v>
      </c>
      <c r="S37" s="11">
        <v>75</v>
      </c>
      <c r="T37" s="11">
        <f>87/111</f>
        <v>0.78378378378378377</v>
      </c>
      <c r="U37" s="11">
        <f>24/111</f>
        <v>0.21621621621621623</v>
      </c>
      <c r="V37" s="11"/>
      <c r="W37" s="11"/>
      <c r="X37" s="11">
        <f>77/111</f>
        <v>0.69369369369369371</v>
      </c>
      <c r="Y37" s="11">
        <v>0</v>
      </c>
      <c r="Z37" s="11">
        <v>0</v>
      </c>
      <c r="AA37" s="11">
        <v>1</v>
      </c>
      <c r="AB37" s="11"/>
      <c r="AC37" s="11">
        <v>1</v>
      </c>
      <c r="AD37" s="15">
        <v>1</v>
      </c>
      <c r="AE37" s="11"/>
      <c r="AF37" s="11">
        <v>1</v>
      </c>
      <c r="AG37" s="11" t="s">
        <v>105</v>
      </c>
      <c r="AH37" s="11" t="s">
        <v>207</v>
      </c>
      <c r="AI37" s="11"/>
      <c r="AJ37" s="11" t="s">
        <v>208</v>
      </c>
      <c r="AK37" s="11" t="s">
        <v>91</v>
      </c>
      <c r="AL37" s="11" t="s">
        <v>390</v>
      </c>
      <c r="AM37" s="11" t="s">
        <v>360</v>
      </c>
      <c r="AN37" s="11" t="s">
        <v>200</v>
      </c>
      <c r="AO37" s="11" t="s">
        <v>91</v>
      </c>
      <c r="AP37" s="11" t="s">
        <v>296</v>
      </c>
      <c r="AQ37" s="13" t="s">
        <v>210</v>
      </c>
      <c r="AR37" s="13">
        <f>55/111</f>
        <v>0.49549549549549549</v>
      </c>
      <c r="AS37" s="13">
        <v>3</v>
      </c>
      <c r="AT37" s="23"/>
      <c r="AU37" s="11"/>
      <c r="AV37" s="11">
        <f t="shared" si="1"/>
        <v>1</v>
      </c>
      <c r="AW37" s="11">
        <f>55/111</f>
        <v>0.49549549549549549</v>
      </c>
      <c r="AX37" s="11"/>
      <c r="AY37" s="11"/>
      <c r="AZ37" s="11"/>
      <c r="BA37" s="11"/>
      <c r="BB37" s="24"/>
      <c r="BC37" s="24"/>
      <c r="BD37" s="24"/>
      <c r="BE37" s="24"/>
      <c r="BF37" s="24"/>
      <c r="BG37" s="24"/>
      <c r="BH37" s="24"/>
      <c r="BI37" s="24"/>
      <c r="BJ37" s="16">
        <f>5/129</f>
        <v>3.875968992248062E-2</v>
      </c>
      <c r="BK37" s="16" t="s">
        <v>391</v>
      </c>
      <c r="BL37" s="18">
        <f>4/129</f>
        <v>3.1007751937984496E-2</v>
      </c>
      <c r="BM37" s="16" t="s">
        <v>392</v>
      </c>
      <c r="BN37" s="11"/>
      <c r="BO37" s="11"/>
      <c r="BP37" s="11">
        <f>55/111</f>
        <v>0.49549549549549549</v>
      </c>
      <c r="BQ37" s="11"/>
      <c r="BR37" s="11"/>
      <c r="BS37" s="11"/>
      <c r="BT37" s="11"/>
    </row>
    <row r="38" spans="1:72" ht="20" customHeight="1" x14ac:dyDescent="0.2">
      <c r="A38" s="11">
        <v>35</v>
      </c>
      <c r="B38" s="26" t="s">
        <v>213</v>
      </c>
      <c r="C38" s="11">
        <v>2019</v>
      </c>
      <c r="D38" s="11" t="s">
        <v>4</v>
      </c>
      <c r="E38" s="11" t="s">
        <v>23</v>
      </c>
      <c r="F38" s="15" t="s">
        <v>214</v>
      </c>
      <c r="G38" s="57"/>
      <c r="H38" s="54">
        <v>0</v>
      </c>
      <c r="I38" s="49"/>
      <c r="J38" s="49"/>
      <c r="K38" s="49"/>
      <c r="L38" s="49"/>
      <c r="M38" s="49"/>
      <c r="N38" s="49"/>
      <c r="O38" s="49"/>
      <c r="P38" s="11">
        <v>1</v>
      </c>
      <c r="Q38" s="11">
        <v>103</v>
      </c>
      <c r="R38" s="11">
        <v>1</v>
      </c>
      <c r="S38" s="11">
        <v>73</v>
      </c>
      <c r="T38" s="11"/>
      <c r="U38" s="11"/>
      <c r="V38" s="11"/>
      <c r="W38" s="11"/>
      <c r="X38" s="11">
        <v>1</v>
      </c>
      <c r="Y38" s="11">
        <v>0</v>
      </c>
      <c r="Z38" s="11">
        <v>0</v>
      </c>
      <c r="AA38" s="11">
        <v>1</v>
      </c>
      <c r="AB38" s="11"/>
      <c r="AC38" s="11">
        <v>1</v>
      </c>
      <c r="AD38" s="11">
        <v>1</v>
      </c>
      <c r="AE38" s="11"/>
      <c r="AF38" s="11">
        <v>1</v>
      </c>
      <c r="AG38" s="11" t="s">
        <v>48</v>
      </c>
      <c r="AH38" s="11" t="s">
        <v>215</v>
      </c>
      <c r="AI38" s="11"/>
      <c r="AJ38" s="11" t="s">
        <v>215</v>
      </c>
      <c r="AK38" s="11" t="s">
        <v>91</v>
      </c>
      <c r="AL38" s="11" t="s">
        <v>370</v>
      </c>
      <c r="AM38" s="11" t="s">
        <v>360</v>
      </c>
      <c r="AN38" s="11" t="s">
        <v>200</v>
      </c>
      <c r="AO38" s="11" t="s">
        <v>396</v>
      </c>
      <c r="AP38" s="11" t="s">
        <v>296</v>
      </c>
      <c r="AQ38" s="13" t="s">
        <v>397</v>
      </c>
      <c r="AR38" s="13">
        <f>40/103</f>
        <v>0.38834951456310679</v>
      </c>
      <c r="AS38" s="13">
        <v>3</v>
      </c>
      <c r="AT38" s="23" t="s">
        <v>393</v>
      </c>
      <c r="AU38" s="11">
        <v>0</v>
      </c>
      <c r="AV38" s="11">
        <f t="shared" si="1"/>
        <v>1</v>
      </c>
      <c r="AW38" s="11">
        <f>40/103</f>
        <v>0.38834951456310679</v>
      </c>
      <c r="AX38" s="11"/>
      <c r="AY38" s="11"/>
      <c r="AZ38" s="11"/>
      <c r="BA38" s="11"/>
      <c r="BB38" s="24"/>
      <c r="BC38" s="24"/>
      <c r="BD38" s="24"/>
      <c r="BE38" s="24"/>
      <c r="BF38" s="24"/>
      <c r="BG38" s="24"/>
      <c r="BH38" s="24"/>
      <c r="BI38" s="24"/>
      <c r="BJ38" s="16">
        <f>13/103</f>
        <v>0.12621359223300971</v>
      </c>
      <c r="BK38" s="16" t="s">
        <v>394</v>
      </c>
      <c r="BL38" s="18"/>
      <c r="BM38" s="16" t="s">
        <v>395</v>
      </c>
      <c r="BN38" s="11"/>
      <c r="BO38" s="11"/>
      <c r="BP38" s="11">
        <f>40/103</f>
        <v>0.38834951456310679</v>
      </c>
      <c r="BQ38" s="11"/>
      <c r="BR38" s="11"/>
      <c r="BS38" s="11"/>
      <c r="BT38" s="11"/>
    </row>
    <row r="39" spans="1:72" ht="20" customHeight="1" x14ac:dyDescent="0.2">
      <c r="A39" s="11">
        <v>36</v>
      </c>
      <c r="B39" s="26" t="s">
        <v>216</v>
      </c>
      <c r="C39" s="11">
        <v>2019</v>
      </c>
      <c r="D39" s="11" t="s">
        <v>46</v>
      </c>
      <c r="E39" s="11" t="s">
        <v>23</v>
      </c>
      <c r="F39" s="15" t="s">
        <v>217</v>
      </c>
      <c r="G39" s="57"/>
      <c r="H39" s="54">
        <v>0</v>
      </c>
      <c r="I39" s="49"/>
      <c r="J39" s="49"/>
      <c r="K39" s="49"/>
      <c r="L39" s="49"/>
      <c r="M39" s="49"/>
      <c r="N39" s="49"/>
      <c r="O39" s="49"/>
      <c r="P39" s="11">
        <v>0</v>
      </c>
      <c r="Q39" s="11">
        <v>18</v>
      </c>
      <c r="R39" s="11">
        <v>1</v>
      </c>
      <c r="S39" s="11">
        <v>71</v>
      </c>
      <c r="T39" s="11">
        <f>14/18</f>
        <v>0.77777777777777779</v>
      </c>
      <c r="U39" s="11">
        <f>4/18</f>
        <v>0.22222222222222221</v>
      </c>
      <c r="V39" s="11"/>
      <c r="W39" s="11">
        <f>9/18</f>
        <v>0.5</v>
      </c>
      <c r="X39" s="11">
        <f>12/18</f>
        <v>0.66666666666666663</v>
      </c>
      <c r="Y39" s="11">
        <v>0</v>
      </c>
      <c r="Z39" s="11">
        <v>0</v>
      </c>
      <c r="AA39" s="11">
        <v>1</v>
      </c>
      <c r="AB39" s="11"/>
      <c r="AC39" s="11">
        <v>1</v>
      </c>
      <c r="AD39" s="11">
        <v>1</v>
      </c>
      <c r="AE39" s="11"/>
      <c r="AF39" s="11"/>
      <c r="AG39" s="11" t="s">
        <v>105</v>
      </c>
      <c r="AH39" s="11" t="s">
        <v>399</v>
      </c>
      <c r="AI39" s="11"/>
      <c r="AJ39" s="11" t="s">
        <v>400</v>
      </c>
      <c r="AK39" s="11" t="s">
        <v>65</v>
      </c>
      <c r="AL39" s="11" t="s">
        <v>401</v>
      </c>
      <c r="AM39" s="11" t="s">
        <v>350</v>
      </c>
      <c r="AN39" s="11" t="s">
        <v>200</v>
      </c>
      <c r="AO39" s="11" t="s">
        <v>398</v>
      </c>
      <c r="AP39" s="11" t="s">
        <v>267</v>
      </c>
      <c r="AQ39" s="13" t="s">
        <v>402</v>
      </c>
      <c r="AR39" s="13">
        <f>17/18</f>
        <v>0.94444444444444442</v>
      </c>
      <c r="AS39" s="13">
        <v>3</v>
      </c>
      <c r="AT39" s="23" t="s">
        <v>403</v>
      </c>
      <c r="AU39" s="11">
        <v>0</v>
      </c>
      <c r="AV39" s="11">
        <f t="shared" si="1"/>
        <v>1</v>
      </c>
      <c r="AW39" s="11">
        <f>17/18</f>
        <v>0.94444444444444442</v>
      </c>
      <c r="AX39" s="11"/>
      <c r="AY39" s="11"/>
      <c r="AZ39" s="11"/>
      <c r="BA39" s="11"/>
      <c r="BB39" s="24"/>
      <c r="BC39" s="24"/>
      <c r="BD39" s="24"/>
      <c r="BE39" s="24"/>
      <c r="BF39" s="24"/>
      <c r="BG39" s="24"/>
      <c r="BH39" s="24"/>
      <c r="BI39" s="24"/>
      <c r="BJ39" s="16"/>
      <c r="BK39" s="16"/>
      <c r="BL39" s="18">
        <v>0</v>
      </c>
      <c r="BM39" s="16"/>
      <c r="BN39" s="11"/>
      <c r="BO39" s="11"/>
      <c r="BP39" s="11">
        <f>7/8</f>
        <v>0.875</v>
      </c>
      <c r="BQ39" s="11"/>
      <c r="BR39" s="11"/>
      <c r="BS39" s="11"/>
      <c r="BT39" s="11"/>
    </row>
    <row r="40" spans="1:72" ht="20" customHeight="1" x14ac:dyDescent="0.2">
      <c r="A40" s="11">
        <v>37</v>
      </c>
      <c r="B40" s="26" t="s">
        <v>218</v>
      </c>
      <c r="C40" s="11">
        <v>2015</v>
      </c>
      <c r="D40" s="11" t="s">
        <v>46</v>
      </c>
      <c r="E40" s="11" t="s">
        <v>23</v>
      </c>
      <c r="F40" s="15" t="s">
        <v>411</v>
      </c>
      <c r="G40" s="57"/>
      <c r="H40" s="54">
        <v>0</v>
      </c>
      <c r="I40" s="49"/>
      <c r="J40" s="49"/>
      <c r="K40" s="49"/>
      <c r="L40" s="49"/>
      <c r="M40" s="49"/>
      <c r="N40" s="49"/>
      <c r="O40" s="49"/>
      <c r="P40" s="11" t="s">
        <v>435</v>
      </c>
      <c r="Q40" s="11">
        <v>9</v>
      </c>
      <c r="R40" s="11">
        <f>6/9</f>
        <v>0.66666666666666663</v>
      </c>
      <c r="S40" s="11"/>
      <c r="T40" s="11"/>
      <c r="U40" s="11"/>
      <c r="V40" s="11"/>
      <c r="W40" s="11"/>
      <c r="X40" s="11"/>
      <c r="Y40" s="11">
        <v>0</v>
      </c>
      <c r="Z40" s="11">
        <v>0</v>
      </c>
      <c r="AA40" s="11">
        <v>1</v>
      </c>
      <c r="AB40" s="11"/>
      <c r="AC40" s="11" t="s">
        <v>23</v>
      </c>
      <c r="AD40" s="11" t="s">
        <v>23</v>
      </c>
      <c r="AE40" s="11"/>
      <c r="AF40" s="11"/>
      <c r="AG40" s="11" t="s">
        <v>105</v>
      </c>
      <c r="AH40" s="11" t="s">
        <v>412</v>
      </c>
      <c r="AI40" s="11"/>
      <c r="AJ40" s="11" t="s">
        <v>219</v>
      </c>
      <c r="AK40" s="11" t="s">
        <v>118</v>
      </c>
      <c r="AL40" s="11" t="s">
        <v>414</v>
      </c>
      <c r="AM40" s="11" t="s">
        <v>350</v>
      </c>
      <c r="AN40" s="11" t="s">
        <v>415</v>
      </c>
      <c r="AO40" s="11" t="s">
        <v>91</v>
      </c>
      <c r="AP40" s="11" t="s">
        <v>267</v>
      </c>
      <c r="AQ40" s="13" t="s">
        <v>416</v>
      </c>
      <c r="AR40" s="13">
        <f>2/9</f>
        <v>0.22222222222222221</v>
      </c>
      <c r="AS40" s="13">
        <v>12</v>
      </c>
      <c r="AT40" s="23"/>
      <c r="AU40" s="11"/>
      <c r="AV40" s="11">
        <f t="shared" si="1"/>
        <v>1</v>
      </c>
      <c r="AW40" s="11">
        <f>2/9</f>
        <v>0.22222222222222221</v>
      </c>
      <c r="AX40" s="11">
        <f>2/9</f>
        <v>0.22222222222222221</v>
      </c>
      <c r="AY40" s="11">
        <f>2/9</f>
        <v>0.22222222222222221</v>
      </c>
      <c r="AZ40" s="11"/>
      <c r="BA40" s="11"/>
      <c r="BB40" s="24"/>
      <c r="BC40" s="24"/>
      <c r="BD40" s="24"/>
      <c r="BE40" s="24"/>
      <c r="BF40" s="24"/>
      <c r="BG40" s="24"/>
      <c r="BH40" s="24"/>
      <c r="BI40" s="24"/>
      <c r="BJ40" s="16">
        <f>2/9</f>
        <v>0.22222222222222221</v>
      </c>
      <c r="BK40" s="16" t="s">
        <v>413</v>
      </c>
      <c r="BL40" s="18">
        <v>1</v>
      </c>
      <c r="BM40" s="16" t="s">
        <v>413</v>
      </c>
      <c r="BN40" s="11"/>
      <c r="BO40" s="11"/>
      <c r="BP40" s="11"/>
      <c r="BQ40" s="11"/>
      <c r="BR40" s="11">
        <f>2/6</f>
        <v>0.33333333333333331</v>
      </c>
      <c r="BS40" s="11"/>
      <c r="BT40" s="11"/>
    </row>
    <row r="41" spans="1:72" ht="20" customHeight="1" x14ac:dyDescent="0.2">
      <c r="A41" s="11">
        <v>38</v>
      </c>
      <c r="B41" s="19" t="s">
        <v>72</v>
      </c>
      <c r="C41" s="11">
        <v>2017</v>
      </c>
      <c r="D41" s="11" t="s">
        <v>4</v>
      </c>
      <c r="E41" s="11" t="s">
        <v>417</v>
      </c>
      <c r="F41" s="15" t="s">
        <v>237</v>
      </c>
      <c r="G41" s="15" t="s">
        <v>498</v>
      </c>
      <c r="H41" s="54">
        <v>1</v>
      </c>
      <c r="I41" s="51">
        <v>0</v>
      </c>
      <c r="J41" s="51">
        <v>66</v>
      </c>
      <c r="K41" s="51" t="s">
        <v>480</v>
      </c>
      <c r="L41" s="51" t="s">
        <v>48</v>
      </c>
      <c r="M41" s="51">
        <v>2017</v>
      </c>
      <c r="N41" s="51" t="s">
        <v>92</v>
      </c>
      <c r="O41" s="51" t="s">
        <v>479</v>
      </c>
      <c r="P41" s="11">
        <v>0</v>
      </c>
      <c r="Q41" s="11">
        <v>23</v>
      </c>
      <c r="R41" s="11">
        <f>9/19</f>
        <v>0.47368421052631576</v>
      </c>
      <c r="S41" s="11">
        <v>66</v>
      </c>
      <c r="T41" s="11">
        <f>20/23</f>
        <v>0.86956521739130432</v>
      </c>
      <c r="U41" s="11">
        <f>1-T41</f>
        <v>0.13043478260869568</v>
      </c>
      <c r="V41" s="11"/>
      <c r="W41" s="11"/>
      <c r="X41" s="11">
        <v>1</v>
      </c>
      <c r="Y41" s="11">
        <v>0</v>
      </c>
      <c r="Z41" s="11">
        <v>0</v>
      </c>
      <c r="AA41" s="11">
        <v>1</v>
      </c>
      <c r="AB41" s="11"/>
      <c r="AC41" s="11">
        <v>1</v>
      </c>
      <c r="AD41" s="11">
        <f>13/19</f>
        <v>0.68421052631578949</v>
      </c>
      <c r="AE41" s="11">
        <f>2/19</f>
        <v>0.10526315789473684</v>
      </c>
      <c r="AF41" s="11"/>
      <c r="AG41" s="11" t="s">
        <v>94</v>
      </c>
      <c r="AH41" s="11" t="s">
        <v>238</v>
      </c>
      <c r="AI41" s="11"/>
      <c r="AJ41" s="11" t="s">
        <v>239</v>
      </c>
      <c r="AK41" s="11" t="s">
        <v>91</v>
      </c>
      <c r="AL41" s="11" t="s">
        <v>370</v>
      </c>
      <c r="AM41" s="11" t="s">
        <v>360</v>
      </c>
      <c r="AN41" s="11" t="s">
        <v>240</v>
      </c>
      <c r="AO41" s="11"/>
      <c r="AP41" s="11" t="s">
        <v>296</v>
      </c>
      <c r="AQ41" s="13" t="s">
        <v>241</v>
      </c>
      <c r="AR41" s="11">
        <f>11/19</f>
        <v>0.57894736842105265</v>
      </c>
      <c r="AS41" s="13">
        <v>3</v>
      </c>
      <c r="AT41" s="23"/>
      <c r="AU41" s="11">
        <f>2/37</f>
        <v>5.4054054054054057E-2</v>
      </c>
      <c r="AV41" s="11">
        <f t="shared" si="1"/>
        <v>0.94594594594594594</v>
      </c>
      <c r="AW41" s="11">
        <f>11/19</f>
        <v>0.57894736842105265</v>
      </c>
      <c r="AX41" s="11">
        <f>5/19</f>
        <v>0.26315789473684209</v>
      </c>
      <c r="AY41" s="11">
        <f>4/19</f>
        <v>0.21052631578947367</v>
      </c>
      <c r="AZ41" s="11"/>
      <c r="BA41" s="11"/>
      <c r="BB41" s="15">
        <f>11/19</f>
        <v>0.57894736842105265</v>
      </c>
      <c r="BC41" s="15">
        <f>5/19</f>
        <v>0.26315789473684209</v>
      </c>
      <c r="BD41" s="15">
        <f>AY41</f>
        <v>0.21052631578947367</v>
      </c>
      <c r="BE41" s="15">
        <f>4/19</f>
        <v>0.21052631578947367</v>
      </c>
      <c r="BF41" s="15">
        <f>4/19</f>
        <v>0.21052631578947367</v>
      </c>
      <c r="BG41" s="15">
        <v>1.05</v>
      </c>
      <c r="BH41" s="15">
        <v>26.68</v>
      </c>
      <c r="BI41" s="15">
        <v>1.34</v>
      </c>
      <c r="BJ41" s="16">
        <f>3/19</f>
        <v>0.15789473684210525</v>
      </c>
      <c r="BK41" s="16" t="s">
        <v>418</v>
      </c>
      <c r="BL41" s="18">
        <v>3</v>
      </c>
      <c r="BM41" s="16" t="s">
        <v>419</v>
      </c>
      <c r="BN41" s="11"/>
      <c r="BO41" s="11"/>
      <c r="BP41" s="11"/>
      <c r="BQ41" s="11"/>
      <c r="BR41" s="11"/>
      <c r="BS41" s="11"/>
      <c r="BT41" s="11"/>
    </row>
    <row r="42" spans="1:72" ht="20" customHeight="1" x14ac:dyDescent="0.2">
      <c r="A42" s="11">
        <v>39</v>
      </c>
      <c r="B42" s="11" t="s">
        <v>242</v>
      </c>
      <c r="C42" s="11">
        <v>2016</v>
      </c>
      <c r="D42" s="11" t="s">
        <v>4</v>
      </c>
      <c r="E42" s="11" t="s">
        <v>420</v>
      </c>
      <c r="F42" s="15" t="s">
        <v>243</v>
      </c>
      <c r="G42" s="15" t="s">
        <v>507</v>
      </c>
      <c r="H42" s="54">
        <v>1</v>
      </c>
      <c r="I42" s="51">
        <v>0</v>
      </c>
      <c r="J42" s="51">
        <v>70</v>
      </c>
      <c r="K42" s="51" t="s">
        <v>484</v>
      </c>
      <c r="L42" s="51" t="s">
        <v>105</v>
      </c>
      <c r="M42" s="51">
        <v>2016</v>
      </c>
      <c r="N42" s="51" t="s">
        <v>92</v>
      </c>
      <c r="O42" s="51" t="s">
        <v>479</v>
      </c>
      <c r="P42" s="11">
        <v>0</v>
      </c>
      <c r="Q42" s="11">
        <v>13</v>
      </c>
      <c r="R42" s="11">
        <f>11/13</f>
        <v>0.84615384615384615</v>
      </c>
      <c r="S42" s="11">
        <v>70</v>
      </c>
      <c r="T42" s="11">
        <f>11/13</f>
        <v>0.84615384615384615</v>
      </c>
      <c r="U42" s="11">
        <f>2/13</f>
        <v>0.15384615384615385</v>
      </c>
      <c r="V42" s="11">
        <f>6/13</f>
        <v>0.46153846153846156</v>
      </c>
      <c r="W42" s="11">
        <f>4/13</f>
        <v>0.30769230769230771</v>
      </c>
      <c r="X42" s="11">
        <f>5/13</f>
        <v>0.38461538461538464</v>
      </c>
      <c r="Y42" s="11">
        <v>0</v>
      </c>
      <c r="Z42" s="11">
        <v>0</v>
      </c>
      <c r="AA42" s="11">
        <v>1</v>
      </c>
      <c r="AB42" s="11">
        <f>9/13</f>
        <v>0.69230769230769229</v>
      </c>
      <c r="AC42" s="11">
        <v>1</v>
      </c>
      <c r="AD42" s="11">
        <v>1</v>
      </c>
      <c r="AE42" s="11"/>
      <c r="AF42" s="11"/>
      <c r="AG42" s="11" t="s">
        <v>105</v>
      </c>
      <c r="AH42" s="34" t="s">
        <v>244</v>
      </c>
      <c r="AI42" s="11"/>
      <c r="AJ42" s="34" t="s">
        <v>244</v>
      </c>
      <c r="AK42" s="11" t="s">
        <v>91</v>
      </c>
      <c r="AL42" s="11" t="s">
        <v>401</v>
      </c>
      <c r="AM42" s="11" t="s">
        <v>421</v>
      </c>
      <c r="AN42" s="11" t="s">
        <v>422</v>
      </c>
      <c r="AO42" s="11" t="s">
        <v>182</v>
      </c>
      <c r="AP42" s="11" t="s">
        <v>296</v>
      </c>
      <c r="AQ42" s="13" t="s">
        <v>423</v>
      </c>
      <c r="AR42" s="13">
        <f>1/13</f>
        <v>7.6923076923076927E-2</v>
      </c>
      <c r="AS42" s="13">
        <v>6</v>
      </c>
      <c r="AT42" s="23" t="s">
        <v>91</v>
      </c>
      <c r="AU42" s="11">
        <f>3/13</f>
        <v>0.23076923076923078</v>
      </c>
      <c r="AV42" s="11">
        <f t="shared" si="1"/>
        <v>0.76923076923076916</v>
      </c>
      <c r="AW42" s="11">
        <f>5/13</f>
        <v>0.38461538461538464</v>
      </c>
      <c r="AX42" s="11">
        <f>1/13</f>
        <v>7.6923076923076927E-2</v>
      </c>
      <c r="AY42" s="11">
        <f>1/13</f>
        <v>7.6923076923076927E-2</v>
      </c>
      <c r="AZ42" s="11"/>
      <c r="BA42" s="11"/>
      <c r="BB42" s="15"/>
      <c r="BC42" s="15"/>
      <c r="BD42" s="15"/>
      <c r="BE42" s="15"/>
      <c r="BF42" s="15"/>
      <c r="BG42" s="15"/>
      <c r="BH42" s="15"/>
      <c r="BI42" s="15"/>
      <c r="BJ42" s="16">
        <f>1/1</f>
        <v>1</v>
      </c>
      <c r="BK42" s="16" t="s">
        <v>424</v>
      </c>
      <c r="BL42" s="18"/>
      <c r="BM42" s="17"/>
      <c r="BN42" s="11"/>
      <c r="BO42" s="11"/>
      <c r="BP42" s="11"/>
      <c r="BQ42" s="11"/>
      <c r="BR42" s="11"/>
      <c r="BS42" s="11"/>
      <c r="BT42" s="11"/>
    </row>
    <row r="43" spans="1:72" ht="20" customHeight="1" x14ac:dyDescent="0.2">
      <c r="A43" s="11">
        <v>40</v>
      </c>
      <c r="B43" s="11" t="s">
        <v>245</v>
      </c>
      <c r="C43" s="11">
        <v>2019</v>
      </c>
      <c r="D43" s="11" t="s">
        <v>40</v>
      </c>
      <c r="E43" s="11" t="s">
        <v>426</v>
      </c>
      <c r="F43" s="15" t="s">
        <v>246</v>
      </c>
      <c r="G43" s="15" t="s">
        <v>518</v>
      </c>
      <c r="H43" s="54">
        <v>1</v>
      </c>
      <c r="I43" s="51">
        <v>0</v>
      </c>
      <c r="J43" s="51">
        <v>77</v>
      </c>
      <c r="K43" s="51" t="s">
        <v>480</v>
      </c>
      <c r="L43" s="51" t="s">
        <v>105</v>
      </c>
      <c r="M43" s="51">
        <v>2019</v>
      </c>
      <c r="N43" s="51" t="s">
        <v>92</v>
      </c>
      <c r="O43" s="51" t="s">
        <v>479</v>
      </c>
      <c r="P43" s="11">
        <v>0</v>
      </c>
      <c r="Q43" s="11">
        <v>48</v>
      </c>
      <c r="R43" s="11">
        <f>41/48</f>
        <v>0.85416666666666663</v>
      </c>
      <c r="S43" s="11">
        <v>77</v>
      </c>
      <c r="T43" s="11">
        <f>34/48</f>
        <v>0.70833333333333337</v>
      </c>
      <c r="U43" s="11">
        <f>1-T43</f>
        <v>0.29166666666666663</v>
      </c>
      <c r="V43" s="11">
        <f>21/48</f>
        <v>0.4375</v>
      </c>
      <c r="W43" s="11">
        <f>6/48</f>
        <v>0.125</v>
      </c>
      <c r="X43" s="11">
        <f>33/48</f>
        <v>0.6875</v>
      </c>
      <c r="Y43" s="11">
        <v>0</v>
      </c>
      <c r="Z43" s="11">
        <v>0</v>
      </c>
      <c r="AA43" s="11">
        <v>1</v>
      </c>
      <c r="AB43" s="11"/>
      <c r="AC43" s="11">
        <v>1</v>
      </c>
      <c r="AD43" s="11">
        <f>30/48</f>
        <v>0.625</v>
      </c>
      <c r="AE43" s="11"/>
      <c r="AF43" s="11"/>
      <c r="AG43" s="11" t="s">
        <v>105</v>
      </c>
      <c r="AH43" s="11" t="s">
        <v>247</v>
      </c>
      <c r="AI43" s="11"/>
      <c r="AJ43" s="11" t="s">
        <v>248</v>
      </c>
      <c r="AK43" s="11" t="s">
        <v>91</v>
      </c>
      <c r="AL43" s="11" t="s">
        <v>425</v>
      </c>
      <c r="AM43" s="11" t="s">
        <v>350</v>
      </c>
      <c r="AN43" s="11" t="s">
        <v>251</v>
      </c>
      <c r="AO43" s="11" t="s">
        <v>252</v>
      </c>
      <c r="AP43" s="34" t="s">
        <v>250</v>
      </c>
      <c r="AQ43" s="13" t="s">
        <v>253</v>
      </c>
      <c r="AR43" s="41" t="s">
        <v>254</v>
      </c>
      <c r="AS43" s="13"/>
      <c r="AT43" s="23"/>
      <c r="AU43" s="11">
        <f>8/48</f>
        <v>0.16666666666666666</v>
      </c>
      <c r="AV43" s="11">
        <f t="shared" si="1"/>
        <v>0.83333333333333337</v>
      </c>
      <c r="AW43" s="11"/>
      <c r="AX43" s="11"/>
      <c r="AY43" s="11"/>
      <c r="AZ43" s="11"/>
      <c r="BA43" s="30">
        <v>0.35</v>
      </c>
      <c r="BB43" s="24">
        <v>0.91900000000000004</v>
      </c>
      <c r="BC43" s="24">
        <v>0.73</v>
      </c>
      <c r="BD43" s="24">
        <v>0.496</v>
      </c>
      <c r="BE43" s="24">
        <v>0.371</v>
      </c>
      <c r="BF43" s="24">
        <v>0.35</v>
      </c>
      <c r="BG43" s="24"/>
      <c r="BH43" s="24"/>
      <c r="BI43" s="24"/>
      <c r="BJ43" s="16">
        <f>12/48</f>
        <v>0.25</v>
      </c>
      <c r="BK43" s="16" t="s">
        <v>382</v>
      </c>
      <c r="BL43" s="18">
        <f>5/48</f>
        <v>0.10416666666666667</v>
      </c>
      <c r="BM43" s="16" t="s">
        <v>427</v>
      </c>
      <c r="BN43" s="11"/>
      <c r="BO43" s="11"/>
      <c r="BP43" s="11"/>
      <c r="BQ43" s="11"/>
      <c r="BR43" s="11"/>
      <c r="BS43" s="11"/>
      <c r="BT43" s="11"/>
    </row>
    <row r="44" spans="1:72" ht="20" customHeight="1" x14ac:dyDescent="0.2">
      <c r="A44" s="11">
        <v>41</v>
      </c>
      <c r="B44" s="38" t="s">
        <v>432</v>
      </c>
      <c r="C44" s="11">
        <v>2019</v>
      </c>
      <c r="D44" s="11"/>
      <c r="E44" s="11" t="s">
        <v>23</v>
      </c>
      <c r="F44" s="15" t="s">
        <v>431</v>
      </c>
      <c r="G44" s="38"/>
      <c r="H44" s="54">
        <v>0</v>
      </c>
      <c r="I44" s="49"/>
      <c r="J44" s="49"/>
      <c r="K44" s="49"/>
      <c r="L44" s="49"/>
      <c r="M44" s="49"/>
      <c r="N44" s="49"/>
      <c r="O44" s="49"/>
      <c r="P44" s="11">
        <v>0</v>
      </c>
      <c r="Q44" s="11">
        <v>87</v>
      </c>
      <c r="R44" s="11">
        <v>1</v>
      </c>
      <c r="S44" s="11">
        <v>73.3</v>
      </c>
      <c r="T44" s="11">
        <f>77/87</f>
        <v>0.88505747126436785</v>
      </c>
      <c r="U44" s="11">
        <f>10/87</f>
        <v>0.11494252873563218</v>
      </c>
      <c r="V44" s="11">
        <f>35/87</f>
        <v>0.40229885057471265</v>
      </c>
      <c r="W44" s="11">
        <f>29/87</f>
        <v>0.33333333333333331</v>
      </c>
      <c r="X44" s="11">
        <f>35/87</f>
        <v>0.40229885057471265</v>
      </c>
      <c r="Y44" s="11">
        <v>0</v>
      </c>
      <c r="Z44" s="11">
        <v>0</v>
      </c>
      <c r="AA44" s="11">
        <v>1</v>
      </c>
      <c r="AB44" s="11"/>
      <c r="AC44" s="11">
        <v>1</v>
      </c>
      <c r="AD44" s="11">
        <v>1</v>
      </c>
      <c r="AE44" s="11"/>
      <c r="AF44" s="11">
        <v>1</v>
      </c>
      <c r="AG44" s="11" t="s">
        <v>105</v>
      </c>
      <c r="AH44" s="11" t="s">
        <v>428</v>
      </c>
      <c r="AI44" s="11"/>
      <c r="AJ44" s="11"/>
      <c r="AK44" s="11" t="s">
        <v>91</v>
      </c>
      <c r="AL44" s="11" t="s">
        <v>429</v>
      </c>
      <c r="AM44" s="11" t="s">
        <v>23</v>
      </c>
      <c r="AN44" s="11" t="s">
        <v>54</v>
      </c>
      <c r="AO44" s="11" t="s">
        <v>196</v>
      </c>
      <c r="AP44" s="34" t="s">
        <v>296</v>
      </c>
      <c r="AQ44" s="13" t="s">
        <v>430</v>
      </c>
      <c r="AR44" s="41"/>
      <c r="AS44" s="13"/>
      <c r="AT44" s="23"/>
      <c r="AU44" s="11">
        <f>4/87</f>
        <v>4.5977011494252873E-2</v>
      </c>
      <c r="AV44" s="11">
        <f t="shared" si="1"/>
        <v>0.95402298850574718</v>
      </c>
      <c r="AW44" s="11"/>
      <c r="AX44" s="11"/>
      <c r="AY44" s="11">
        <f>48/87</f>
        <v>0.55172413793103448</v>
      </c>
      <c r="AZ44" s="11"/>
      <c r="BA44" s="30">
        <f>42/87</f>
        <v>0.48275862068965519</v>
      </c>
      <c r="BB44" s="15"/>
      <c r="BC44" s="15"/>
      <c r="BD44" s="15"/>
      <c r="BE44" s="15"/>
      <c r="BF44" s="15"/>
      <c r="BG44" s="15"/>
      <c r="BH44" s="15"/>
      <c r="BI44" s="15"/>
      <c r="BJ44" s="16"/>
      <c r="BK44" s="16"/>
      <c r="BL44" s="18"/>
      <c r="BM44" s="16"/>
      <c r="BN44" s="11"/>
      <c r="BO44" s="11"/>
      <c r="BP44" s="11"/>
      <c r="BQ44" s="11"/>
      <c r="BR44" s="11"/>
      <c r="BS44" s="11"/>
      <c r="BT44" s="11"/>
    </row>
    <row r="45" spans="1:72" ht="20" customHeight="1" x14ac:dyDescent="0.2">
      <c r="A45" s="11">
        <v>42</v>
      </c>
      <c r="B45" s="19" t="s">
        <v>298</v>
      </c>
      <c r="C45" s="11">
        <v>1998</v>
      </c>
      <c r="D45" s="11" t="s">
        <v>4</v>
      </c>
      <c r="E45" s="11" t="s">
        <v>23</v>
      </c>
      <c r="F45" s="15" t="s">
        <v>299</v>
      </c>
      <c r="G45" s="15" t="s">
        <v>493</v>
      </c>
      <c r="H45" s="54">
        <v>1</v>
      </c>
      <c r="I45" s="51">
        <v>1</v>
      </c>
      <c r="J45" s="51">
        <v>66</v>
      </c>
      <c r="K45" s="51" t="s">
        <v>484</v>
      </c>
      <c r="L45" s="51" t="s">
        <v>48</v>
      </c>
      <c r="M45" s="51">
        <v>1998</v>
      </c>
      <c r="N45" s="51" t="s">
        <v>92</v>
      </c>
      <c r="O45" s="51" t="s">
        <v>479</v>
      </c>
      <c r="P45" s="11">
        <v>1</v>
      </c>
      <c r="Q45" s="11">
        <v>47</v>
      </c>
      <c r="R45" s="11">
        <f>47/60</f>
        <v>0.78333333333333333</v>
      </c>
      <c r="S45" s="11">
        <v>66</v>
      </c>
      <c r="T45" s="11">
        <f>53/60</f>
        <v>0.8833333333333333</v>
      </c>
      <c r="U45" s="11">
        <f>7/60</f>
        <v>0.11666666666666667</v>
      </c>
      <c r="V45" s="11"/>
      <c r="W45" s="11"/>
      <c r="X45" s="11">
        <v>1</v>
      </c>
      <c r="Y45" s="11">
        <v>0</v>
      </c>
      <c r="Z45" s="11">
        <v>0</v>
      </c>
      <c r="AA45" s="11">
        <v>1</v>
      </c>
      <c r="AB45" s="11">
        <f>28/60</f>
        <v>0.46666666666666667</v>
      </c>
      <c r="AC45" s="11">
        <v>1</v>
      </c>
      <c r="AD45" s="11">
        <v>1</v>
      </c>
      <c r="AE45" s="11">
        <v>0</v>
      </c>
      <c r="AF45" s="11"/>
      <c r="AG45" s="11" t="s">
        <v>48</v>
      </c>
      <c r="AH45" s="11" t="s">
        <v>300</v>
      </c>
      <c r="AI45" s="11" t="s">
        <v>306</v>
      </c>
      <c r="AJ45" s="11" t="s">
        <v>302</v>
      </c>
      <c r="AK45" s="11" t="s">
        <v>91</v>
      </c>
      <c r="AL45" s="11" t="s">
        <v>301</v>
      </c>
      <c r="AM45" s="11"/>
      <c r="AN45" s="11" t="s">
        <v>54</v>
      </c>
      <c r="AO45" s="11" t="s">
        <v>175</v>
      </c>
      <c r="AP45" s="34" t="s">
        <v>303</v>
      </c>
      <c r="AQ45" s="13" t="s">
        <v>304</v>
      </c>
      <c r="AR45" s="41">
        <f>7/47</f>
        <v>0.14893617021276595</v>
      </c>
      <c r="AS45" s="13">
        <v>3</v>
      </c>
      <c r="AT45" s="23" t="s">
        <v>42</v>
      </c>
      <c r="AU45" s="11">
        <f>9/86</f>
        <v>0.10465116279069768</v>
      </c>
      <c r="AV45" s="11">
        <f t="shared" si="1"/>
        <v>0.89534883720930236</v>
      </c>
      <c r="AW45" s="11">
        <f>7/47</f>
        <v>0.14893617021276595</v>
      </c>
      <c r="AX45" s="11"/>
      <c r="AY45" s="11"/>
      <c r="AZ45" s="11"/>
      <c r="BA45" s="11"/>
      <c r="BB45" s="15"/>
      <c r="BC45" s="15"/>
      <c r="BD45" s="15"/>
      <c r="BE45" s="15"/>
      <c r="BF45" s="15"/>
      <c r="BG45" s="15"/>
      <c r="BH45" s="15"/>
      <c r="BI45" s="15"/>
      <c r="BJ45" s="16"/>
      <c r="BK45" s="17" t="s">
        <v>305</v>
      </c>
      <c r="BL45" s="18">
        <f>13/86</f>
        <v>0.15116279069767441</v>
      </c>
      <c r="BM45" s="17"/>
      <c r="BN45" s="11"/>
      <c r="BO45" s="11"/>
      <c r="BP45" s="11"/>
      <c r="BQ45" s="11"/>
      <c r="BR45" s="11"/>
      <c r="BS45" s="11"/>
      <c r="BT45" s="11"/>
    </row>
    <row r="46" spans="1:72" ht="20" customHeight="1" x14ac:dyDescent="0.2">
      <c r="A46" s="11">
        <v>43</v>
      </c>
      <c r="B46" s="19" t="s">
        <v>433</v>
      </c>
      <c r="C46" s="11">
        <v>2019</v>
      </c>
      <c r="D46" s="11" t="s">
        <v>46</v>
      </c>
      <c r="E46" s="11" t="s">
        <v>23</v>
      </c>
      <c r="F46" s="15" t="s">
        <v>404</v>
      </c>
      <c r="G46" s="57" t="s">
        <v>522</v>
      </c>
      <c r="H46" s="54">
        <v>0</v>
      </c>
      <c r="I46" s="49"/>
      <c r="J46" s="49"/>
      <c r="K46" s="49"/>
      <c r="L46" s="49"/>
      <c r="M46" s="49"/>
      <c r="N46" s="49"/>
      <c r="O46" s="49"/>
      <c r="P46" s="11">
        <v>0</v>
      </c>
      <c r="Q46" s="11">
        <v>21</v>
      </c>
      <c r="R46" s="11">
        <f>18/21</f>
        <v>0.8571428571428571</v>
      </c>
      <c r="S46" s="11" t="s">
        <v>405</v>
      </c>
      <c r="T46" s="11">
        <f>16/21</f>
        <v>0.76190476190476186</v>
      </c>
      <c r="U46" s="11">
        <f>5/21</f>
        <v>0.23809523809523808</v>
      </c>
      <c r="V46" s="11">
        <f>4/21</f>
        <v>0.19047619047619047</v>
      </c>
      <c r="W46" s="11">
        <v>0</v>
      </c>
      <c r="X46" s="11">
        <v>1</v>
      </c>
      <c r="Y46" s="15"/>
      <c r="Z46" s="15"/>
      <c r="AA46" s="15"/>
      <c r="AB46" s="11"/>
      <c r="AC46" s="11">
        <v>1</v>
      </c>
      <c r="AD46" s="11"/>
      <c r="AE46" s="11"/>
      <c r="AF46" s="11"/>
      <c r="AG46" s="11" t="s">
        <v>48</v>
      </c>
      <c r="AH46" s="11" t="s">
        <v>406</v>
      </c>
      <c r="AI46" s="11"/>
      <c r="AJ46" s="11" t="s">
        <v>53</v>
      </c>
      <c r="AK46" s="11" t="s">
        <v>91</v>
      </c>
      <c r="AL46" s="11" t="s">
        <v>407</v>
      </c>
      <c r="AM46" s="11" t="s">
        <v>360</v>
      </c>
      <c r="AN46" s="11" t="s">
        <v>54</v>
      </c>
      <c r="AO46" s="11"/>
      <c r="AP46" s="34" t="s">
        <v>408</v>
      </c>
      <c r="AQ46" s="13" t="s">
        <v>409</v>
      </c>
      <c r="AR46" s="41">
        <f>18/21</f>
        <v>0.8571428571428571</v>
      </c>
      <c r="AS46" s="13">
        <v>3</v>
      </c>
      <c r="AT46" s="23" t="s">
        <v>42</v>
      </c>
      <c r="AU46" s="11"/>
      <c r="AV46" s="11">
        <f t="shared" si="1"/>
        <v>1</v>
      </c>
      <c r="AW46" s="11">
        <f>18/21</f>
        <v>0.8571428571428571</v>
      </c>
      <c r="AX46" s="11">
        <f>16/21</f>
        <v>0.76190476190476186</v>
      </c>
      <c r="AY46" s="11"/>
      <c r="AZ46" s="11"/>
      <c r="BA46" s="11"/>
      <c r="BB46" s="15"/>
      <c r="BC46" s="15"/>
      <c r="BD46" s="15"/>
      <c r="BE46" s="15"/>
      <c r="BF46" s="15"/>
      <c r="BG46" s="15"/>
      <c r="BH46" s="15"/>
      <c r="BI46" s="15"/>
      <c r="BJ46" s="16">
        <v>0</v>
      </c>
      <c r="BK46" s="17" t="s">
        <v>410</v>
      </c>
      <c r="BL46" s="18">
        <v>0</v>
      </c>
      <c r="BM46" s="17"/>
      <c r="BN46" s="11"/>
      <c r="BO46" s="11"/>
      <c r="BP46" s="11"/>
      <c r="BQ46" s="11"/>
      <c r="BR46" s="11"/>
      <c r="BS46" s="11"/>
      <c r="BT46" s="11"/>
    </row>
    <row r="47" spans="1:72" s="10" customFormat="1" ht="20" customHeight="1" x14ac:dyDescent="0.2">
      <c r="A47" s="26">
        <v>44</v>
      </c>
      <c r="B47" s="26" t="s">
        <v>189</v>
      </c>
      <c r="C47" s="26">
        <v>2008</v>
      </c>
      <c r="D47" s="26" t="s">
        <v>4</v>
      </c>
      <c r="E47" s="26"/>
      <c r="F47" s="26"/>
      <c r="G47" s="50"/>
      <c r="H47" s="54">
        <v>0</v>
      </c>
      <c r="I47" s="49"/>
      <c r="J47" s="49"/>
      <c r="K47" s="49"/>
      <c r="L47" s="49"/>
      <c r="M47" s="49"/>
      <c r="N47" s="49"/>
      <c r="O47" s="49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42"/>
      <c r="AR47" s="42"/>
      <c r="AS47" s="42"/>
      <c r="AT47" s="43"/>
      <c r="AU47" s="26"/>
      <c r="AV47" s="11">
        <f t="shared" si="1"/>
        <v>1</v>
      </c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44"/>
      <c r="BK47" s="26"/>
      <c r="BL47" s="45"/>
      <c r="BM47" s="26"/>
      <c r="BN47" s="26" t="s">
        <v>190</v>
      </c>
      <c r="BO47" s="26"/>
      <c r="BP47" s="26"/>
      <c r="BQ47" s="26"/>
      <c r="BR47" s="26"/>
      <c r="BS47" s="26"/>
      <c r="BT47" s="26"/>
    </row>
    <row r="48" spans="1:72" s="10" customFormat="1" ht="20" customHeight="1" x14ac:dyDescent="0.2">
      <c r="A48" s="26">
        <v>45</v>
      </c>
      <c r="B48" s="26" t="s">
        <v>197</v>
      </c>
      <c r="C48" s="26">
        <v>2016</v>
      </c>
      <c r="D48" s="26"/>
      <c r="E48" s="26"/>
      <c r="F48" s="26"/>
      <c r="G48" s="50"/>
      <c r="H48" s="54">
        <v>0</v>
      </c>
      <c r="I48" s="49"/>
      <c r="J48" s="49"/>
      <c r="K48" s="49"/>
      <c r="L48" s="49"/>
      <c r="M48" s="49"/>
      <c r="N48" s="49"/>
      <c r="O48" s="4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42"/>
      <c r="AR48" s="42"/>
      <c r="AS48" s="42"/>
      <c r="AT48" s="43"/>
      <c r="AU48" s="26"/>
      <c r="AV48" s="11">
        <f t="shared" si="1"/>
        <v>1</v>
      </c>
      <c r="AW48" s="26"/>
      <c r="AX48" s="26"/>
      <c r="AY48" s="26"/>
      <c r="AZ48" s="26"/>
      <c r="BA48" s="26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5"/>
      <c r="BM48" s="44"/>
      <c r="BN48" s="26" t="s">
        <v>198</v>
      </c>
      <c r="BO48" s="26"/>
      <c r="BP48" s="26"/>
      <c r="BQ48" s="26"/>
      <c r="BR48" s="26"/>
      <c r="BS48" s="26"/>
      <c r="BT48" s="26"/>
    </row>
    <row r="49" spans="1:72" s="10" customFormat="1" ht="20" customHeight="1" x14ac:dyDescent="0.2">
      <c r="A49" s="26">
        <v>46</v>
      </c>
      <c r="B49" s="26" t="s">
        <v>262</v>
      </c>
      <c r="C49" s="26">
        <v>2018</v>
      </c>
      <c r="D49" s="26" t="s">
        <v>46</v>
      </c>
      <c r="E49" s="26"/>
      <c r="F49" s="26" t="s">
        <v>211</v>
      </c>
      <c r="G49" s="50"/>
      <c r="H49" s="54">
        <v>0</v>
      </c>
      <c r="I49" s="49"/>
      <c r="J49" s="49"/>
      <c r="K49" s="49"/>
      <c r="L49" s="49"/>
      <c r="M49" s="49"/>
      <c r="N49" s="49"/>
      <c r="O49" s="49"/>
      <c r="P49" s="26"/>
      <c r="Q49" s="26">
        <v>6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42"/>
      <c r="AR49" s="42"/>
      <c r="AS49" s="42"/>
      <c r="AT49" s="43"/>
      <c r="AU49" s="26"/>
      <c r="AV49" s="11">
        <f t="shared" si="1"/>
        <v>1</v>
      </c>
      <c r="AW49" s="26"/>
      <c r="AX49" s="26"/>
      <c r="AY49" s="26"/>
      <c r="AZ49" s="26"/>
      <c r="BA49" s="26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5"/>
      <c r="BM49" s="44"/>
      <c r="BN49" s="26" t="s">
        <v>212</v>
      </c>
      <c r="BO49" s="26"/>
      <c r="BP49" s="26"/>
      <c r="BQ49" s="26"/>
      <c r="BR49" s="26"/>
      <c r="BS49" s="26"/>
      <c r="BT49" s="26"/>
    </row>
    <row r="50" spans="1:72" x14ac:dyDescent="0.2">
      <c r="A50" s="11">
        <v>48</v>
      </c>
      <c r="B50" s="26" t="s">
        <v>458</v>
      </c>
      <c r="C50" s="11">
        <v>2011</v>
      </c>
      <c r="D50" s="11" t="s">
        <v>4</v>
      </c>
      <c r="E50" s="11" t="s">
        <v>23</v>
      </c>
      <c r="F50" s="15" t="s">
        <v>436</v>
      </c>
      <c r="G50" s="57"/>
      <c r="H50" s="54">
        <v>0</v>
      </c>
      <c r="I50" s="49"/>
      <c r="J50" s="49"/>
      <c r="K50" s="49"/>
      <c r="L50" s="49"/>
      <c r="M50" s="49"/>
      <c r="N50" s="49"/>
      <c r="O50" s="49"/>
      <c r="P50" s="11">
        <v>0</v>
      </c>
      <c r="Q50" s="11">
        <v>13</v>
      </c>
      <c r="R50" s="11">
        <v>1</v>
      </c>
      <c r="S50" s="11">
        <v>72</v>
      </c>
      <c r="T50" s="11"/>
      <c r="U50" s="11"/>
      <c r="V50" s="11"/>
      <c r="W50" s="11"/>
      <c r="X50" s="11"/>
      <c r="Y50" s="11"/>
      <c r="Z50" s="11"/>
      <c r="AA50" s="11"/>
      <c r="AB50" s="11">
        <f>6/17</f>
        <v>0.35294117647058826</v>
      </c>
      <c r="AC50" s="11"/>
      <c r="AD50" s="11"/>
      <c r="AE50" s="11"/>
      <c r="AF50" s="11"/>
      <c r="AG50" s="11"/>
      <c r="AH50" s="11" t="s">
        <v>437</v>
      </c>
      <c r="AI50" s="11"/>
      <c r="AJ50" s="11" t="s">
        <v>69</v>
      </c>
      <c r="AK50" s="11" t="s">
        <v>91</v>
      </c>
      <c r="AL50" s="11" t="s">
        <v>438</v>
      </c>
      <c r="AM50" s="11"/>
      <c r="AN50" s="11" t="s">
        <v>54</v>
      </c>
      <c r="AO50" s="11" t="s">
        <v>91</v>
      </c>
      <c r="AP50" s="11" t="s">
        <v>296</v>
      </c>
      <c r="AQ50" s="13" t="s">
        <v>439</v>
      </c>
      <c r="AR50" s="13">
        <f>8/13</f>
        <v>0.61538461538461542</v>
      </c>
      <c r="AS50" s="13">
        <v>3</v>
      </c>
      <c r="AT50" s="23"/>
      <c r="AU50" s="11"/>
      <c r="AV50" s="11">
        <f t="shared" si="1"/>
        <v>1</v>
      </c>
      <c r="AW50" s="11">
        <f>8/13</f>
        <v>0.61538461538461542</v>
      </c>
      <c r="AX50" s="11"/>
      <c r="AY50" s="11"/>
      <c r="AZ50" s="11"/>
      <c r="BA50" s="11"/>
      <c r="BB50" s="15"/>
      <c r="BC50" s="15"/>
      <c r="BD50" s="15"/>
      <c r="BE50" s="15"/>
      <c r="BF50" s="15"/>
      <c r="BG50" s="15"/>
      <c r="BH50" s="15"/>
      <c r="BI50" s="15"/>
      <c r="BJ50" s="16"/>
      <c r="BK50" s="17" t="s">
        <v>440</v>
      </c>
      <c r="BL50" s="18"/>
      <c r="BM50" s="17"/>
      <c r="BN50" s="11"/>
      <c r="BO50" s="11"/>
      <c r="BP50" s="11"/>
      <c r="BQ50" s="11"/>
      <c r="BR50" s="11"/>
      <c r="BS50" s="11"/>
      <c r="BT50" s="11"/>
    </row>
    <row r="51" spans="1:72" x14ac:dyDescent="0.2">
      <c r="A51" s="11">
        <v>49</v>
      </c>
      <c r="B51" s="11" t="s">
        <v>441</v>
      </c>
      <c r="C51" s="11">
        <v>2008</v>
      </c>
      <c r="D51" s="11" t="s">
        <v>4</v>
      </c>
      <c r="E51" s="11" t="s">
        <v>442</v>
      </c>
      <c r="F51" s="15" t="s">
        <v>34</v>
      </c>
      <c r="G51" s="15" t="s">
        <v>503</v>
      </c>
      <c r="H51" s="54">
        <v>1</v>
      </c>
      <c r="I51" s="51">
        <v>0</v>
      </c>
      <c r="J51" s="51">
        <v>54</v>
      </c>
      <c r="K51" s="51" t="s">
        <v>481</v>
      </c>
      <c r="L51" s="51" t="s">
        <v>476</v>
      </c>
      <c r="M51" s="51">
        <v>2008</v>
      </c>
      <c r="N51" s="51" t="s">
        <v>92</v>
      </c>
      <c r="O51" s="51" t="s">
        <v>479</v>
      </c>
      <c r="P51" s="11">
        <v>0</v>
      </c>
      <c r="Q51" s="11">
        <v>35</v>
      </c>
      <c r="R51" s="11">
        <v>1</v>
      </c>
      <c r="S51" s="11">
        <v>54</v>
      </c>
      <c r="T51" s="11">
        <f>26/35</f>
        <v>0.74285714285714288</v>
      </c>
      <c r="U51" s="11">
        <f>9/35</f>
        <v>0.25714285714285712</v>
      </c>
      <c r="V51" s="11">
        <f>18/35</f>
        <v>0.51428571428571423</v>
      </c>
      <c r="W51" s="11">
        <f>17/35</f>
        <v>0.48571428571428571</v>
      </c>
      <c r="X51" s="11">
        <v>0</v>
      </c>
      <c r="Y51" s="11">
        <f>8/35</f>
        <v>0.22857142857142856</v>
      </c>
      <c r="Z51" s="11">
        <v>0</v>
      </c>
      <c r="AA51" s="11">
        <f>27/35</f>
        <v>0.77142857142857146</v>
      </c>
      <c r="AB51" s="11"/>
      <c r="AC51" s="11">
        <v>1</v>
      </c>
      <c r="AD51" s="11" t="s">
        <v>23</v>
      </c>
      <c r="AE51" s="11">
        <v>0</v>
      </c>
      <c r="AF51" s="11"/>
      <c r="AG51" s="11" t="s">
        <v>51</v>
      </c>
      <c r="AH51" s="11" t="s">
        <v>443</v>
      </c>
      <c r="AI51" s="11"/>
      <c r="AJ51" s="11" t="s">
        <v>69</v>
      </c>
      <c r="AK51" s="11" t="s">
        <v>91</v>
      </c>
      <c r="AL51" s="11" t="s">
        <v>444</v>
      </c>
      <c r="AM51" s="11" t="s">
        <v>360</v>
      </c>
      <c r="AN51" s="11" t="s">
        <v>54</v>
      </c>
      <c r="AO51" s="11" t="s">
        <v>91</v>
      </c>
      <c r="AP51" s="11" t="s">
        <v>296</v>
      </c>
      <c r="AQ51" s="13" t="s">
        <v>445</v>
      </c>
      <c r="AR51" s="13">
        <f>21/35</f>
        <v>0.6</v>
      </c>
      <c r="AS51" s="13">
        <v>3</v>
      </c>
      <c r="AT51" s="23" t="s">
        <v>446</v>
      </c>
      <c r="AU51" s="11">
        <f>3/35</f>
        <v>8.5714285714285715E-2</v>
      </c>
      <c r="AV51" s="11">
        <f t="shared" si="1"/>
        <v>0.91428571428571426</v>
      </c>
      <c r="AW51" s="11"/>
      <c r="AX51" s="11"/>
      <c r="AY51" s="11"/>
      <c r="AZ51" s="11">
        <f>21/35</f>
        <v>0.6</v>
      </c>
      <c r="BA51" s="11"/>
      <c r="BB51" s="15"/>
      <c r="BC51" s="15"/>
      <c r="BD51" s="15"/>
      <c r="BE51" s="15"/>
      <c r="BF51" s="15"/>
      <c r="BG51" s="15"/>
      <c r="BH51" s="15"/>
      <c r="BI51" s="15"/>
      <c r="BJ51" s="16"/>
      <c r="BK51" s="17" t="s">
        <v>447</v>
      </c>
      <c r="BL51" s="18">
        <v>0</v>
      </c>
      <c r="BM51" s="17"/>
      <c r="BN51" s="11"/>
      <c r="BO51" s="11"/>
      <c r="BP51" s="11"/>
      <c r="BQ51" s="11"/>
      <c r="BR51" s="11"/>
      <c r="BS51" s="11"/>
      <c r="BT51" s="11"/>
    </row>
    <row r="52" spans="1:72" x14ac:dyDescent="0.2">
      <c r="A52" s="11">
        <v>50</v>
      </c>
      <c r="B52" s="11" t="s">
        <v>448</v>
      </c>
      <c r="C52" s="11">
        <v>2018</v>
      </c>
      <c r="D52" s="11" t="s">
        <v>4</v>
      </c>
      <c r="E52" s="11" t="s">
        <v>450</v>
      </c>
      <c r="F52" s="15" t="s">
        <v>449</v>
      </c>
      <c r="G52" s="15" t="s">
        <v>516</v>
      </c>
      <c r="H52" s="54">
        <v>1</v>
      </c>
      <c r="I52" s="51">
        <v>0</v>
      </c>
      <c r="J52" s="51">
        <v>66</v>
      </c>
      <c r="K52" s="51" t="s">
        <v>484</v>
      </c>
      <c r="L52" s="51" t="s">
        <v>105</v>
      </c>
      <c r="M52" s="51">
        <v>2018</v>
      </c>
      <c r="N52" s="51" t="s">
        <v>92</v>
      </c>
      <c r="O52" s="51" t="s">
        <v>479</v>
      </c>
      <c r="P52" s="11">
        <v>0</v>
      </c>
      <c r="Q52" s="11">
        <v>26</v>
      </c>
      <c r="R52" s="11">
        <v>1</v>
      </c>
      <c r="S52" s="11" t="s">
        <v>451</v>
      </c>
      <c r="T52" s="11">
        <f>21/26</f>
        <v>0.80769230769230771</v>
      </c>
      <c r="U52" s="11">
        <f>5/26</f>
        <v>0.19230769230769232</v>
      </c>
      <c r="V52" s="11">
        <f>6/26</f>
        <v>0.23076923076923078</v>
      </c>
      <c r="W52" s="11">
        <f>16/26</f>
        <v>0.61538461538461542</v>
      </c>
      <c r="X52" s="11">
        <f>8/26</f>
        <v>0.30769230769230771</v>
      </c>
      <c r="Y52" s="11">
        <v>0</v>
      </c>
      <c r="Z52" s="11">
        <v>0</v>
      </c>
      <c r="AA52" s="11">
        <v>1</v>
      </c>
      <c r="AB52" s="11">
        <v>0</v>
      </c>
      <c r="AC52" s="11">
        <v>1</v>
      </c>
      <c r="AD52" s="11">
        <f>8/26</f>
        <v>0.30769230769230771</v>
      </c>
      <c r="AE52" s="11">
        <v>0</v>
      </c>
      <c r="AF52" s="11"/>
      <c r="AG52" s="11" t="s">
        <v>452</v>
      </c>
      <c r="AH52" s="11" t="s">
        <v>453</v>
      </c>
      <c r="AI52" s="11"/>
      <c r="AJ52" s="11" t="s">
        <v>155</v>
      </c>
      <c r="AK52" s="11" t="s">
        <v>91</v>
      </c>
      <c r="AL52" s="11" t="s">
        <v>454</v>
      </c>
      <c r="AM52" s="11" t="s">
        <v>350</v>
      </c>
      <c r="AN52" s="11" t="s">
        <v>455</v>
      </c>
      <c r="AO52" s="11" t="s">
        <v>39</v>
      </c>
      <c r="AP52" s="11" t="s">
        <v>296</v>
      </c>
      <c r="AQ52" s="13" t="s">
        <v>456</v>
      </c>
      <c r="AR52" s="13">
        <f>21/26</f>
        <v>0.80769230769230771</v>
      </c>
      <c r="AS52" s="13">
        <v>3</v>
      </c>
      <c r="AT52" s="23"/>
      <c r="AU52" s="11">
        <f>4/26</f>
        <v>0.15384615384615385</v>
      </c>
      <c r="AV52" s="11">
        <f t="shared" si="1"/>
        <v>0.84615384615384615</v>
      </c>
      <c r="AW52" s="11">
        <f>21/26</f>
        <v>0.80769230769230771</v>
      </c>
      <c r="AX52" s="11">
        <f>19/26</f>
        <v>0.73076923076923073</v>
      </c>
      <c r="AY52" s="11">
        <f>18/26</f>
        <v>0.69230769230769229</v>
      </c>
      <c r="AZ52" s="11"/>
      <c r="BA52" s="11"/>
      <c r="BB52" s="15"/>
      <c r="BC52" s="15"/>
      <c r="BD52" s="15"/>
      <c r="BE52" s="15"/>
      <c r="BF52" s="15"/>
      <c r="BG52" s="15"/>
      <c r="BH52" s="15"/>
      <c r="BI52" s="15"/>
      <c r="BJ52" s="16">
        <f>3/26</f>
        <v>0.11538461538461539</v>
      </c>
      <c r="BK52" s="17" t="s">
        <v>457</v>
      </c>
      <c r="BL52" s="18">
        <v>3</v>
      </c>
      <c r="BM52" s="17"/>
      <c r="BN52" s="11"/>
      <c r="BO52" s="11"/>
      <c r="BP52" s="11"/>
      <c r="BQ52" s="11"/>
      <c r="BR52" s="11"/>
      <c r="BS52" s="11"/>
      <c r="BT52" s="11"/>
    </row>
    <row r="53" spans="1:72" x14ac:dyDescent="0.2">
      <c r="A53" s="11">
        <v>51</v>
      </c>
      <c r="B53" s="26" t="s">
        <v>459</v>
      </c>
      <c r="C53" s="11">
        <v>2019</v>
      </c>
      <c r="D53" s="11" t="s">
        <v>4</v>
      </c>
      <c r="E53" s="11" t="s">
        <v>23</v>
      </c>
      <c r="F53" s="15" t="s">
        <v>460</v>
      </c>
      <c r="G53" s="57"/>
      <c r="H53" s="54">
        <v>0</v>
      </c>
      <c r="I53" s="49"/>
      <c r="J53" s="49"/>
      <c r="K53" s="49"/>
      <c r="L53" s="49"/>
      <c r="M53" s="49"/>
      <c r="N53" s="49"/>
      <c r="O53" s="49"/>
      <c r="P53" s="11">
        <v>1</v>
      </c>
      <c r="Q53" s="11">
        <v>11</v>
      </c>
      <c r="R53" s="11">
        <v>1</v>
      </c>
      <c r="S53" s="11"/>
      <c r="T53" s="11"/>
      <c r="U53" s="11"/>
      <c r="V53" s="11"/>
      <c r="W53" s="11"/>
      <c r="X53" s="11">
        <v>1</v>
      </c>
      <c r="Y53" s="11">
        <v>0</v>
      </c>
      <c r="Z53" s="11">
        <v>0</v>
      </c>
      <c r="AA53" s="11">
        <v>1</v>
      </c>
      <c r="AB53" s="11"/>
      <c r="AC53" s="11">
        <v>1</v>
      </c>
      <c r="AD53" s="11">
        <v>1</v>
      </c>
      <c r="AE53" s="11"/>
      <c r="AF53" s="11">
        <v>1</v>
      </c>
      <c r="AG53" s="11" t="s">
        <v>48</v>
      </c>
      <c r="AH53" s="11"/>
      <c r="AI53" s="11"/>
      <c r="AJ53" s="11" t="s">
        <v>111</v>
      </c>
      <c r="AK53" s="11" t="s">
        <v>91</v>
      </c>
      <c r="AL53" s="11" t="s">
        <v>461</v>
      </c>
      <c r="AM53" s="11" t="s">
        <v>462</v>
      </c>
      <c r="AN53" s="11" t="s">
        <v>455</v>
      </c>
      <c r="AO53" s="11"/>
      <c r="AP53" s="11" t="s">
        <v>296</v>
      </c>
      <c r="AQ53" s="13" t="s">
        <v>463</v>
      </c>
      <c r="AR53" s="13">
        <f>7/11</f>
        <v>0.63636363636363635</v>
      </c>
      <c r="AS53" s="13">
        <v>6</v>
      </c>
      <c r="AT53" s="23"/>
      <c r="AU53" s="11"/>
      <c r="AV53" s="11">
        <f t="shared" si="1"/>
        <v>1</v>
      </c>
      <c r="AW53" s="11"/>
      <c r="AX53" s="11">
        <f>AR53</f>
        <v>0.63636363636363635</v>
      </c>
      <c r="AY53" s="11"/>
      <c r="AZ53" s="11"/>
      <c r="BA53" s="11"/>
      <c r="BB53" s="15"/>
      <c r="BC53" s="15"/>
      <c r="BD53" s="15"/>
      <c r="BE53" s="15"/>
      <c r="BF53" s="15"/>
      <c r="BG53" s="15"/>
      <c r="BH53" s="15"/>
      <c r="BI53" s="15"/>
      <c r="BJ53" s="16" t="s">
        <v>23</v>
      </c>
      <c r="BK53" s="17"/>
      <c r="BL53" s="18"/>
      <c r="BM53" s="17"/>
      <c r="BN53" s="11"/>
      <c r="BO53" s="11"/>
      <c r="BP53" s="11"/>
      <c r="BQ53" s="11"/>
      <c r="BR53" s="11"/>
      <c r="BS53" s="11"/>
      <c r="BT53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4" sqref="A14"/>
    </sheetView>
  </sheetViews>
  <sheetFormatPr baseColWidth="10" defaultColWidth="8.83203125" defaultRowHeight="15" x14ac:dyDescent="0.2"/>
  <sheetData>
    <row r="1" spans="1:1" x14ac:dyDescent="0.2">
      <c r="A1">
        <v>0.8</v>
      </c>
    </row>
    <row r="2" spans="1:1" x14ac:dyDescent="0.2">
      <c r="A2">
        <v>2.7</v>
      </c>
    </row>
    <row r="3" spans="1:1" x14ac:dyDescent="0.2">
      <c r="A3">
        <v>4.4000000000000004</v>
      </c>
    </row>
    <row r="4" spans="1:1" x14ac:dyDescent="0.2">
      <c r="A4">
        <v>2.8</v>
      </c>
    </row>
    <row r="5" spans="1:1" x14ac:dyDescent="0.2">
      <c r="A5">
        <v>0.7</v>
      </c>
    </row>
    <row r="6" spans="1:1" x14ac:dyDescent="0.2">
      <c r="A6">
        <v>2.7</v>
      </c>
    </row>
    <row r="7" spans="1:1" x14ac:dyDescent="0.2">
      <c r="A7">
        <v>5.3</v>
      </c>
    </row>
    <row r="8" spans="1:1" x14ac:dyDescent="0.2">
      <c r="A8">
        <v>3.3</v>
      </c>
    </row>
    <row r="9" spans="1:1" x14ac:dyDescent="0.2">
      <c r="A9">
        <v>3</v>
      </c>
    </row>
    <row r="10" spans="1:1" x14ac:dyDescent="0.2">
      <c r="A10">
        <v>2.7</v>
      </c>
    </row>
    <row r="11" spans="1:1" x14ac:dyDescent="0.2">
      <c r="A11">
        <v>4.4000000000000004</v>
      </c>
    </row>
    <row r="12" spans="1:1" x14ac:dyDescent="0.2">
      <c r="A12">
        <v>3.2</v>
      </c>
    </row>
    <row r="13" spans="1:1" x14ac:dyDescent="0.2">
      <c r="A13">
        <v>17.5</v>
      </c>
    </row>
    <row r="14" spans="1:1" x14ac:dyDescent="0.2">
      <c r="A14">
        <f>MEDIAN(A1:A13)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>Moffitt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Roger</dc:creator>
  <cp:lastModifiedBy>Microsoft Office User</cp:lastModifiedBy>
  <dcterms:created xsi:type="dcterms:W3CDTF">2019-03-11T11:51:20Z</dcterms:created>
  <dcterms:modified xsi:type="dcterms:W3CDTF">2020-01-23T15:08:28Z</dcterms:modified>
</cp:coreProperties>
</file>