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ab23e395d241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M" sheetId="1" r:id="R8c9f91201b2c4530"/>
    <x:sheet xmlns:r="http://schemas.openxmlformats.org/officeDocument/2006/relationships" name="FIYAT" sheetId="2" r:id="R58d5514ad041446f"/>
    <x:sheet xmlns:r="http://schemas.openxmlformats.org/officeDocument/2006/relationships" name="KURALLAR" sheetId="3" r:id="Rd249c86bcab54771"/>
    <x:sheet xmlns:r="http://schemas.openxmlformats.org/officeDocument/2006/relationships" name="TEKLIF" sheetId="4" r:id="Red6c226988dc4b0b"/>
    <x:sheet xmlns:r="http://schemas.openxmlformats.org/officeDocument/2006/relationships" name="OZET" sheetId="5" r:id="R959a00d5153a4444"/>
    <x:sheet xmlns:r="http://schemas.openxmlformats.org/officeDocument/2006/relationships" name="LISTE" sheetId="6" r:id="R24483f603c2c4e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0%"/>
    <x:numFmt numFmtId="202" formatCode="yyyy-mm-dd"/>
  </x:numFmts>
  <x:fonts count="4">
    <x:font>
      <x:sz val="11"/>
      <x:name val="Carlito"/>
    </x:font>
    <x:font>
      <x:sz val="14"/>
      <x:name val="Arial"/>
    </x:font>
    <x:font>
      <x:b/>
      <x:sz val="14"/>
      <x:name val="Arial"/>
    </x:font>
    <x:font>
      <x:b/>
      <x:sz val="18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C000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  <x:fill>
      <x:patternFill patternType="solid">
        <x:fgColor rgb="FFF4CCCC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200" fontId="1" fillId="5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201" fontId="1" fillId="4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ca450e25ba4e10" /><Relationship Type="http://schemas.openxmlformats.org/officeDocument/2006/relationships/theme" Target="/xl/theme/theme1.xml" Id="R572d91dc61284e9c" /><Relationship Type="http://schemas.openxmlformats.org/officeDocument/2006/relationships/sharedStrings" Target="/xl/sharedStrings.xml" Id="R61c5dfe78d6147e8" /><Relationship Type="http://schemas.openxmlformats.org/officeDocument/2006/relationships/worksheet" Target="/xl/worksheets/sheet1.xml" Id="R8c9f91201b2c4530" /><Relationship Type="http://schemas.openxmlformats.org/officeDocument/2006/relationships/worksheet" Target="/xl/worksheets/sheet2.xml" Id="R58d5514ad041446f" /><Relationship Type="http://schemas.openxmlformats.org/officeDocument/2006/relationships/worksheet" Target="/xl/worksheets/sheet3.xml" Id="Rd249c86bcab54771" /><Relationship Type="http://schemas.openxmlformats.org/officeDocument/2006/relationships/worksheet" Target="/xl/worksheets/sheet4.xml" Id="Red6c226988dc4b0b" /><Relationship Type="http://schemas.openxmlformats.org/officeDocument/2006/relationships/worksheet" Target="/xl/worksheets/sheet5.xml" Id="R959a00d5153a4444" /><Relationship Type="http://schemas.openxmlformats.org/officeDocument/2006/relationships/worksheet" Target="/xl/worksheets/sheet6.xml" Id="R24483f603c2c4ee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1b6805ae340a416d" /><Relationship Type="http://schemas.openxmlformats.org/officeDocument/2006/relationships/image" Target="/xl/media/image2.png" Id="R2da143d871364c02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2857500" cy="647700"/>
    <xdr:pic>
      <xdr:nvPicPr>
        <xdr:cNvPr id="1" name="0c55af94-bb01-48d2-bca5-66a0052d912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b6805ae340a416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9</xdr:row>
      <xdr:rowOff>0</xdr:rowOff>
    </xdr:from>
    <xdr:ext cx="2190750" cy="1466850"/>
    <xdr:pic>
      <xdr:nvPicPr>
        <xdr:cNvPr id="2" name="ab2d3007-4b68-4754-8881-138c7aee7f7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da143d871364c0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46cdd2a5083d410d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2" topLeftCell="C3" activePane="bottomRight" state="frozen"/>
    </x:sheetView>
  </x:sheetViews>
  <x:sheetFormatPr defaultRowHeight="15"/>
  <x:cols>
    <x:col min="1" max="1" width="64" hidden="0" customWidth="1"/>
    <x:col min="2" max="2" width="24" hidden="0" customWidth="1"/>
    <x:col min="3" max="3" width="21" hidden="0" customWidth="1"/>
    <x:col min="4" max="4" width="25" hidden="0" customWidth="1"/>
    <x:col min="5" max="5" width="18" hidden="0" customWidth="1"/>
    <x:col min="6" max="6" width="18" hidden="0" customWidth="1"/>
    <x:col min="7" max="7" width="20" hidden="0" customWidth="1"/>
    <x:col min="8" max="8" width="10" hidden="0" customWidth="1"/>
    <x:col min="9" max="9" width="14" hidden="0" customWidth="1"/>
    <x:col min="10" max="10" width="19" hidden="0" customWidth="1"/>
    <x:col min="11" max="11" width="39" hidden="0" customWidth="1"/>
    <x:col min="12" max="12" width="80" hidden="0" customWidth="1"/>
    <x:col min="13" max="13" width="18" hidden="1" customWidth="1"/>
    <x:col min="14" max="14" width="14" hidden="1" customWidth="1"/>
    <x:col min="15" max="15" width="16" hidden="1" customWidth="1"/>
    <x:col min="16" max="16" hidden="1" width="12" customWidth="1"/>
  </x:cols>
  <x:sheetData>
    <x:row r="1" ht="52" customHeight="1">
      <x:c r="A1" s="6" t="str">
        <x:v>Наименование</x:v>
      </x:c>
      <x:c r="B1" s="6" t="str">
        <x:v>pano ismi</x:v>
      </x:c>
      <x:c r="C1" s="6" t="str">
        <x:v>malzeme tipi</x:v>
      </x:c>
      <x:c r="D1" s="6" t="str">
        <x:v>Артикул</x:v>
      </x:c>
      <x:c r="E1" s="6" t="str">
        <x:v>Цена прайс</x:v>
      </x:c>
      <x:c r="F1" s="6" t="str">
        <x:v>Цена нетто</x:v>
      </x:c>
      <x:c r="G1" s="6" t="str">
        <x:v>Сумма</x:v>
      </x:c>
      <x:c r="H1" s="6" t="str">
        <x:v>Qty</x:v>
      </x:c>
      <x:c r="I1" s="6" t="str">
        <x:v>Ед.изм</x:v>
      </x:c>
      <x:c r="J1" s="6" t="str">
        <x:v>завод изготовитель</x:v>
      </x:c>
      <x:c r="K1" s="6" t="str">
        <x:v>Источник</x:v>
      </x:c>
      <x:c r="L1" s="6" t="str">
        <x:v>Примечание</x:v>
      </x:c>
      <x:c r="M1" s="6" t="str">
        <x:v>ROW_TYPE</x:v>
      </x:c>
      <x:c r="N1" s="6" t="str">
        <x:v>PANEL_ID</x:v>
      </x:c>
      <x:c r="O1" s="6" t="str">
        <x:v>PRICE_ID</x:v>
      </x:c>
      <x:c r="P1" t="str">
        <x:v>MISSING_PRICE</x:v>
      </x:c>
    </x:row>
    <x:row r="2" ht="76" customHeight="1">
      <x:c r="A2" s="7" t="str">
        <x:f>B2&amp;" / "&amp;H2&amp;" компл."</x:f>
        <x:v>BT.SHBZ — ETHA / 1 компл.</x:v>
      </x:c>
      <x:c r="B2" s="7" t="str">
        <x:v>BT.SHBZ — ETHA</x:v>
      </x:c>
      <x:c r="C2" s="7" t="str">
        <x:v>Пустой корпус</x:v>
      </x:c>
      <x:c r="D2" s="7"/>
      <x:c r="E2" s="7"/>
      <x:c r="F2" s="7"/>
      <x:c r="G2" s="7"/>
      <x:c r="H2" s="8" t="n">
        <x:v>1</x:v>
      </x:c>
      <x:c r="I2" s="7" t="str">
        <x:v>компл.</x:v>
      </x:c>
      <x:c r="J2" s="7" t="str">
        <x:v>YSF</x:v>
      </x:c>
      <x:c r="K2" s="7" t="str">
        <x:v>BT. SHBZ.001–007</x:v>
      </x:c>
      <x:c r="L2" s="7" t="str">
        <x:v>Расчёт на 1 комплект. Количество заказа НЕ задано. 1200×900×200 мм, В×Ш×Г; глубина номинальная.</x:v>
      </x:c>
      <x:c r="M2" s="7" t="str">
        <x:v>PANEL</x:v>
      </x:c>
      <x:c r="N2" s="7" t="str">
        <x:v>P001</x:v>
      </x:c>
      <x:c r="O2" s="7"/>
    </x:row>
    <x:row r="3" ht="80" customHeight="1">
      <x:c r="A3" s="3" t="str">
        <x:v>Корпус: П-образная оболочка 1200×900×200 мм</x:v>
      </x:c>
      <x:c r="B3" s="3" t="str">
        <x:v>BT.SHBZ — ETHA</x:v>
      </x:c>
      <x:c r="C3" s="3" t="str">
        <x:v>KORPUS</x:v>
      </x:c>
      <x:c r="D3" s="3" t="str">
        <x:v>BT. SHBZ.001</x:v>
      </x:c>
      <x:c r="E3" s="9" t="str">
        <x:f>IF(COUNTIF(FIYAT!$A$2:$A$200,O3)&lt;&gt;1,"",IF(VLOOKUP(O3,FIYAT!$A$2:$U$200,21,FALSE),VLOOKUP(O3,FIYAT!$A$2:$U$200,5,FALSE),""))</x:f>
      </x:c>
      <x:c r="F3" s="9" t="str">
        <x:f>IF(COUNTIF(FIYAT!$A$2:$A$200,O3)&lt;&gt;1,"",IF(VLOOKUP(O3,FIYAT!$A$2:$P$200,16,FALSE)="FIYAT_YOK","",VLOOKUP(O3,FIYAT!$A$2:$P$200,10,FALSE)))</x:f>
      </x:c>
      <x:c r="G3" s="9" t="str">
        <x:f>IF(COUNT(F3,H3)&lt;2,"",F3*H3)</x:f>
      </x:c>
      <x:c r="H3" s="3" t="n">
        <x:v>1</x:v>
      </x:c>
      <x:c r="I3" s="3" t="str">
        <x:v>шт</x:v>
      </x:c>
      <x:c r="J3" s="3" t="str">
        <x:v>YSF</x:v>
      </x:c>
      <x:c r="K3" s="3" t="str">
        <x:v>BT. SHBZ.001.PDF, с.1; DXF</x:v>
      </x:c>
      <x:c r="L3" s="3" t="str">
        <x:v>Толщина не задана; материал уточнить. 2×125×125 мм боковые проёмы; 12×Ø7 мм для петель; 8×Ø1,75 только разметка Только оболочка, детали .002–.007 отдельно.</x:v>
      </x:c>
      <x:c r="M3" s="3" t="str">
        <x:v>KORPUS</x:v>
      </x:c>
      <x:c r="N3" s="3" t="str">
        <x:v>P001</x:v>
      </x:c>
      <x:c r="O3" s="3" t="str">
        <x:f>IF(D3="","F001",IF(COUNTIF(FIYAT!$S$2:$S$200,J3&amp;"|"&amp;D3)=1,VLOOKUP(J3&amp;"|"&amp;D3,FIYAT!$S$2:$T$200,2,FALSE),"ARTIKUL_YOK"))</x:f>
        <x:v>F001</x:v>
      </x:c>
      <x:c r="P3" t="n">
        <x:f>IF(ISNUMBER(G3),0,1)</x:f>
        <x:v>1</x:v>
      </x:c>
    </x:row>
    <x:row r="4" ht="80" customHeight="1">
      <x:c r="A4" s="3" t="str">
        <x:v>Панель горизонтальная, без отверстий</x:v>
      </x:c>
      <x:c r="B4" s="3" t="str">
        <x:v>BT.SHBZ — ETHA</x:v>
      </x:c>
      <x:c r="C4" s="3" t="str">
        <x:v>ITEM</x:v>
      </x:c>
      <x:c r="D4" s="3" t="str">
        <x:v>BT. SHBZ.002</x:v>
      </x:c>
      <x:c r="E4" s="9" t="str">
        <x:f>IF(COUNTIF(FIYAT!$A$2:$A$200,O4)&lt;&gt;1,"",IF(VLOOKUP(O4,FIYAT!$A$2:$U$200,21,FALSE),VLOOKUP(O4,FIYAT!$A$2:$U$200,5,FALSE),""))</x:f>
      </x:c>
      <x:c r="F4" s="9" t="str">
        <x:f>IF(COUNTIF(FIYAT!$A$2:$A$200,O4)&lt;&gt;1,"",IF(VLOOKUP(O4,FIYAT!$A$2:$P$200,16,FALSE)="FIYAT_YOK","",VLOOKUP(O4,FIYAT!$A$2:$P$200,10,FALSE)))</x:f>
      </x:c>
      <x:c r="G4" s="9" t="str">
        <x:f>IF(COUNT(F4,H4)&lt;2,"",F4*H4)</x:f>
      </x:c>
      <x:c r="H4" s="3" t="n">
        <x:v>1</x:v>
      </x:c>
      <x:c r="I4" s="3" t="str">
        <x:v>шт</x:v>
      </x:c>
      <x:c r="J4" s="3" t="str">
        <x:v>YSF</x:v>
      </x:c>
      <x:c r="K4" s="3" t="str">
        <x:v>BT. SHBZ.002-003.PDF, с.1; DXF</x:v>
      </x:c>
      <x:c r="L4" s="3" t="str">
        <x:v>s=1.2 мм; материал уточнить. </x:v>
      </x:c>
      <x:c r="M4" s="3" t="str">
        <x:v>ITEM</x:v>
      </x:c>
      <x:c r="N4" s="3" t="str">
        <x:v>P001</x:v>
      </x:c>
      <x:c r="O4" s="3" t="str">
        <x:f>IF(D4="","F002",IF(COUNTIF(FIYAT!$S$2:$S$200,J4&amp;"|"&amp;D4)=1,VLOOKUP(J4&amp;"|"&amp;D4,FIYAT!$S$2:$T$200,2,FALSE),"ARTIKUL_YOK"))</x:f>
        <x:v>F002</x:v>
      </x:c>
      <x:c r="P4" t="n">
        <x:f>IF(ISNUMBER(G4),0,1)</x:f>
        <x:v>1</x:v>
      </x:c>
    </x:row>
    <x:row r="5" ht="80" customHeight="1">
      <x:c r="A5" s="3" t="str">
        <x:v>Панель кабельного ввода, 18×Ø30 + 1×Ø107</x:v>
      </x:c>
      <x:c r="B5" s="3" t="str">
        <x:v>BT.SHBZ — ETHA</x:v>
      </x:c>
      <x:c r="C5" s="3" t="str">
        <x:v>ITEM</x:v>
      </x:c>
      <x:c r="D5" s="3" t="str">
        <x:v>BT. SHBZ.003</x:v>
      </x:c>
      <x:c r="E5" s="9" t="str">
        <x:f>IF(COUNTIF(FIYAT!$A$2:$A$200,O5)&lt;&gt;1,"",IF(VLOOKUP(O5,FIYAT!$A$2:$U$200,21,FALSE),VLOOKUP(O5,FIYAT!$A$2:$U$200,5,FALSE),""))</x:f>
      </x:c>
      <x:c r="F5" s="9" t="str">
        <x:f>IF(COUNTIF(FIYAT!$A$2:$A$200,O5)&lt;&gt;1,"",IF(VLOOKUP(O5,FIYAT!$A$2:$P$200,16,FALSE)="FIYAT_YOK","",VLOOKUP(O5,FIYAT!$A$2:$P$200,10,FALSE)))</x:f>
      </x:c>
      <x:c r="G5" s="9" t="str">
        <x:f>IF(COUNT(F5,H5)&lt;2,"",F5*H5)</x:f>
      </x:c>
      <x:c r="H5" s="3" t="n">
        <x:v>1</x:v>
      </x:c>
      <x:c r="I5" s="3" t="str">
        <x:v>шт</x:v>
      </x:c>
      <x:c r="J5" s="3" t="str">
        <x:v>YSF</x:v>
      </x:c>
      <x:c r="K5" s="3" t="str">
        <x:v>BT. SHBZ.002-003.PDF, с.1; DXF</x:v>
      </x:c>
      <x:c r="L5" s="3" t="str">
        <x:v>s=1.2 мм; материал уточнить. 18 × Ø30 mm + 1 × Ø107 mm</x:v>
      </x:c>
      <x:c r="M5" s="3" t="str">
        <x:v>ITEM</x:v>
      </x:c>
      <x:c r="N5" s="3" t="str">
        <x:v>P001</x:v>
      </x:c>
      <x:c r="O5" s="3" t="str">
        <x:f>IF(D5="","F003",IF(COUNTIF(FIYAT!$S$2:$S$200,J5&amp;"|"&amp;D5)=1,VLOOKUP(J5&amp;"|"&amp;D5,FIYAT!$S$2:$T$200,2,FALSE),"ARTIKUL_YOK"))</x:f>
        <x:v>F003</x:v>
      </x:c>
      <x:c r="P5" t="n">
        <x:f>IF(ISNUMBER(G5),0,1)</x:f>
        <x:v>1</x:v>
      </x:c>
    </x:row>
    <x:row r="6" ht="80" customHeight="1">
      <x:c r="A6" s="3" t="str">
        <x:v>Панель монтажная 1135×830×15 мм</x:v>
      </x:c>
      <x:c r="B6" s="3" t="str">
        <x:v>BT.SHBZ — ETHA</x:v>
      </x:c>
      <x:c r="C6" s="3" t="str">
        <x:v>ITEM</x:v>
      </x:c>
      <x:c r="D6" s="3" t="str">
        <x:v>BT. SHBZ.004</x:v>
      </x:c>
      <x:c r="E6" s="9" t="str">
        <x:f>IF(COUNTIF(FIYAT!$A$2:$A$200,O6)&lt;&gt;1,"",IF(VLOOKUP(O6,FIYAT!$A$2:$U$200,21,FALSE),VLOOKUP(O6,FIYAT!$A$2:$U$200,5,FALSE),""))</x:f>
      </x:c>
      <x:c r="F6" s="9" t="str">
        <x:f>IF(COUNTIF(FIYAT!$A$2:$A$200,O6)&lt;&gt;1,"",IF(VLOOKUP(O6,FIYAT!$A$2:$P$200,16,FALSE)="FIYAT_YOK","",VLOOKUP(O6,FIYAT!$A$2:$P$200,10,FALSE)))</x:f>
      </x:c>
      <x:c r="G6" s="9" t="str">
        <x:f>IF(COUNT(F6,H6)&lt;2,"",F6*H6)</x:f>
      </x:c>
      <x:c r="H6" s="3" t="n">
        <x:v>1</x:v>
      </x:c>
      <x:c r="I6" s="3" t="str">
        <x:v>шт</x:v>
      </x:c>
      <x:c r="J6" s="3" t="str">
        <x:v>YSF</x:v>
      </x:c>
      <x:c r="K6" s="3" t="str">
        <x:v>BT. SHBZ.004.PDF, с.1; DXF</x:v>
      </x:c>
      <x:c r="L6" s="3" t="str">
        <x:v>s=1.2 мм; оцинкованная сталь. 6 × Ø9 mm</x:v>
      </x:c>
      <x:c r="M6" s="3" t="str">
        <x:v>ITEM</x:v>
      </x:c>
      <x:c r="N6" s="3" t="str">
        <x:v>P001</x:v>
      </x:c>
      <x:c r="O6" s="3" t="str">
        <x:f>IF(D6="","F004",IF(COUNTIF(FIYAT!$S$2:$S$200,J6&amp;"|"&amp;D6)=1,VLOOKUP(J6&amp;"|"&amp;D6,FIYAT!$S$2:$T$200,2,FALSE),"ARTIKUL_YOK"))</x:f>
        <x:v>F004</x:v>
      </x:c>
      <x:c r="P6" t="n">
        <x:f>IF(ISNUMBER(G6),0,1)</x:f>
        <x:v>1</x:v>
      </x:c>
    </x:row>
    <x:row r="7" ht="80" customHeight="1">
      <x:c r="A7" s="3" t="str">
        <x:v>Дверь с притвором 1195×445×20 мм, 9×Ø23</x:v>
      </x:c>
      <x:c r="B7" s="3" t="str">
        <x:v>BT.SHBZ — ETHA</x:v>
      </x:c>
      <x:c r="C7" s="3" t="str">
        <x:v>ITEM</x:v>
      </x:c>
      <x:c r="D7" s="3" t="str">
        <x:v>BT. SHBZ.005</x:v>
      </x:c>
      <x:c r="E7" s="9" t="str">
        <x:f>IF(COUNTIF(FIYAT!$A$2:$A$200,O7)&lt;&gt;1,"",IF(VLOOKUP(O7,FIYAT!$A$2:$U$200,21,FALSE),VLOOKUP(O7,FIYAT!$A$2:$U$200,5,FALSE),""))</x:f>
      </x:c>
      <x:c r="F7" s="9" t="str">
        <x:f>IF(COUNTIF(FIYAT!$A$2:$A$200,O7)&lt;&gt;1,"",IF(VLOOKUP(O7,FIYAT!$A$2:$P$200,16,FALSE)="FIYAT_YOK","",VLOOKUP(O7,FIYAT!$A$2:$P$200,10,FALSE)))</x:f>
      </x:c>
      <x:c r="G7" s="9" t="str">
        <x:f>IF(COUNT(F7,H7)&lt;2,"",F7*H7)</x:f>
      </x:c>
      <x:c r="H7" s="3" t="n">
        <x:v>1</x:v>
      </x:c>
      <x:c r="I7" s="3" t="str">
        <x:v>шт</x:v>
      </x:c>
      <x:c r="J7" s="3" t="str">
        <x:v>YSF</x:v>
      </x:c>
      <x:c r="K7" s="3" t="str">
        <x:v>BT. SHBZ.005.PDF, с.1; DXF</x:v>
      </x:c>
      <x:c r="L7" s="3" t="str">
        <x:v>s=1.2 мм; оцинкованная сталь. 9 × Ø23 mm</x:v>
      </x:c>
      <x:c r="M7" s="3" t="str">
        <x:v>ITEM</x:v>
      </x:c>
      <x:c r="N7" s="3" t="str">
        <x:v>P001</x:v>
      </x:c>
      <x:c r="O7" s="3" t="str">
        <x:f>IF(D7="","F005",IF(COUNTIF(FIYAT!$S$2:$S$200,J7&amp;"|"&amp;D7)=1,VLOOKUP(J7&amp;"|"&amp;D7,FIYAT!$S$2:$T$200,2,FALSE),"ARTIKUL_YOK"))</x:f>
        <x:v>F005</x:v>
      </x:c>
      <x:c r="P7" t="n">
        <x:f>IF(ISNUMBER(G7),0,1)</x:f>
        <x:v>1</x:v>
      </x:c>
    </x:row>
    <x:row r="8" ht="80" customHeight="1">
      <x:c r="A8" s="3" t="str">
        <x:v>Дверь под замки 1195×445×20 мм, 6×Ø23</x:v>
      </x:c>
      <x:c r="B8" s="3" t="str">
        <x:v>BT.SHBZ — ETHA</x:v>
      </x:c>
      <x:c r="C8" s="3" t="str">
        <x:v>ITEM</x:v>
      </x:c>
      <x:c r="D8" s="3" t="str">
        <x:v>BT. SHBZ.006</x:v>
      </x:c>
      <x:c r="E8" s="9" t="str">
        <x:f>IF(COUNTIF(FIYAT!$A$2:$A$200,O8)&lt;&gt;1,"",IF(VLOOKUP(O8,FIYAT!$A$2:$U$200,21,FALSE),VLOOKUP(O8,FIYAT!$A$2:$U$200,5,FALSE),""))</x:f>
      </x:c>
      <x:c r="F8" s="9" t="str">
        <x:f>IF(COUNTIF(FIYAT!$A$2:$A$200,O8)&lt;&gt;1,"",IF(VLOOKUP(O8,FIYAT!$A$2:$P$200,16,FALSE)="FIYAT_YOK","",VLOOKUP(O8,FIYAT!$A$2:$P$200,10,FALSE)))</x:f>
      </x:c>
      <x:c r="G8" s="9" t="str">
        <x:f>IF(COUNT(F8,H8)&lt;2,"",F8*H8)</x:f>
      </x:c>
      <x:c r="H8" s="3" t="n">
        <x:v>1</x:v>
      </x:c>
      <x:c r="I8" s="3" t="str">
        <x:v>шт</x:v>
      </x:c>
      <x:c r="J8" s="3" t="str">
        <x:v>YSF</x:v>
      </x:c>
      <x:c r="K8" s="3" t="str">
        <x:v>BT. SHBZ.006.PDF, с.1; DXF</x:v>
      </x:c>
      <x:c r="L8" s="3" t="str">
        <x:v>s=1.2 мм; оцинкованная сталь. 6 × Ø23 mm + 2 × 20×20 mm</x:v>
      </x:c>
      <x:c r="M8" s="3" t="str">
        <x:v>ITEM</x:v>
      </x:c>
      <x:c r="N8" s="3" t="str">
        <x:v>P001</x:v>
      </x:c>
      <x:c r="O8" s="3" t="str">
        <x:f>IF(D8="","F006",IF(COUNTIF(FIYAT!$S$2:$S$200,J8&amp;"|"&amp;D8)=1,VLOOKUP(J8&amp;"|"&amp;D8,FIYAT!$S$2:$T$200,2,FALSE),"ARTIKUL_YOK"))</x:f>
        <x:v>F006</x:v>
      </x:c>
      <x:c r="P8" t="n">
        <x:f>IF(ISNUMBER(G8),0,1)</x:f>
        <x:v>1</x:v>
      </x:c>
    </x:row>
    <x:row r="9" ht="80" customHeight="1">
      <x:c r="A9" s="3" t="str">
        <x:v>Кронштейн П-образный 42×36×18,8 мм</x:v>
      </x:c>
      <x:c r="B9" s="3" t="str">
        <x:v>BT.SHBZ — ETHA</x:v>
      </x:c>
      <x:c r="C9" s="3" t="str">
        <x:v>ITEM</x:v>
      </x:c>
      <x:c r="D9" s="3" t="str">
        <x:v>BT. SHBZ.007</x:v>
      </x:c>
      <x:c r="E9" s="9" t="str">
        <x:f>IF(COUNTIF(FIYAT!$A$2:$A$200,O9)&lt;&gt;1,"",IF(VLOOKUP(O9,FIYAT!$A$2:$U$200,21,FALSE),VLOOKUP(O9,FIYAT!$A$2:$U$200,5,FALSE),""))</x:f>
      </x:c>
      <x:c r="F9" s="9" t="str">
        <x:f>IF(COUNTIF(FIYAT!$A$2:$A$200,O9)&lt;&gt;1,"",IF(VLOOKUP(O9,FIYAT!$A$2:$P$200,16,FALSE)="FIYAT_YOK","",VLOOKUP(O9,FIYAT!$A$2:$P$200,10,FALSE)))</x:f>
      </x:c>
      <x:c r="G9" s="9" t="str">
        <x:f>IF(COUNT(F9,H9)&lt;2,"",F9*H9)</x:f>
      </x:c>
      <x:c r="H9" s="3" t="n">
        <x:v>2</x:v>
      </x:c>
      <x:c r="I9" s="3" t="str">
        <x:v>шт</x:v>
      </x:c>
      <x:c r="J9" s="3" t="str">
        <x:v>YSF</x:v>
      </x:c>
      <x:c r="K9" s="3" t="str">
        <x:v>BT. SHBZ.007.PDF, с.1; DXF</x:v>
      </x:c>
      <x:c r="L9" s="3" t="str">
        <x:v>s=1.2 мм; оцинкованная сталь.  Место установки уточнить.</x:v>
      </x:c>
      <x:c r="M9" s="3" t="str">
        <x:v>ITEM</x:v>
      </x:c>
      <x:c r="N9" s="3" t="str">
        <x:v>P001</x:v>
      </x:c>
      <x:c r="O9" s="3" t="str">
        <x:f>IF(D9="","F007",IF(COUNTIF(FIYAT!$S$2:$S$200,J9&amp;"|"&amp;D9)=1,VLOOKUP(J9&amp;"|"&amp;D9,FIYAT!$S$2:$T$200,2,FALSE),"ARTIKUL_YOK"))</x:f>
        <x:v>F007</x:v>
      </x:c>
      <x:c r="P9" t="n">
        <x:f>IF(ISNUMBER(G9),0,1)</x:f>
        <x:v>1</x:v>
      </x:c>
    </x:row>
    <x:row r="10" ht="100" customHeight="1">
      <x:c r="A10" s="3" t="str">
        <x:v>Петля скрытая MESAN 095, вариант уточнить</x:v>
      </x:c>
      <x:c r="B10" s="3" t="str">
        <x:v>BT.SHBZ — ETHA</x:v>
      </x:c>
      <x:c r="C10" s="3" t="str">
        <x:v>ITEM</x:v>
      </x:c>
      <x:c r="D10" s="3" t="str"/>
      <x:c r="E10" s="9" t="str">
        <x:f>IF(COUNTIF(FIYAT!$A$2:$A$200,O10)&lt;&gt;1,"",IF(VLOOKUP(O10,FIYAT!$A$2:$U$200,21,FALSE),VLOOKUP(O10,FIYAT!$A$2:$U$200,5,FALSE),""))</x:f>
      </x:c>
      <x:c r="F10" s="9" t="str">
        <x:f>IF(COUNTIF(FIYAT!$A$2:$A$200,O10)&lt;&gt;1,"",IF(VLOOKUP(O10,FIYAT!$A$2:$P$200,16,FALSE)="FIYAT_YOK","",VLOOKUP(O10,FIYAT!$A$2:$P$200,10,FALSE)))</x:f>
      </x:c>
      <x:c r="G10" s="9" t="str">
        <x:f>IF(COUNT(F10,H10)&lt;2,"",F10*H10)</x:f>
      </x:c>
      <x:c r="H10" s="3" t="n">
        <x:v>6</x:v>
      </x:c>
      <x:c r="I10" s="3" t="str">
        <x:v>шт</x:v>
      </x:c>
      <x:c r="J10" s="3" t="str">
        <x:v>MESAN</x:v>
      </x:c>
      <x:c r="K10" s="3" t="str">
        <x:v>095-gizli-mentese.pdf, с.1; .001 DXF</x:v>
      </x:c>
      <x:c r="L10" s="3" t="str">
        <x:v>KONTROL: 6 мест по геометрии, 3 на дверь; вариант V/OP не выбран. Минимум 22,5 мм, дверь 20 мм.</x:v>
      </x:c>
      <x:c r="M10" s="3" t="str">
        <x:v>ITEM</x:v>
      </x:c>
      <x:c r="N10" s="3" t="str">
        <x:v>P001</x:v>
      </x:c>
      <x:c r="O10" s="3" t="str">
        <x:f>IF(D10="","F008",IF(COUNTIF(FIYAT!$S$2:$S$200,J10&amp;"|"&amp;D10)=1,VLOOKUP(J10&amp;"|"&amp;D10,FIYAT!$S$2:$T$200,2,FALSE),"ARTIKUL_YOK"))</x:f>
        <x:v>F008</x:v>
      </x:c>
      <x:c r="P10" t="n">
        <x:f>IF(ISNUMBER(G10),0,1)</x:f>
        <x:v>1</x:v>
      </x:c>
    </x:row>
    <x:row r="11" ht="100" customHeight="1">
      <x:c r="A11" s="3" t="str">
        <x:v>Замок для выреза 20×20 мм, модель уточнить</x:v>
      </x:c>
      <x:c r="B11" s="3" t="str">
        <x:v>BT.SHBZ — ETHA</x:v>
      </x:c>
      <x:c r="C11" s="3" t="str">
        <x:v>ITEM</x:v>
      </x:c>
      <x:c r="D11" s="3" t="str"/>
      <x:c r="E11" s="9" t="str">
        <x:f>IF(COUNTIF(FIYAT!$A$2:$A$200,O11)&lt;&gt;1,"",IF(VLOOKUP(O11,FIYAT!$A$2:$U$200,21,FALSE),VLOOKUP(O11,FIYAT!$A$2:$U$200,5,FALSE),""))</x:f>
      </x:c>
      <x:c r="F11" s="9" t="str">
        <x:f>IF(COUNTIF(FIYAT!$A$2:$A$200,O11)&lt;&gt;1,"",IF(VLOOKUP(O11,FIYAT!$A$2:$P$200,16,FALSE)="FIYAT_YOK","",VLOOKUP(O11,FIYAT!$A$2:$P$200,10,FALSE)))</x:f>
      </x:c>
      <x:c r="G11" s="9" t="str">
        <x:f>IF(COUNT(F11,H11)&lt;2,"",F11*H11)</x:f>
      </x:c>
      <x:c r="H11" s="3" t="n">
        <x:v>2</x:v>
      </x:c>
      <x:c r="I11" s="3" t="str">
        <x:v>шт</x:v>
      </x:c>
      <x:c r="J11" s="3" t="str"/>
      <x:c r="K11" s="3" t="str">
        <x:v>BT. SHBZ.006.PDF, с.1; DXF</x:v>
      </x:c>
      <x:c r="L11" s="3" t="str">
        <x:v>KONTROL: 2 места по вырезам; модель и язычок не заданы.</x:v>
      </x:c>
      <x:c r="M11" s="3" t="str">
        <x:v>ITEM</x:v>
      </x:c>
      <x:c r="N11" s="3" t="str">
        <x:v>P001</x:v>
      </x:c>
      <x:c r="O11" s="3" t="str">
        <x:f>IF(D11="","F009",IF(COUNTIF(FIYAT!$S$2:$S$200,J11&amp;"|"&amp;D11)=1,VLOOKUP(J11&amp;"|"&amp;D11,FIYAT!$S$2:$T$200,2,FALSE),"ARTIKUL_YOK"))</x:f>
        <x:v>F009</x:v>
      </x:c>
      <x:c r="P11" t="n">
        <x:f>IF(ISNUMBER(G11),0,1)</x:f>
        <x:v>1</x:v>
      </x:c>
    </x:row>
    <x:row r="12" ht="100" customHeight="1">
      <x:c r="A12" s="10" t="str">
        <x:v>Монтажный материал</x:v>
      </x:c>
      <x:c r="B12" s="10" t="str">
        <x:v>BT.SHBZ — ETHA</x:v>
      </x:c>
      <x:c r="C12" s="10" t="str">
        <x:v>MONTAJ_MALZ</x:v>
      </x:c>
      <x:c r="D12" s="10" t="str"/>
      <x:c r="E12" s="11" t="str">
        <x:f>IF(COUNTIF(FIYAT!$A$2:$A$200,O12)&lt;&gt;1,"",IF(VLOOKUP(O12,FIYAT!$A$2:$U$200,21,FALSE),VLOOKUP(O12,FIYAT!$A$2:$U$200,5,FALSE),""))</x:f>
      </x:c>
      <x:c r="F12" s="11" t="str">
        <x:f>IF(COUNTIF(FIYAT!$A$2:$A$200,O12)&lt;&gt;1,"",IF(VLOOKUP(O12,FIYAT!$A$2:$P$200,16,FALSE)="FIYAT_YOK","",VLOOKUP(O12,FIYAT!$A$2:$P$200,10,FALSE)))</x:f>
      </x:c>
      <x:c r="G12" s="11" t="str">
        <x:f>IF(COUNT(F12,H12)&lt;2,"",F12*H12)</x:f>
      </x:c>
      <x:c r="H12" s="10" t="n">
        <x:v>1</x:v>
      </x:c>
      <x:c r="I12" s="10" t="str">
        <x:v>компл.</x:v>
      </x:c>
      <x:c r="J12" s="10" t="str">
        <x:v>YSF</x:v>
      </x:c>
      <x:c r="K12" s="10" t="str">
        <x:v>BT. SHBZ.004.PDF, с.1; правило v27</x:v>
      </x:c>
      <x:c r="L12" s="10" t="str">
        <x:v>Крепёж, крепление монтажной панели в 6 точках, PE-соединения. Состав/цена уточняются. Без повторного учёта петель и замков.</x:v>
      </x:c>
      <x:c r="M12" s="3" t="str">
        <x:v>MONTAJ_MALZ</x:v>
      </x:c>
      <x:c r="N12" s="3" t="str">
        <x:v>P001</x:v>
      </x:c>
      <x:c r="O12" s="3" t="str">
        <x:f>IF(D12="","F010",IF(COUNTIF(FIYAT!$S$2:$S$200,J12&amp;"|"&amp;D12)=1,VLOOKUP(J12&amp;"|"&amp;D12,FIYAT!$S$2:$T$200,2,FALSE),"ARTIKUL_YOK"))</x:f>
        <x:v>F010</x:v>
      </x:c>
      <x:c r="P12" t="n">
        <x:f>IF(ISNUMBER(G12),0,1)</x:f>
        <x:v>1</x:v>
      </x:c>
    </x:row>
    <x:row r="13" ht="100" customHeight="1">
      <x:c r="A13" s="10" t="str">
        <x:v>Монтажные работы</x:v>
      </x:c>
      <x:c r="B13" s="10" t="str">
        <x:v>BT.SHBZ — ETHA</x:v>
      </x:c>
      <x:c r="C13" s="10" t="str">
        <x:v>ISCILIK</x:v>
      </x:c>
      <x:c r="D13" s="10" t="str"/>
      <x:c r="E13" s="11" t="str">
        <x:f>IF(COUNTIF(FIYAT!$A$2:$A$200,O13)&lt;&gt;1,"",IF(VLOOKUP(O13,FIYAT!$A$2:$U$200,21,FALSE),VLOOKUP(O13,FIYAT!$A$2:$U$200,5,FALSE),""))</x:f>
      </x:c>
      <x:c r="F13" s="11" t="str">
        <x:f>IF(COUNTIF(FIYAT!$A$2:$A$200,O13)&lt;&gt;1,"",IF(VLOOKUP(O13,FIYAT!$A$2:$P$200,16,FALSE)="FIYAT_YOK","",VLOOKUP(O13,FIYAT!$A$2:$P$200,10,FALSE)))</x:f>
      </x:c>
      <x:c r="G13" s="11" t="str">
        <x:f>IF(COUNT(F13,H13)&lt;2,"",F13*H13)</x:f>
      </x:c>
      <x:c r="H13" s="10" t="n">
        <x:v>1</x:v>
      </x:c>
      <x:c r="I13" s="10" t="str">
        <x:v>компл.</x:v>
      </x:c>
      <x:c r="J13" s="10" t="str">
        <x:v>YSF</x:v>
      </x:c>
      <x:c r="K13" s="10" t="str">
        <x:v>Правило v27; пустой корпус</x:v>
      </x:c>
      <x:c r="L13" s="10" t="str">
        <x:v>Сборка пустого корпуса. Раскрой/гибка/покрытие учитывать в ценах деталей; норму сборки уточнить.</x:v>
      </x:c>
      <x:c r="M13" s="3" t="str">
        <x:v>ISCILIK</x:v>
      </x:c>
      <x:c r="N13" s="3" t="str">
        <x:v>P001</x:v>
      </x:c>
      <x:c r="O13" s="3" t="str">
        <x:f>IF(D13="","F011",IF(COUNTIF(FIYAT!$S$2:$S$200,J13&amp;"|"&amp;D13)=1,VLOOKUP(J13&amp;"|"&amp;D13,FIYAT!$S$2:$T$200,2,FALSE),"ARTIKUL_YOK"))</x:f>
        <x:v>F011</x:v>
      </x:c>
      <x:c r="P13" t="n">
        <x:f>IF(ISNUMBER(G13),0,1)</x:f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25" hidden="0" customWidth="1"/>
    <x:col min="4" max="4" width="65" hidden="0" customWidth="1"/>
    <x:col min="5" max="5" width="18" hidden="0" customWidth="1"/>
    <x:col min="6" max="6" width="19" hidden="0" customWidth="1"/>
    <x:col min="7" max="7" width="19" hidden="0" customWidth="1"/>
    <x:col min="8" max="8" width="18" hidden="0" customWidth="1"/>
    <x:col min="9" max="9" width="15" hidden="0" customWidth="1"/>
    <x:col min="10" max="10" width="22" hidden="0" customWidth="1"/>
    <x:col min="11" max="11" width="14" hidden="0" customWidth="1"/>
    <x:col min="12" max="12" width="18" hidden="0" customWidth="1"/>
    <x:col min="13" max="13" width="14" hidden="0" customWidth="1"/>
    <x:col min="14" max="14" width="36" hidden="0" customWidth="1"/>
    <x:col min="15" max="15" width="19" hidden="0" customWidth="1"/>
    <x:col min="16" max="16" width="22" hidden="0" customWidth="1"/>
    <x:col min="17" max="17" width="70" hidden="0" customWidth="1"/>
    <x:col min="18" max="18" width="20" hidden="0" customWidth="1"/>
    <x:col min="19" max="19" width="32" hidden="1" customWidth="1"/>
    <x:col min="20" max="20" hidden="1" width="12" customWidth="1"/>
    <x:col min="21" max="21" hidden="1" width="12" customWidth="1"/>
  </x:cols>
  <x:sheetData>
    <x:row r="1" ht="52" customHeight="1">
      <x:c r="A1" s="6" t="str">
        <x:v>ID</x:v>
      </x:c>
      <x:c r="B1" s="6" t="str">
        <x:v>Тип</x:v>
      </x:c>
      <x:c r="C1" s="6" t="str">
        <x:v>Артикул</x:v>
      </x:c>
      <x:c r="D1" s="6" t="str">
        <x:v>Наименование</x:v>
      </x:c>
      <x:c r="E1" s="6" t="str">
        <x:v>Цена прайс</x:v>
      </x:c>
      <x:c r="F1" s="6" t="str">
        <x:v>Цена ручная</x:v>
      </x:c>
      <x:c r="G1" s="6" t="str">
        <x:v>Цена базовая</x:v>
      </x:c>
      <x:c r="H1" s="6" t="str">
        <x:v>Коэффициент</x:v>
      </x:c>
      <x:c r="I1" s="6" t="str">
        <x:v>Курс</x:v>
      </x:c>
      <x:c r="J1" s="6" t="str">
        <x:v>Цена нетто KZT</x:v>
      </x:c>
      <x:c r="K1" s="6" t="str">
        <x:v>Ед.изм</x:v>
      </x:c>
      <x:c r="L1" s="6" t="str">
        <x:v>Завод</x:v>
      </x:c>
      <x:c r="M1" s="6" t="str">
        <x:v>Валюта</x:v>
      </x:c>
      <x:c r="N1" s="6" t="str">
        <x:v>Источник</x:v>
      </x:c>
      <x:c r="O1" s="6" t="str">
        <x:v>Дата источника</x:v>
      </x:c>
      <x:c r="P1" s="6" t="str">
        <x:v>Статус</x:v>
      </x:c>
      <x:c r="Q1" s="6" t="str">
        <x:v>Примечание</x:v>
      </x:c>
      <x:c r="R1" s="6" t="str">
        <x:v>Toplam satın alma adedi</x:v>
      </x:c>
      <x:c r="S1" s="6" t="str">
        <x:v>PRODUCT_KEY</x:v>
      </x:c>
      <x:c r="T1" t="str">
        <x:v>PRICE_ID</x:v>
      </x:c>
      <x:c r="U1" t="str">
        <x:v>HAS_LIST_PRICE</x:v>
      </x:c>
    </x:row>
    <x:row r="2" ht="84" customHeight="1">
      <x:c r="A2" s="3" t="str">
        <x:v>F001</x:v>
      </x:c>
      <x:c r="B2" s="3" t="str">
        <x:v>KORPUS</x:v>
      </x:c>
      <x:c r="C2" s="3" t="str">
        <x:v>BT. SHBZ.001</x:v>
      </x:c>
      <x:c r="D2" s="3" t="str">
        <x:v>Корпус: П-образная оболочка 1200×900×200 мм</x:v>
      </x:c>
      <x:c r="E2" s="9"/>
      <x:c r="F2" s="12"/>
      <x:c r="G2" s="9" t="str">
        <x:f>IF(ISNUMBER(F2),F2,IF(ISNUMBER(E2),E2,""))</x:f>
      </x:c>
      <x:c r="H2" s="9" t="n">
        <x:f>KURALLAR!$B$16</x:f>
        <x:v>1</x:v>
      </x:c>
      <x:c r="I2" s="9" t="n">
        <x:f>KURALLAR!$B$13</x:f>
        <x:v>1</x:v>
      </x:c>
      <x:c r="J2" s="9" t="str">
        <x:f>IF(COUNT(G2:I2)&lt;3,"",G2*H2*I2)</x:f>
      </x:c>
      <x:c r="K2" s="3" t="str">
        <x:v>шт</x:v>
      </x:c>
      <x:c r="L2" s="3" t="str">
        <x:v>YSF</x:v>
      </x:c>
      <x:c r="M2" s="3" t="str">
        <x:v>KZT</x:v>
      </x:c>
      <x:c r="N2" s="3" t="str">
        <x:v>Точная цена не найдена</x:v>
      </x:c>
      <x:c r="O2" s="3"/>
      <x:c r="P2" s="3" t="str">
        <x:f>IF(ISNUMBER(J2),IF(ISNUMBER(F2),"MANUEL","OK"),"FIYAT_YOK")</x:f>
        <x:v>FIYAT_YOK</x:v>
      </x:c>
      <x:c r="Q2" s="3" t="str">
        <x:v>Код BT.SHBZ — номер чертежа, не артикул каталога.</x:v>
      </x:c>
      <x:c r="R2" s="3" t="n">
        <x:f>SUMIFS(BOM!$H$3:$H$500,BOM!$O$3:$O$500,A2,BOM!$B$3:$B$500,OZET!$A$2)*OZET!$B$2</x:f>
        <x:v>1</x:v>
      </x:c>
      <x:c r="S2" s="3" t="str">
        <x:f>IF(C2="",A2,L2&amp;"|"&amp;C2)</x:f>
        <x:v>YSF|BT. SHBZ.001</x:v>
      </x:c>
      <x:c r="T2" t="str">
        <x:f>A2</x:f>
        <x:v>F001</x:v>
      </x:c>
      <x:c r="U2" t="b">
        <x:f>ISNUMBER(E2)</x:f>
        <x:v>0</x:v>
      </x:c>
    </x:row>
    <x:row r="3" ht="84" customHeight="1">
      <x:c r="A3" s="3" t="str">
        <x:v>F002</x:v>
      </x:c>
      <x:c r="B3" s="3" t="str">
        <x:v>ITEM</x:v>
      </x:c>
      <x:c r="C3" s="3" t="str">
        <x:v>BT. SHBZ.002</x:v>
      </x:c>
      <x:c r="D3" s="3" t="str">
        <x:v>Панель горизонтальная, без отверстий</x:v>
      </x:c>
      <x:c r="E3" s="9"/>
      <x:c r="F3" s="12"/>
      <x:c r="G3" s="9" t="str">
        <x:f>IF(ISNUMBER(F3),F3,IF(ISNUMBER(E3),E3,""))</x:f>
      </x:c>
      <x:c r="H3" s="9" t="n">
        <x:f>KURALLAR!$B$16</x:f>
        <x:v>1</x:v>
      </x:c>
      <x:c r="I3" s="9" t="n">
        <x:f>KURALLAR!$B$13</x:f>
        <x:v>1</x:v>
      </x:c>
      <x:c r="J3" s="9" t="str">
        <x:f>IF(COUNT(G3:I3)&lt;3,"",G3*H3*I3)</x:f>
      </x:c>
      <x:c r="K3" s="3" t="str">
        <x:v>шт</x:v>
      </x:c>
      <x:c r="L3" s="3" t="str">
        <x:v>YSF</x:v>
      </x:c>
      <x:c r="M3" s="3" t="str">
        <x:v>KZT</x:v>
      </x:c>
      <x:c r="N3" s="3" t="str">
        <x:v>Точная цена не найдена</x:v>
      </x:c>
      <x:c r="O3" s="3"/>
      <x:c r="P3" s="3" t="str">
        <x:f>IF(ISNUMBER(J3),IF(ISNUMBER(F3),"MANUEL","OK"),"FIYAT_YOK")</x:f>
        <x:v>FIYAT_YOK</x:v>
      </x:c>
      <x:c r="Q3" s="3" t="str">
        <x:v>Код BT.SHBZ — номер чертежа, не артикул каталога.</x:v>
      </x:c>
      <x:c r="R3" s="3" t="n">
        <x:f>SUMIFS(BOM!$H$3:$H$500,BOM!$O$3:$O$500,A3,BOM!$B$3:$B$500,OZET!$A$2)*OZET!$B$2</x:f>
        <x:v>1</x:v>
      </x:c>
      <x:c r="S3" s="3" t="str">
        <x:f>IF(C3="",A3,L3&amp;"|"&amp;C3)</x:f>
        <x:v>YSF|BT. SHBZ.002</x:v>
      </x:c>
      <x:c r="T3" t="str">
        <x:f>A3</x:f>
        <x:v>F002</x:v>
      </x:c>
      <x:c r="U3" t="b">
        <x:f>ISNUMBER(E3)</x:f>
        <x:v>0</x:v>
      </x:c>
    </x:row>
    <x:row r="4" ht="84" customHeight="1">
      <x:c r="A4" s="3" t="str">
        <x:v>F003</x:v>
      </x:c>
      <x:c r="B4" s="3" t="str">
        <x:v>ITEM</x:v>
      </x:c>
      <x:c r="C4" s="3" t="str">
        <x:v>BT. SHBZ.003</x:v>
      </x:c>
      <x:c r="D4" s="3" t="str">
        <x:v>Панель кабельного ввода, 18×Ø30 + 1×Ø107</x:v>
      </x:c>
      <x:c r="E4" s="9"/>
      <x:c r="F4" s="12"/>
      <x:c r="G4" s="9" t="str">
        <x:f>IF(ISNUMBER(F4),F4,IF(ISNUMBER(E4),E4,""))</x:f>
      </x:c>
      <x:c r="H4" s="9" t="n">
        <x:f>KURALLAR!$B$16</x:f>
        <x:v>1</x:v>
      </x:c>
      <x:c r="I4" s="9" t="n">
        <x:f>KURALLAR!$B$13</x:f>
        <x:v>1</x:v>
      </x:c>
      <x:c r="J4" s="9" t="str">
        <x:f>IF(COUNT(G4:I4)&lt;3,"",G4*H4*I4)</x:f>
      </x:c>
      <x:c r="K4" s="3" t="str">
        <x:v>шт</x:v>
      </x:c>
      <x:c r="L4" s="3" t="str">
        <x:v>YSF</x:v>
      </x:c>
      <x:c r="M4" s="3" t="str">
        <x:v>KZT</x:v>
      </x:c>
      <x:c r="N4" s="3" t="str">
        <x:v>Точная цена не найдена</x:v>
      </x:c>
      <x:c r="O4" s="3"/>
      <x:c r="P4" s="3" t="str">
        <x:f>IF(ISNUMBER(J4),IF(ISNUMBER(F4),"MANUEL","OK"),"FIYAT_YOK")</x:f>
        <x:v>FIYAT_YOK</x:v>
      </x:c>
      <x:c r="Q4" s="3" t="str">
        <x:v>Код BT.SHBZ — номер чертежа, не артикул каталога.</x:v>
      </x:c>
      <x:c r="R4" s="3" t="n">
        <x:f>SUMIFS(BOM!$H$3:$H$500,BOM!$O$3:$O$500,A4,BOM!$B$3:$B$500,OZET!$A$2)*OZET!$B$2</x:f>
        <x:v>1</x:v>
      </x:c>
      <x:c r="S4" s="3" t="str">
        <x:f>IF(C4="",A4,L4&amp;"|"&amp;C4)</x:f>
        <x:v>YSF|BT. SHBZ.003</x:v>
      </x:c>
      <x:c r="T4" t="str">
        <x:f>A4</x:f>
        <x:v>F003</x:v>
      </x:c>
      <x:c r="U4" t="b">
        <x:f>ISNUMBER(E4)</x:f>
        <x:v>0</x:v>
      </x:c>
    </x:row>
    <x:row r="5" ht="84" customHeight="1">
      <x:c r="A5" s="3" t="str">
        <x:v>F004</x:v>
      </x:c>
      <x:c r="B5" s="3" t="str">
        <x:v>ITEM</x:v>
      </x:c>
      <x:c r="C5" s="3" t="str">
        <x:v>BT. SHBZ.004</x:v>
      </x:c>
      <x:c r="D5" s="3" t="str">
        <x:v>Панель монтажная 1135×830×15 мм</x:v>
      </x:c>
      <x:c r="E5" s="9"/>
      <x:c r="F5" s="12"/>
      <x:c r="G5" s="9" t="str">
        <x:f>IF(ISNUMBER(F5),F5,IF(ISNUMBER(E5),E5,""))</x:f>
      </x:c>
      <x:c r="H5" s="9" t="n">
        <x:f>KURALLAR!$B$16</x:f>
        <x:v>1</x:v>
      </x:c>
      <x:c r="I5" s="9" t="n">
        <x:f>KURALLAR!$B$13</x:f>
        <x:v>1</x:v>
      </x:c>
      <x:c r="J5" s="9" t="str">
        <x:f>IF(COUNT(G5:I5)&lt;3,"",G5*H5*I5)</x:f>
      </x:c>
      <x:c r="K5" s="3" t="str">
        <x:v>шт</x:v>
      </x:c>
      <x:c r="L5" s="3" t="str">
        <x:v>YSF</x:v>
      </x:c>
      <x:c r="M5" s="3" t="str">
        <x:v>KZT</x:v>
      </x:c>
      <x:c r="N5" s="3" t="str">
        <x:v>Точная цена не найдена</x:v>
      </x:c>
      <x:c r="O5" s="3"/>
      <x:c r="P5" s="3" t="str">
        <x:f>IF(ISNUMBER(J5),IF(ISNUMBER(F5),"MANUEL","OK"),"FIYAT_YOK")</x:f>
        <x:v>FIYAT_YOK</x:v>
      </x:c>
      <x:c r="Q5" s="3" t="str">
        <x:v>Код BT.SHBZ — номер чертежа, не артикул каталога.</x:v>
      </x:c>
      <x:c r="R5" s="3" t="n">
        <x:f>SUMIFS(BOM!$H$3:$H$500,BOM!$O$3:$O$500,A5,BOM!$B$3:$B$500,OZET!$A$2)*OZET!$B$2</x:f>
        <x:v>1</x:v>
      </x:c>
      <x:c r="S5" s="3" t="str">
        <x:f>IF(C5="",A5,L5&amp;"|"&amp;C5)</x:f>
        <x:v>YSF|BT. SHBZ.004</x:v>
      </x:c>
      <x:c r="T5" t="str">
        <x:f>A5</x:f>
        <x:v>F004</x:v>
      </x:c>
      <x:c r="U5" t="b">
        <x:f>ISNUMBER(E5)</x:f>
        <x:v>0</x:v>
      </x:c>
    </x:row>
    <x:row r="6" ht="84" customHeight="1">
      <x:c r="A6" s="3" t="str">
        <x:v>F005</x:v>
      </x:c>
      <x:c r="B6" s="3" t="str">
        <x:v>ITEM</x:v>
      </x:c>
      <x:c r="C6" s="3" t="str">
        <x:v>BT. SHBZ.005</x:v>
      </x:c>
      <x:c r="D6" s="3" t="str">
        <x:v>Дверь с притвором 1195×445×20 мм, 9×Ø23</x:v>
      </x:c>
      <x:c r="E6" s="9"/>
      <x:c r="F6" s="12"/>
      <x:c r="G6" s="9" t="str">
        <x:f>IF(ISNUMBER(F6),F6,IF(ISNUMBER(E6),E6,""))</x:f>
      </x:c>
      <x:c r="H6" s="9" t="n">
        <x:f>KURALLAR!$B$16</x:f>
        <x:v>1</x:v>
      </x:c>
      <x:c r="I6" s="9" t="n">
        <x:f>KURALLAR!$B$13</x:f>
        <x:v>1</x:v>
      </x:c>
      <x:c r="J6" s="9" t="str">
        <x:f>IF(COUNT(G6:I6)&lt;3,"",G6*H6*I6)</x:f>
      </x:c>
      <x:c r="K6" s="3" t="str">
        <x:v>шт</x:v>
      </x:c>
      <x:c r="L6" s="3" t="str">
        <x:v>YSF</x:v>
      </x:c>
      <x:c r="M6" s="3" t="str">
        <x:v>KZT</x:v>
      </x:c>
      <x:c r="N6" s="3" t="str">
        <x:v>Точная цена не найдена</x:v>
      </x:c>
      <x:c r="O6" s="3"/>
      <x:c r="P6" s="3" t="str">
        <x:f>IF(ISNUMBER(J6),IF(ISNUMBER(F6),"MANUEL","OK"),"FIYAT_YOK")</x:f>
        <x:v>FIYAT_YOK</x:v>
      </x:c>
      <x:c r="Q6" s="3" t="str">
        <x:v>Код BT.SHBZ — номер чертежа, не артикул каталога.</x:v>
      </x:c>
      <x:c r="R6" s="3" t="n">
        <x:f>SUMIFS(BOM!$H$3:$H$500,BOM!$O$3:$O$500,A6,BOM!$B$3:$B$500,OZET!$A$2)*OZET!$B$2</x:f>
        <x:v>1</x:v>
      </x:c>
      <x:c r="S6" s="3" t="str">
        <x:f>IF(C6="",A6,L6&amp;"|"&amp;C6)</x:f>
        <x:v>YSF|BT. SHBZ.005</x:v>
      </x:c>
      <x:c r="T6" t="str">
        <x:f>A6</x:f>
        <x:v>F005</x:v>
      </x:c>
      <x:c r="U6" t="b">
        <x:f>ISNUMBER(E6)</x:f>
        <x:v>0</x:v>
      </x:c>
    </x:row>
    <x:row r="7" ht="84" customHeight="1">
      <x:c r="A7" s="3" t="str">
        <x:v>F006</x:v>
      </x:c>
      <x:c r="B7" s="3" t="str">
        <x:v>ITEM</x:v>
      </x:c>
      <x:c r="C7" s="3" t="str">
        <x:v>BT. SHBZ.006</x:v>
      </x:c>
      <x:c r="D7" s="3" t="str">
        <x:v>Дверь под замки 1195×445×20 мм, 6×Ø23</x:v>
      </x:c>
      <x:c r="E7" s="9"/>
      <x:c r="F7" s="12"/>
      <x:c r="G7" s="9" t="str">
        <x:f>IF(ISNUMBER(F7),F7,IF(ISNUMBER(E7),E7,""))</x:f>
      </x:c>
      <x:c r="H7" s="9" t="n">
        <x:f>KURALLAR!$B$16</x:f>
        <x:v>1</x:v>
      </x:c>
      <x:c r="I7" s="9" t="n">
        <x:f>KURALLAR!$B$13</x:f>
        <x:v>1</x:v>
      </x:c>
      <x:c r="J7" s="9" t="str">
        <x:f>IF(COUNT(G7:I7)&lt;3,"",G7*H7*I7)</x:f>
      </x:c>
      <x:c r="K7" s="3" t="str">
        <x:v>шт</x:v>
      </x:c>
      <x:c r="L7" s="3" t="str">
        <x:v>YSF</x:v>
      </x:c>
      <x:c r="M7" s="3" t="str">
        <x:v>KZT</x:v>
      </x:c>
      <x:c r="N7" s="3" t="str">
        <x:v>Точная цена не найдена</x:v>
      </x:c>
      <x:c r="O7" s="3"/>
      <x:c r="P7" s="3" t="str">
        <x:f>IF(ISNUMBER(J7),IF(ISNUMBER(F7),"MANUEL","OK"),"FIYAT_YOK")</x:f>
        <x:v>FIYAT_YOK</x:v>
      </x:c>
      <x:c r="Q7" s="3" t="str">
        <x:v>Код BT.SHBZ — номер чертежа, не артикул каталога.</x:v>
      </x:c>
      <x:c r="R7" s="3" t="n">
        <x:f>SUMIFS(BOM!$H$3:$H$500,BOM!$O$3:$O$500,A7,BOM!$B$3:$B$500,OZET!$A$2)*OZET!$B$2</x:f>
        <x:v>1</x:v>
      </x:c>
      <x:c r="S7" s="3" t="str">
        <x:f>IF(C7="",A7,L7&amp;"|"&amp;C7)</x:f>
        <x:v>YSF|BT. SHBZ.006</x:v>
      </x:c>
      <x:c r="T7" t="str">
        <x:f>A7</x:f>
        <x:v>F006</x:v>
      </x:c>
      <x:c r="U7" t="b">
        <x:f>ISNUMBER(E7)</x:f>
        <x:v>0</x:v>
      </x:c>
    </x:row>
    <x:row r="8" ht="84" customHeight="1">
      <x:c r="A8" s="3" t="str">
        <x:v>F007</x:v>
      </x:c>
      <x:c r="B8" s="3" t="str">
        <x:v>ITEM</x:v>
      </x:c>
      <x:c r="C8" s="3" t="str">
        <x:v>BT. SHBZ.007</x:v>
      </x:c>
      <x:c r="D8" s="3" t="str">
        <x:v>Кронштейн П-образный 42×36×18,8 мм</x:v>
      </x:c>
      <x:c r="E8" s="9"/>
      <x:c r="F8" s="12"/>
      <x:c r="G8" s="9" t="str">
        <x:f>IF(ISNUMBER(F8),F8,IF(ISNUMBER(E8),E8,""))</x:f>
      </x:c>
      <x:c r="H8" s="9" t="n">
        <x:f>KURALLAR!$B$16</x:f>
        <x:v>1</x:v>
      </x:c>
      <x:c r="I8" s="9" t="n">
        <x:f>KURALLAR!$B$13</x:f>
        <x:v>1</x:v>
      </x:c>
      <x:c r="J8" s="9" t="str">
        <x:f>IF(COUNT(G8:I8)&lt;3,"",G8*H8*I8)</x:f>
      </x:c>
      <x:c r="K8" s="3" t="str">
        <x:v>шт</x:v>
      </x:c>
      <x:c r="L8" s="3" t="str">
        <x:v>YSF</x:v>
      </x:c>
      <x:c r="M8" s="3" t="str">
        <x:v>KZT</x:v>
      </x:c>
      <x:c r="N8" s="3" t="str">
        <x:v>Точная цена не найдена</x:v>
      </x:c>
      <x:c r="O8" s="3"/>
      <x:c r="P8" s="3" t="str">
        <x:f>IF(ISNUMBER(J8),IF(ISNUMBER(F8),"MANUEL","OK"),"FIYAT_YOK")</x:f>
        <x:v>FIYAT_YOK</x:v>
      </x:c>
      <x:c r="Q8" s="3" t="str">
        <x:v>Код BT.SHBZ — номер чертежа, не артикул каталога.</x:v>
      </x:c>
      <x:c r="R8" s="3" t="n">
        <x:f>SUMIFS(BOM!$H$3:$H$500,BOM!$O$3:$O$500,A8,BOM!$B$3:$B$500,OZET!$A$2)*OZET!$B$2</x:f>
        <x:v>2</x:v>
      </x:c>
      <x:c r="S8" s="3" t="str">
        <x:f>IF(C8="",A8,L8&amp;"|"&amp;C8)</x:f>
        <x:v>YSF|BT. SHBZ.007</x:v>
      </x:c>
      <x:c r="T8" t="str">
        <x:f>A8</x:f>
        <x:v>F007</x:v>
      </x:c>
      <x:c r="U8" t="b">
        <x:f>ISNUMBER(E8)</x:f>
        <x:v>0</x:v>
      </x:c>
    </x:row>
    <x:row r="9" ht="84" customHeight="1">
      <x:c r="A9" s="3" t="str">
        <x:v>F008</x:v>
      </x:c>
      <x:c r="B9" s="3" t="str">
        <x:v>ITEM</x:v>
      </x:c>
      <x:c r="C9" s="3" t="str"/>
      <x:c r="D9" s="3" t="str">
        <x:v>Петля скрытая MESAN 095, вариант уточнить</x:v>
      </x:c>
      <x:c r="E9" s="9"/>
      <x:c r="F9" s="12"/>
      <x:c r="G9" s="9" t="str">
        <x:f>IF(ISNUMBER(F9),F9,IF(ISNUMBER(E9),E9,""))</x:f>
      </x:c>
      <x:c r="H9" s="9" t="n">
        <x:f>KURALLAR!$B$16</x:f>
        <x:v>1</x:v>
      </x:c>
      <x:c r="I9" s="9" t="n">
        <x:f>KURALLAR!$B$13</x:f>
        <x:v>1</x:v>
      </x:c>
      <x:c r="J9" s="9" t="str">
        <x:f>IF(COUNT(G9:I9)&lt;3,"",G9*H9*I9)</x:f>
      </x:c>
      <x:c r="K9" s="3" t="str">
        <x:v>шт</x:v>
      </x:c>
      <x:c r="L9" s="3" t="str">
        <x:v>MESAN</x:v>
      </x:c>
      <x:c r="M9" s="3" t="str">
        <x:v>KZT</x:v>
      </x:c>
      <x:c r="N9" s="3" t="str">
        <x:v>Точная цена не найдена</x:v>
      </x:c>
      <x:c r="O9" s="3"/>
      <x:c r="P9" s="3" t="str">
        <x:f>IF(ISNUMBER(J9),IF(ISNUMBER(F9),"MANUEL","OK"),"FIYAT_YOK")</x:f>
        <x:v>FIYAT_YOK</x:v>
      </x:c>
      <x:c r="Q9" s="3" t="str">
        <x:v>Артикул не задан. ID — внутренний ключ строки; цена ожидается.</x:v>
      </x:c>
      <x:c r="R9" s="3" t="n">
        <x:f>SUMIFS(BOM!$H$3:$H$500,BOM!$O$3:$O$500,A9,BOM!$B$3:$B$500,OZET!$A$2)*OZET!$B$2</x:f>
        <x:v>6</x:v>
      </x:c>
      <x:c r="S9" s="3" t="str">
        <x:f>IF(C9="",A9,L9&amp;"|"&amp;C9)</x:f>
        <x:v>F008</x:v>
      </x:c>
      <x:c r="T9" t="str">
        <x:f>A9</x:f>
        <x:v>F008</x:v>
      </x:c>
      <x:c r="U9" t="b">
        <x:f>ISNUMBER(E9)</x:f>
        <x:v>0</x:v>
      </x:c>
    </x:row>
    <x:row r="10" ht="84" customHeight="1">
      <x:c r="A10" s="3" t="str">
        <x:v>F009</x:v>
      </x:c>
      <x:c r="B10" s="3" t="str">
        <x:v>ITEM</x:v>
      </x:c>
      <x:c r="C10" s="3" t="str"/>
      <x:c r="D10" s="3" t="str">
        <x:v>Замок для выреза 20×20 мм, модель уточнить</x:v>
      </x:c>
      <x:c r="E10" s="9"/>
      <x:c r="F10" s="12"/>
      <x:c r="G10" s="9" t="str">
        <x:f>IF(ISNUMBER(F10),F10,IF(ISNUMBER(E10),E10,""))</x:f>
      </x:c>
      <x:c r="H10" s="9" t="n">
        <x:f>KURALLAR!$B$16</x:f>
        <x:v>1</x:v>
      </x:c>
      <x:c r="I10" s="9" t="n">
        <x:f>KURALLAR!$B$13</x:f>
        <x:v>1</x:v>
      </x:c>
      <x:c r="J10" s="9" t="str">
        <x:f>IF(COUNT(G10:I10)&lt;3,"",G10*H10*I10)</x:f>
      </x:c>
      <x:c r="K10" s="3" t="str">
        <x:v>шт</x:v>
      </x:c>
      <x:c r="L10" s="3" t="str"/>
      <x:c r="M10" s="3" t="str">
        <x:v>KZT</x:v>
      </x:c>
      <x:c r="N10" s="3" t="str">
        <x:v>Точная цена не найдена</x:v>
      </x:c>
      <x:c r="O10" s="3"/>
      <x:c r="P10" s="3" t="str">
        <x:f>IF(ISNUMBER(J10),IF(ISNUMBER(F10),"MANUEL","OK"),"FIYAT_YOK")</x:f>
        <x:v>FIYAT_YOK</x:v>
      </x:c>
      <x:c r="Q10" s="3" t="str">
        <x:v>Артикул не задан. ID — внутренний ключ строки; цена ожидается.</x:v>
      </x:c>
      <x:c r="R10" s="3" t="n">
        <x:f>SUMIFS(BOM!$H$3:$H$500,BOM!$O$3:$O$500,A10,BOM!$B$3:$B$500,OZET!$A$2)*OZET!$B$2</x:f>
        <x:v>2</x:v>
      </x:c>
      <x:c r="S10" s="3" t="str">
        <x:f>IF(C10="",A10,L10&amp;"|"&amp;C10)</x:f>
        <x:v>F009</x:v>
      </x:c>
      <x:c r="T10" t="str">
        <x:f>A10</x:f>
        <x:v>F009</x:v>
      </x:c>
      <x:c r="U10" t="b">
        <x:f>ISNUMBER(E10)</x:f>
        <x:v>0</x:v>
      </x:c>
    </x:row>
    <x:row r="11" ht="84" customHeight="1">
      <x:c r="A11" s="3" t="str">
        <x:v>F010</x:v>
      </x:c>
      <x:c r="B11" s="3" t="str">
        <x:v>MONTAJ_MALZ</x:v>
      </x:c>
      <x:c r="C11" s="3" t="str"/>
      <x:c r="D11" s="3" t="str">
        <x:v>Монтажный материал</x:v>
      </x:c>
      <x:c r="E11" s="9"/>
      <x:c r="F11" s="12"/>
      <x:c r="G11" s="9" t="str">
        <x:f>IF(ISNUMBER(F11),F11,IF(ISNUMBER(E11),E11,""))</x:f>
      </x:c>
      <x:c r="H11" s="9" t="n">
        <x:f>KURALLAR!$B$16</x:f>
        <x:v>1</x:v>
      </x:c>
      <x:c r="I11" s="9" t="n">
        <x:f>KURALLAR!$B$13</x:f>
        <x:v>1</x:v>
      </x:c>
      <x:c r="J11" s="9" t="str">
        <x:f>IF(COUNT(G11:I11)&lt;3,"",G11*H11*I11)</x:f>
      </x:c>
      <x:c r="K11" s="3" t="str">
        <x:v>компл.</x:v>
      </x:c>
      <x:c r="L11" s="3" t="str">
        <x:v>YSF</x:v>
      </x:c>
      <x:c r="M11" s="3" t="str">
        <x:v>KZT</x:v>
      </x:c>
      <x:c r="N11" s="3" t="str">
        <x:v>Точная цена не найдена</x:v>
      </x:c>
      <x:c r="O11" s="3"/>
      <x:c r="P11" s="3" t="str">
        <x:f>IF(ISNUMBER(J11),IF(ISNUMBER(F11),"MANUEL","OK"),"FIYAT_YOK")</x:f>
        <x:v>FIYAT_YOK</x:v>
      </x:c>
      <x:c r="Q11" s="3" t="str">
        <x:v>Артикул не задан. ID — внутренний ключ строки; цена ожидается.</x:v>
      </x:c>
      <x:c r="R11" s="3" t="n">
        <x:f>SUMIFS(BOM!$H$3:$H$500,BOM!$O$3:$O$500,A11,BOM!$B$3:$B$500,OZET!$A$2)*OZET!$B$2</x:f>
        <x:v>1</x:v>
      </x:c>
      <x:c r="S11" s="3" t="str">
        <x:f>IF(C11="",A11,L11&amp;"|"&amp;C11)</x:f>
        <x:v>F010</x:v>
      </x:c>
      <x:c r="T11" t="str">
        <x:f>A11</x:f>
        <x:v>F010</x:v>
      </x:c>
      <x:c r="U11" t="b">
        <x:f>ISNUMBER(E11)</x:f>
        <x:v>0</x:v>
      </x:c>
    </x:row>
    <x:row r="12" ht="84" customHeight="1">
      <x:c r="A12" s="3" t="str">
        <x:v>F011</x:v>
      </x:c>
      <x:c r="B12" s="3" t="str">
        <x:v>ISCILIK</x:v>
      </x:c>
      <x:c r="C12" s="3" t="str"/>
      <x:c r="D12" s="3" t="str">
        <x:v>Монтажные работы</x:v>
      </x:c>
      <x:c r="E12" s="9"/>
      <x:c r="F12" s="12"/>
      <x:c r="G12" s="9" t="str">
        <x:f>IF(ISNUMBER(F12),F12,IF(ISNUMBER(E12),E12,""))</x:f>
      </x:c>
      <x:c r="H12" s="9" t="n">
        <x:f>KURALLAR!$B$16</x:f>
        <x:v>1</x:v>
      </x:c>
      <x:c r="I12" s="9" t="n">
        <x:f>KURALLAR!$B$13</x:f>
        <x:v>1</x:v>
      </x:c>
      <x:c r="J12" s="9" t="str">
        <x:f>IF(COUNT(G12:I12)&lt;3,"",G12*H12*I12)</x:f>
      </x:c>
      <x:c r="K12" s="3" t="str">
        <x:v>компл.</x:v>
      </x:c>
      <x:c r="L12" s="3" t="str">
        <x:v>YSF</x:v>
      </x:c>
      <x:c r="M12" s="3" t="str">
        <x:v>KZT</x:v>
      </x:c>
      <x:c r="N12" s="3" t="str">
        <x:v>Точная цена не найдена</x:v>
      </x:c>
      <x:c r="O12" s="3"/>
      <x:c r="P12" s="3" t="str">
        <x:f>IF(ISNUMBER(J12),IF(ISNUMBER(F12),"MANUEL","OK"),"FIYAT_YOK")</x:f>
        <x:v>FIYAT_YOK</x:v>
      </x:c>
      <x:c r="Q12" s="3" t="str">
        <x:v>Артикул не задан. ID — внутренний ключ строки; цена ожидается.</x:v>
      </x:c>
      <x:c r="R12" s="3" t="n">
        <x:f>SUMIFS(BOM!$H$3:$H$500,BOM!$O$3:$O$500,A12,BOM!$B$3:$B$500,OZET!$A$2)*OZET!$B$2</x:f>
        <x:v>1</x:v>
      </x:c>
      <x:c r="S12" s="3" t="str">
        <x:f>IF(C12="",A12,L12&amp;"|"&amp;C12)</x:f>
        <x:v>F011</x:v>
      </x:c>
      <x:c r="T12" t="str">
        <x:f>A12</x:f>
        <x:v>F011</x:v>
      </x:c>
      <x:c r="U12" t="b">
        <x:f>ISNUMBER(E12)</x:f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45" hidden="0" customWidth="1"/>
    <x:col min="3" max="3" width="68" hidden="0" customWidth="1"/>
    <x:col min="4" max="4" width="32" hidden="0" customWidth="1"/>
  </x:cols>
  <x:sheetData>
    <x:row r="1" ht="42" customHeight="1">
      <x:c r="A1" s="3" t="str">
        <x:v>YSF HICH v27 — ALARKO ETHA</x:v>
      </x:c>
      <x:c r="B1" s="3"/>
      <x:c r="C1" s="3"/>
      <x:c r="D1" s="3"/>
    </x:row>
    <x:row r="2" ht="42" customHeight="1">
      <x:c r="A2" s="4" t="str">
        <x:v>PROJE / TEKLİF</x:v>
      </x:c>
      <x:c r="B2" s="4"/>
      <x:c r="C2" s="4"/>
      <x:c r="D2" s="4"/>
    </x:row>
    <x:row r="3" ht="42" customHeight="1">
      <x:c r="A3" s="3" t="str">
        <x:v>Proje</x:v>
      </x:c>
      <x:c r="B3" s="3" t="str">
        <x:v>260924 Alarko Etha</x:v>
      </x:c>
      <x:c r="C3" s="3" t="str">
        <x:v>Boş korpus; nominal Y×G×D 1200×900×200 mm</x:v>
      </x:c>
      <x:c r="D3" s="3"/>
    </x:row>
    <x:row r="4" ht="42" customHeight="1">
      <x:c r="A4" s="3" t="str">
        <x:v>Tarih</x:v>
      </x:c>
      <x:c r="B4" s="14" t="n">
        <x:v>46289</x:v>
      </x:c>
      <x:c r="C4" s="3" t="str">
        <x:v>Çizim tarihi: 24.06.2026</x:v>
      </x:c>
      <x:c r="D4" s="3"/>
    </x:row>
    <x:row r="5" ht="42" customHeight="1">
      <x:c r="A5" s="3" t="str">
        <x:v>Sipariş adedi teyit edildi mi?</x:v>
      </x:c>
      <x:c r="B5" s="8" t="str">
        <x:v>HAYIR</x:v>
      </x:c>
      <x:c r="C5" s="3" t="str">
        <x:v>BOM H2 = 1 yalnız hesap tabanı; sipariş miktarı değil.</x:v>
      </x:c>
      <x:c r="D5" s="3"/>
    </x:row>
    <x:row r="6" ht="42" customHeight="1">
      <x:c r="A6" s="3" t="str">
        <x:v>Teknik seçim onaylandı mı?</x:v>
      </x:c>
      <x:c r="B6" s="8" t="str">
        <x:v>HAYIR</x:v>
      </x:c>
      <x:c r="C6" s="3" t="str">
        <x:v>Sac, kaplama, IP, menteşe ve kilit seçimini netleştirin.</x:v>
      </x:c>
      <x:c r="D6" s="3"/>
    </x:row>
    <x:row r="7" ht="42" customHeight="1">
      <x:c r="A7" s="4" t="str">
        <x:v>FİRMA / КП</x:v>
      </x:c>
      <x:c r="B7" s="4"/>
      <x:c r="C7" s="4"/>
      <x:c r="D7" s="4"/>
    </x:row>
    <x:row r="8" ht="42" customHeight="1">
      <x:c r="A8" s="3" t="str">
        <x:v>Firma</x:v>
      </x:c>
      <x:c r="B8" s="8" t="str">
        <x:v>YSF</x:v>
      </x:c>
      <x:c r="C8" s="3" t="str">
        <x:v>Logo: verilen Excel şablonundan</x:v>
      </x:c>
      <x:c r="D8" s="3"/>
    </x:row>
    <x:row r="9" ht="42" customHeight="1">
      <x:c r="A9" s="3" t="str">
        <x:v>БИН</x:v>
      </x:c>
      <x:c r="B9" s="8"/>
      <x:c r="C9" s="3" t="str">
        <x:v>Bilgi verilmedi</x:v>
      </x:c>
      <x:c r="D9" s="3"/>
    </x:row>
    <x:row r="10" ht="42" customHeight="1">
      <x:c r="A10" s="3" t="str">
        <x:v>Кому</x:v>
      </x:c>
      <x:c r="B10" s="8" t="str">
        <x:v>Alarko</x:v>
      </x:c>
      <x:c r="C10" s="3" t="str">
        <x:v>Proje: Etha</x:v>
      </x:c>
      <x:c r="D10" s="3"/>
    </x:row>
    <x:row r="11" ht="42" customHeight="1">
      <x:c r="A11" s="3" t="str">
        <x:v>Адрес / Контакт</x:v>
      </x:c>
      <x:c r="B11" s="8"/>
      <x:c r="C11" s="3" t="str">
        <x:v>Telefon/e-posta verilmedi</x:v>
      </x:c>
      <x:c r="D11" s="3"/>
    </x:row>
    <x:row r="12" ht="42" customHeight="1">
      <x:c r="A12" s="4" t="str">
        <x:v>KUR</x:v>
      </x:c>
      <x:c r="B12" s="4"/>
      <x:c r="C12" s="4"/>
      <x:c r="D12" s="4"/>
    </x:row>
    <x:row r="13" ht="42" customHeight="1">
      <x:c r="A13" s="3" t="str">
        <x:v>KZT</x:v>
      </x:c>
      <x:c r="B13" s="8" t="n">
        <x:v>1</x:v>
      </x:c>
      <x:c r="C13" s="3" t="str">
        <x:v>KZT fiyat girdileri</x:v>
      </x:c>
      <x:c r="D13" s="3"/>
    </x:row>
    <x:row r="14" ht="42" customHeight="1">
      <x:c r="A14" s="4" t="str">
        <x:v>MARKA KATSAYILARI</x:v>
      </x:c>
      <x:c r="B14" s="4"/>
      <x:c r="C14" s="4"/>
      <x:c r="D14" s="4"/>
    </x:row>
    <x:row r="15" ht="42" customHeight="1">
      <x:c r="A15" s="3" t="str">
        <x:v>Şalt</x:v>
      </x:c>
      <x:c r="B15" s="3" t="str">
        <x:v>Uygulanmaz</x:v>
      </x:c>
      <x:c r="C15" s="3" t="str">
        <x:v>Boş korpus; şalt yok.</x:v>
      </x:c>
      <x:c r="D15" s="3"/>
    </x:row>
    <x:row r="16" ht="42" customHeight="1">
      <x:c r="A16" s="3" t="str">
        <x:v>Özel imalat / aksesuar</x:v>
      </x:c>
      <x:c r="B16" s="8" t="n">
        <x:v>1</x:v>
      </x:c>
      <x:c r="C16" s="3" t="str">
        <x:v>Fiyat girildiğinde katsayı. Stok ürün eşleştirilmedi.</x:v>
      </x:c>
      <x:c r="D16" s="3"/>
    </x:row>
    <x:row r="17" ht="42" customHeight="1">
      <x:c r="A17" s="4" t="str">
        <x:v>TEKLİF BOM PARAMETRELERİ</x:v>
      </x:c>
      <x:c r="B17" s="4"/>
      <x:c r="C17" s="4"/>
      <x:c r="D17" s="4"/>
    </x:row>
    <x:row r="18" ht="42" customHeight="1">
      <x:c r="A18" s="3" t="str">
        <x:v>Kâr oranı</x:v>
      </x:c>
      <x:c r="B18" s="13"/>
      <x:c r="C18" s="3" t="str">
        <x:v>Kullanıcı girişi; boşken teklif fiyatı hesaplanmaz.</x:v>
      </x:c>
      <x:c r="D18" s="3"/>
    </x:row>
    <x:row r="19" ht="42" customHeight="1">
      <x:c r="A19" s="3" t="str">
        <x:v>İskonto</x:v>
      </x:c>
      <x:c r="B19" s="13" t="n">
        <x:v>0</x:v>
      </x:c>
      <x:c r="C19" s="3"/>
      <x:c r="D19" s="3"/>
    </x:row>
    <x:row r="20" ht="42" customHeight="1">
      <x:c r="A20" s="3" t="str">
        <x:v>НДС</x:v>
      </x:c>
      <x:c r="B20" s="13" t="n">
        <x:v>0.16</x:v>
      </x:c>
      <x:c r="C20" s="3" t="str">
        <x:v>v27 şablon parametresi; ticari onay gerekli.</x:v>
      </x:c>
      <x:c r="D20" s="3"/>
    </x:row>
    <x:row r="21" ht="42" customHeight="1">
      <x:c r="A21" s="3" t="str">
        <x:v>Genel yedek</x:v>
      </x:c>
      <x:c r="B21" s="13" t="n">
        <x:v>0.1</x:v>
      </x:c>
      <x:c r="C21" s="3" t="str">
        <x:v>Adetlere uygulanmaz. Çizim ölçüsü değiştirilmez.</x:v>
      </x:c>
      <x:c r="D21" s="3"/>
    </x:row>
    <x:row r="22" ht="42" customHeight="1">
      <x:c r="A22" s="3" t="str">
        <x:v>Bara</x:v>
      </x:c>
      <x:c r="B22" s="3" t="str">
        <x:v>Uygulanmaz</x:v>
      </x:c>
      <x:c r="C22" s="3" t="str">
        <x:v>Boş korpus; bara yok.</x:v>
      </x:c>
      <x:c r="D22" s="3"/>
    </x:row>
    <x:row r="23" ht="42" customHeight="1">
      <x:c r="A23" s="3" t="str">
        <x:v>Teslim süresi</x:v>
      </x:c>
      <x:c r="B23" s="8"/>
      <x:c r="C23" s="3"/>
      <x:c r="D23" s="3"/>
    </x:row>
    <x:row r="24" ht="42" customHeight="1">
      <x:c r="A24" s="3" t="str">
        <x:v>Teklif notu</x:v>
      </x:c>
      <x:c r="B24" s="3" t="str">
        <x:v>Fiyat ve teknik teyit bekliyor</x:v>
      </x:c>
      <x:c r="C24" s="3" t="str">
        <x:v>Görsel temsili; imalata onay değildir.</x:v>
      </x:c>
      <x:c r="D24" s="3"/>
    </x:row>
    <x:row r="25" ht="42" customHeight="1">
      <x:c r="A25" s="4" t="str">
        <x:v>KONTROL ÖZETİ</x:v>
      </x:c>
      <x:c r="B25" s="4"/>
      <x:c r="C25" s="4"/>
      <x:c r="D25" s="4"/>
    </x:row>
    <x:row r="26" ht="72" customHeight="1">
      <x:c r="A26" s="3" t="str">
        <x:v>Fiyatsız satır</x:v>
      </x:c>
      <x:c r="B26" s="3" t="n">
        <x:f>COUNTIF(FIYAT!$P$2:$P$12,"FIYAT_YOK")</x:f>
        <x:v>11</x:v>
      </x:c>
      <x:c r="C26" s="3" t="str">
        <x:v>FIYAT_YOK kayıtları</x:v>
      </x:c>
      <x:c r="D26" s="3"/>
    </x:row>
    <x:row r="27" ht="72" customHeight="1">
      <x:c r="A27" s="3" t="str">
        <x:v>Genel durum</x:v>
      </x:c>
      <x:c r="B27" s="3" t="str">
        <x:f>OZET!M2</x:f>
        <x:v>TEKLİFE HAZIR DEĞİL</x:v>
      </x:c>
      <x:c r="C27" s="3"/>
      <x:c r="D27" s="3"/>
    </x:row>
    <x:row r="28" ht="72" customHeight="1">
      <x:c r="A28" s="3" t="str">
        <x:v>Gövde .001</x:v>
      </x:c>
      <x:c r="B28" s="3" t="str">
        <x:v>KONTROL</x:v>
      </x:c>
      <x:c r="C28" s="3" t="str">
        <x:v>Kalınlık ve malzeme kaynakta boş.</x:v>
      </x:c>
      <x:c r="D28" s="3"/>
    </x:row>
    <x:row r="29" ht="72" customHeight="1">
      <x:c r="A29" s="3" t="str">
        <x:v>Üst/alt .002/.003</x:v>
      </x:c>
      <x:c r="B29" s="3" t="str">
        <x:v>KONTROL</x:v>
      </x:c>
      <x:c r="C29" s="3" t="str">
        <x:v>1,2 mm; malzeme ve üst/alt yönü belirtilmemiş.</x:v>
      </x:c>
      <x:c r="D29" s="3"/>
    </x:row>
    <x:row r="30" ht="72" customHeight="1">
      <x:c r="A30" s="3" t="str">
        <x:v>Menteşe 095</x:v>
      </x:c>
      <x:c r="B30" s="3" t="str">
        <x:v>KONTROL</x:v>
      </x:c>
      <x:c r="C30" s="3" t="str">
        <x:v>6 yer; kapak 20 mm, katalog minimum 22,5 mm. Kesit teyidi gerekir.</x:v>
      </x:c>
      <x:c r="D30" s="3"/>
    </x:row>
    <x:row r="31" ht="72" customHeight="1">
      <x:c r="A31" s="3" t="str">
        <x:v>Kilit</x:v>
      </x:c>
      <x:c r="B31" s="3" t="str">
        <x:v>KONTROL</x:v>
      </x:c>
      <x:c r="C31" s="3" t="str">
        <x:v>2 adet 20×20 yuva; model/dil ölçüsü belirtilmemiş.</x:v>
      </x:c>
      <x:c r="D31" s="3"/>
    </x:row>
    <x:row r="32" ht="72" customHeight="1">
      <x:c r="A32" s="3" t="str">
        <x:v>RAL / kaplama / IP</x:v>
      </x:c>
      <x:c r="B32" s="3" t="str">
        <x:v>KONTROL</x:v>
      </x:c>
      <x:c r="C32" s="3" t="str">
        <x:v>Kaynakta yok. Açık deliklerle koruma derecesi atanmadı.</x:v>
      </x:c>
      <x:c r="D32" s="3"/>
    </x:row>
    <x:row r="33" ht="72" customHeight="1">
      <x:c r="A33" s="3" t="str">
        <x:v>Braket .007</x:v>
      </x:c>
      <x:c r="B33" s="3" t="str">
        <x:v>KONTROL</x:v>
      </x:c>
      <x:c r="C33" s="3" t="str">
        <x:v>2 adet; montaj yeri belirtilmemiş.</x:v>
      </x:c>
      <x:c r="D33" s="3"/>
    </x:row>
    <x:row r="34" ht="72" customHeight="1">
      <x:c r="A34" s="3" t="str">
        <x:v>Montaj tipi / conta</x:v>
      </x:c>
      <x:c r="B34" s="3" t="str">
        <x:v>KONTROL</x:v>
      </x:c>
      <x:c r="C34" s="3" t="str">
        <x:v>Bağlantı şekli ve conta detayı belirtilmemiş.</x:v>
      </x:c>
      <x:c r="D34" s="3"/>
    </x:row>
    <x:row r="35" ht="72" customHeight="1">
      <x:c r="A35" s="3" t="str">
        <x:v>Yan ve giriş açıklıkları</x:v>
      </x:c>
      <x:c r="B35" s="3" t="str">
        <x:v>KONTROL</x:v>
      </x:c>
      <x:c r="C35" s="3" t="str">
        <x:v>125×125 açıklıklar, Ø23 kapak delikleri ve kablo girişleri için aksesuar kapsamı teyit edilmeli.</x:v>
      </x:c>
      <x:c r="D35" s="3"/>
    </x:row>
    <x:row r="36" ht="72" customHeight="1">
      <x:c r="A36" s="3" t="str">
        <x:v>Düzenleme</x:v>
      </x:c>
      <x:c r="B36" s="3" t="str">
        <x:v>Qty, açıklama ve fiyat değiştirilebilir.</x:v>
      </x:c>
      <x:c r="C36" s="3" t="str">
        <x:v>Yeni satırda komşu satırın formüllerini kopyalayın; FIYAT kaydını eşleştirin.</x:v>
      </x:c>
      <x:c r="D36" s="3"/>
    </x:row>
    <x:row r="37" ht="72" customHeight="1">
      <x:c r="A37" s="3" t="str">
        <x:v>YENİLE</x:v>
      </x:c>
      <x:c r="B37" s="3" t="str">
        <x:v>Yeni pano, ad değişimi, fiyat kaynağı</x:v>
      </x:c>
      <x:c r="C37" s="3" t="str">
        <x:v>Manuel fiyat/müşteri/not alanları korunmalı.</x:v>
      </x:c>
      <x:c r="D37" s="3"/>
    </x:row>
    <x:row r="38" ht="72" customHeight="1">
      <x:c r="A38" s="3" t="str">
        <x:v>Fiyat kapsamı</x:v>
      </x:c>
      <x:c r="B38" s="3" t="str">
        <x:v>Sac parçalar + aksesuar + montaj</x:v>
      </x:c>
      <x:c r="C38" s="3" t="str">
        <x:v>Korpus satırı yalnız .001 gövdedir; komple korpus fiyatını girip parçaları tekrar fiyatlamayın.</x:v>
      </x:c>
      <x:c r="D38" s="3"/>
    </x:row>
    <x:row r="39" ht="72" customHeight="1">
      <x:c r="A39" s="3" t="str">
        <x:v>Fiyat listesi sonucu</x:v>
      </x:c>
      <x:c r="B39" s="3" t="str">
        <x:v>Kesin eşleşme yok</x:v>
      </x:c>
      <x:c r="C39" s="3" t="str">
        <x:v>TEKLED PRICE tarandı. Aynı ölçülü telefon dolabı eşleşmesi reddedildi.</x:v>
      </x:c>
      <x:c r="D39" s="3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7" hidden="0" customWidth="1"/>
    <x:col min="3" max="3" width="55" hidden="0" customWidth="1"/>
    <x:col min="4" max="4" width="13" hidden="0" customWidth="1"/>
    <x:col min="5" max="5" width="15" hidden="0" customWidth="1"/>
    <x:col min="6" max="6" width="23" hidden="0" customWidth="1"/>
    <x:col min="7" max="7" width="25" hidden="0" customWidth="1"/>
    <x:col min="8" max="8" width="28" hidden="0" customWidth="1"/>
  </x:cols>
  <x:sheetData>
    <x:row r="1" ht="42" customHeight="1">
      <x:c r="A1" s="3"/>
      <x:c r="B1" s="3"/>
      <x:c r="C1" s="3"/>
      <x:c r="D1" s="3"/>
      <x:c r="E1" s="3"/>
      <x:c r="F1" s="3" t="str">
        <x:f>KURALLAR!B8&amp;IF(KURALLAR!B9="","",CHAR(10)&amp;"БИН: "&amp;KURALLAR!B9)</x:f>
        <x:v>YSF</x:v>
      </x:c>
      <x:c r="G1" s="3"/>
      <x:c r="H1" s="3"/>
    </x:row>
    <x:row r="2" ht="42" customHeight="1">
      <x:c r="A2" s="3"/>
      <x:c r="B2" s="3"/>
      <x:c r="C2" s="3"/>
      <x:c r="D2" s="3"/>
      <x:c r="E2" s="3"/>
      <x:c r="F2" s="3"/>
      <x:c r="G2" s="3"/>
      <x:c r="H2" s="3"/>
    </x:row>
    <x:row r="3" ht="42" customHeight="1">
      <x:c r="A3" s="3"/>
      <x:c r="B3" s="3"/>
      <x:c r="C3" s="3"/>
      <x:c r="D3" s="3"/>
      <x:c r="E3" s="3"/>
      <x:c r="F3" s="3"/>
      <x:c r="G3" s="3"/>
      <x:c r="H3" s="3"/>
    </x:row>
    <x:row r="4" ht="42" customHeight="1">
      <x:c r="A4" s="16" t="str">
        <x:v>КОММЕРЧЕСКОЕ ПРЕДЛОЖЕНИЕ</x:v>
      </x:c>
      <x:c r="B4" s="3"/>
      <x:c r="C4" s="3"/>
      <x:c r="D4" s="3"/>
      <x:c r="E4" s="3"/>
      <x:c r="F4" s="3"/>
      <x:c r="G4" s="3"/>
      <x:c r="H4" s="3"/>
    </x:row>
    <x:row r="5" ht="42" customHeight="1">
      <x:c r="A5" s="3" t="str">
        <x:f>"Исх. № 260924-ETHA / "&amp;TEXT(KURALLAR!B4,"yyyy-mm-dd")</x:f>
        <x:v>Исх. № 260924-ETHA / 2026-09-24</x:v>
      </x:c>
      <x:c r="B5" s="3"/>
      <x:c r="C5" s="3"/>
      <x:c r="D5" s="3"/>
      <x:c r="E5" s="3"/>
      <x:c r="F5" s="3"/>
      <x:c r="G5" s="3"/>
      <x:c r="H5" s="3"/>
    </x:row>
    <x:row r="6" ht="42" customHeight="1">
      <x:c r="A6" s="3" t="str">
        <x:f>"Кому: "&amp;KURALLAR!B10&amp;"     Объект: Etha"</x:f>
        <x:v>Кому: Alarko     Объект: Etha</x:v>
      </x:c>
      <x:c r="B6" s="3"/>
      <x:c r="C6" s="3"/>
      <x:c r="D6" s="3"/>
      <x:c r="E6" s="3"/>
      <x:c r="F6" s="3"/>
      <x:c r="G6" s="3"/>
      <x:c r="H6" s="3"/>
    </x:row>
    <x:row r="7" ht="42" customHeight="1">
      <x:c r="A7" s="17" t="str">
        <x:f>OZET!M2</x:f>
        <x:v>TEKLİFE HAZIR DEĞİL</x:v>
      </x:c>
      <x:c r="B7" s="17"/>
      <x:c r="C7" s="17"/>
      <x:c r="D7" s="17"/>
      <x:c r="E7" s="17"/>
      <x:c r="F7" s="17"/>
      <x:c r="G7" s="17"/>
      <x:c r="H7" s="17"/>
    </x:row>
    <x:row r="8" ht="42" customHeight="1">
      <x:c r="A8" s="3"/>
      <x:c r="B8" s="3"/>
      <x:c r="C8" s="3"/>
      <x:c r="D8" s="3"/>
      <x:c r="E8" s="3"/>
      <x:c r="F8" s="3"/>
      <x:c r="G8" s="3"/>
      <x:c r="H8" s="3"/>
    </x:row>
    <x:row r="9" ht="52" customHeight="1">
      <x:c r="A9" s="6" t="str">
        <x:v>№</x:v>
      </x:c>
      <x:c r="B9" s="6" t="str">
        <x:v>Изображение</x:v>
      </x:c>
      <x:c r="C9" s="6" t="str">
        <x:v>Наименование товара</x:v>
      </x:c>
      <x:c r="D9" s="6" t="str">
        <x:v>Кол-во</x:v>
      </x:c>
      <x:c r="E9" s="6" t="str">
        <x:v>Ед.</x:v>
      </x:c>
      <x:c r="F9" s="6" t="str">
        <x:v>Цена с НДС</x:v>
      </x:c>
      <x:c r="G9" s="6" t="str">
        <x:v>Сумма</x:v>
      </x:c>
      <x:c r="H9" s="6" t="str">
        <x:v>Срок поставки товара</x:v>
      </x:c>
    </x:row>
    <x:row r="10" ht="125" customHeight="1">
      <x:c r="A10" s="3" t="n">
        <x:v>1</x:v>
      </x:c>
      <x:c r="B10" s="3"/>
      <x:c r="C10" s="3" t="str">
        <x:f>IF(OZET!N2="",OZET!A2,OZET!N2)</x:f>
        <x:v>Корпус пустой двухдверный 1200×900×200 мм</x:v>
      </x:c>
      <x:c r="D10" s="3" t="n">
        <x:f>OZET!B2</x:f>
        <x:v>1</x:v>
      </x:c>
      <x:c r="E10" s="3" t="str">
        <x:v>компл.</x:v>
      </x:c>
      <x:c r="F10" s="9" t="str">
        <x:f>IF(ISNUMBER(OZET!K2),OZET!K2,"")</x:f>
      </x:c>
      <x:c r="G10" s="9" t="str">
        <x:f>IF(ISNUMBER(OZET!L2),OZET!L2,"")</x:f>
      </x:c>
      <x:c r="H10" s="3" t="str">
        <x:f>IF(KURALLAR!B23="","Уточняется",KURALLAR!B23)</x:f>
        <x:v>Уточняется</x:v>
      </x:c>
    </x:row>
    <x:row r="11" ht="42" customHeight="1">
      <x:c r="A11" s="3"/>
      <x:c r="B11" s="3"/>
      <x:c r="C11" s="3"/>
      <x:c r="D11" s="3"/>
      <x:c r="E11" s="3"/>
      <x:c r="F11" s="9"/>
      <x:c r="G11" s="9"/>
      <x:c r="H11" s="3"/>
    </x:row>
    <x:row r="12" ht="42" customHeight="1">
      <x:c r="A12" s="3"/>
      <x:c r="B12" s="3"/>
      <x:c r="C12" s="3"/>
      <x:c r="D12" s="3"/>
      <x:c r="E12" s="3"/>
      <x:c r="F12" s="9" t="str">
        <x:v>ИТОГО, KZT</x:v>
      </x:c>
      <x:c r="G12" s="9" t="str">
        <x:f>IF(ISNUMBER(G10),G10,"")</x:f>
      </x:c>
      <x:c r="H12" s="3"/>
    </x:row>
    <x:row r="13" ht="42" customHeight="1">
      <x:c r="A13" s="3"/>
      <x:c r="B13" s="3"/>
      <x:c r="C13" s="3"/>
      <x:c r="D13" s="3"/>
      <x:c r="E13" s="3"/>
      <x:c r="F13" s="3"/>
      <x:c r="G13" s="3"/>
      <x:c r="H13" s="3"/>
    </x:row>
    <x:row r="14" ht="46" customHeight="1">
      <x:c r="A14" s="3" t="str">
        <x:v>Расчёт на 1 комплект. Количество заказа подлежит подтверждению.</x:v>
      </x:c>
      <x:c r="B14" s="3"/>
      <x:c r="C14" s="3"/>
      <x:c r="D14" s="3"/>
      <x:c r="E14" s="3"/>
      <x:c r="F14" s="3"/>
      <x:c r="G14" s="3"/>
      <x:c r="H14" s="3"/>
    </x:row>
    <x:row r="15" ht="46" customHeight="1">
      <x:c r="A15" s="3" t="str">
        <x:v>Пустой корпус. Электроаппаратура и шины не входят в состав.</x:v>
      </x:c>
      <x:c r="B15" s="3"/>
      <x:c r="C15" s="3"/>
      <x:c r="D15" s="3"/>
      <x:c r="E15" s="3"/>
      <x:c r="F15" s="3"/>
      <x:c r="G15" s="3"/>
      <x:c r="H15" s="3"/>
    </x:row>
    <x:row r="16" ht="46" customHeight="1">
      <x:c r="A16" s="3" t="str">
        <x:v>Цены ожидаются. Числовая цена 0 не используется вместо отсутствующей цены.</x:v>
      </x:c>
      <x:c r="B16" s="3"/>
      <x:c r="C16" s="3"/>
      <x:c r="D16" s="3"/>
      <x:c r="E16" s="3"/>
      <x:c r="F16" s="3"/>
      <x:c r="G16" s="3"/>
      <x:c r="H16" s="3"/>
    </x:row>
    <x:row r="17" ht="46" customHeight="1">
      <x:c r="A17" s="3" t="str">
        <x:v>Материал корпуса, покрытие/RAL, IP и установка подлежат уточнению.</x:v>
      </x:c>
      <x:c r="B17" s="3"/>
      <x:c r="C17" s="3"/>
      <x:c r="D17" s="3"/>
      <x:c r="E17" s="3"/>
      <x:c r="F17" s="3"/>
      <x:c r="G17" s="3"/>
      <x:c r="H17" s="3"/>
    </x:row>
    <x:row r="18" ht="46" customHeight="1">
      <x:c r="A18" s="3" t="str">
        <x:v>Петля MESAN 095: минимум 22,5 мм; отгиб двери на чертеже 20 мм. Требуется проверка сопряжения.</x:v>
      </x:c>
      <x:c r="B18" s="3"/>
      <x:c r="C18" s="3"/>
      <x:c r="D18" s="3"/>
      <x:c r="E18" s="3"/>
      <x:c r="F18" s="3"/>
      <x:c r="G18" s="3"/>
      <x:c r="H18" s="3"/>
    </x:row>
    <x:row r="19" ht="46" customHeight="1">
      <x:c r="A19" s="3" t="str">
        <x:v>Состав: 7 кодов / 8 листовых деталей, 6 мест петель, 2 места замков; крепёж и сборка.</x:v>
      </x:c>
      <x:c r="B19" s="3"/>
      <x:c r="C19" s="3"/>
      <x:c r="D19" s="3"/>
      <x:c r="E19" s="3"/>
      <x:c r="F19" s="3"/>
      <x:c r="G19" s="3"/>
      <x:c r="H19" s="3"/>
    </x:row>
    <x:row r="20" ht="46" customHeight="1">
      <x:c r="A20" s="3" t="str">
        <x:v>Изображение условное. Монтажная схема и расположение .007 требуют подтверждения.</x:v>
      </x:c>
      <x:c r="B20" s="3"/>
      <x:c r="C20" s="3"/>
      <x:c r="D20" s="3"/>
      <x:c r="E20" s="3"/>
      <x:c r="F20" s="3"/>
      <x:c r="G20" s="3"/>
      <x:c r="H20" s="3"/>
    </x:row>
    <x:row r="21" ht="42" customHeight="1">
      <x:c r="A21" s="3"/>
      <x:c r="B21" s="3"/>
      <x:c r="C21" s="3"/>
      <x:c r="D21" s="3"/>
      <x:c r="E21" s="3"/>
      <x:c r="F21" s="3"/>
      <x:c r="G21" s="3"/>
      <x:c r="H21" s="3"/>
    </x:row>
    <x:row r="22" ht="42" customHeight="1">
      <x:c r="A22" s="3"/>
      <x:c r="B22" s="3"/>
      <x:c r="C22" s="3"/>
      <x:c r="D22" s="3"/>
      <x:c r="E22" s="3"/>
      <x:c r="F22" s="3"/>
      <x:c r="G22" s="3"/>
      <x:c r="H22" s="3"/>
    </x:row>
    <x:row r="23" ht="42" customHeight="1">
      <x:c r="A23" s="3"/>
      <x:c r="B23" s="3"/>
      <x:c r="C23" s="3"/>
      <x:c r="D23" s="3"/>
      <x:c r="E23" s="3"/>
      <x:c r="F23" s="3"/>
      <x:c r="G23" s="3"/>
      <x:c r="H23" s="3"/>
    </x:row>
    <x:row r="24" ht="42" customHeight="1">
      <x:c r="A24" s="3"/>
      <x:c r="B24" s="3"/>
      <x:c r="C24" s="3"/>
      <x:c r="D24" s="3"/>
      <x:c r="E24" s="3"/>
      <x:c r="F24" s="3"/>
      <x:c r="G24" s="3"/>
      <x:c r="H24" s="3"/>
    </x:row>
  </x:sheetData>
  <x:mergeCells>
    <x:mergeCell ref="F1:H2"/>
    <x:mergeCell ref="A4:H4"/>
    <x:mergeCell ref="A5:H5"/>
    <x:mergeCell ref="A6:H6"/>
    <x:mergeCell ref="A7:H7"/>
    <x:mergeCell ref="A14:H14"/>
    <x:mergeCell ref="A15:H15"/>
    <x:mergeCell ref="A16:H16"/>
    <x:mergeCell ref="A17:H17"/>
    <x:mergeCell ref="A18:H18"/>
    <x:mergeCell ref="A19:H19"/>
    <x:mergeCell ref="A20:H20"/>
  </x:mergeCells>
  <x:pageMargins left="0.7" right="0.7" top="0.75" bottom="0.75" header="0.3" footer="0.3"/>
  <x:drawing xmlns:r="http://schemas.openxmlformats.org/officeDocument/2006/relationships" r:id="R46cdd2a5083d410d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13" hidden="0" customWidth="1"/>
    <x:col min="8" max="8" width="13" hidden="0" customWidth="1"/>
    <x:col min="9" max="9" width="23" hidden="0" customWidth="1"/>
    <x:col min="10" max="10" width="13" hidden="0" customWidth="1"/>
    <x:col min="11" max="11" width="23" hidden="0" customWidth="1"/>
    <x:col min="12" max="12" width="25" hidden="0" customWidth="1"/>
    <x:col min="13" max="13" width="38" hidden="0" customWidth="1"/>
    <x:col min="14" max="14" width="50" hidden="0" customWidth="1"/>
  </x:cols>
  <x:sheetData>
    <x:row r="1" ht="52" customHeight="1">
      <x:c r="A1" s="6" t="str">
        <x:v>Pano</x:v>
      </x:c>
      <x:c r="B1" s="6" t="str">
        <x:v>Adet</x:v>
      </x:c>
      <x:c r="C1" s="6" t="str">
        <x:v>Malzeme</x:v>
      </x:c>
      <x:c r="D1" s="6" t="str">
        <x:v>Montaj malz.</x:v>
      </x:c>
      <x:c r="E1" s="6" t="str">
        <x:v>İşçilik</x:v>
      </x:c>
      <x:c r="F1" s="6" t="str">
        <x:v>Birim maliyet</x:v>
      </x:c>
      <x:c r="G1" s="6" t="str">
        <x:v>Kâr %</x:v>
      </x:c>
      <x:c r="H1" s="6" t="str">
        <x:v>İskonto %</x:v>
      </x:c>
      <x:c r="I1" s="6" t="str">
        <x:v>Birim teklif без НДС</x:v>
      </x:c>
      <x:c r="J1" s="6" t="str">
        <x:v>НДС</x:v>
      </x:c>
      <x:c r="K1" s="6" t="str">
        <x:v>Birim teklif с НДС</x:v>
      </x:c>
      <x:c r="L1" s="6" t="str">
        <x:v>Toplam teklif с НДС</x:v>
      </x:c>
      <x:c r="M1" s="6" t="str">
        <x:v>Durum</x:v>
      </x:c>
      <x:c r="N1" s="6" t="str">
        <x:v>Teklif adı</x:v>
      </x:c>
    </x:row>
    <x:row r="2" ht="90" customHeight="1">
      <x:c r="A2" s="3" t="str">
        <x:v>BT.SHBZ — ETHA</x:v>
      </x:c>
      <x:c r="B2" s="3" t="n">
        <x:f>SUMIFS(BOM!$H$2:$H$500,BOM!$B$2:$B$500,A2,BOM!$M$2:$M$500,"PANEL")</x:f>
        <x:v>1</x:v>
      </x:c>
      <x:c r="C2" s="9" t="str">
        <x:f>IF(SUMIFS(BOM!$P$3:$P$500,BOM!$B$3:$B$500,A2)&gt;0,"",SUMIFS(BOM!$G$3:$G$500,BOM!$B$3:$B$500,A2,BOM!$M$3:$M$500,"KORPUS")+SUMIFS(BOM!$G$3:$G$500,BOM!$B$3:$B$500,A2,BOM!$M$3:$M$500,"ITEM"))</x:f>
      </x:c>
      <x:c r="D2" s="9" t="str">
        <x:f>IF(SUMIFS(BOM!$P$3:$P$500,BOM!$B$3:$B$500,A2)&gt;0,"",SUMIFS(BOM!$G$3:$G$500,BOM!$B$3:$B$500,A2,BOM!$M$3:$M$500,"MONTAJ_MALZ"))</x:f>
      </x:c>
      <x:c r="E2" s="9" t="str">
        <x:f>IF(SUMIFS(BOM!$P$3:$P$500,BOM!$B$3:$B$500,A2)&gt;0,"",SUMIFS(BOM!$G$3:$G$500,BOM!$B$3:$B$500,A2,BOM!$M$3:$M$500,"ISCILIK"))</x:f>
      </x:c>
      <x:c r="F2" s="9" t="str">
        <x:f>IF(COUNT(C2:E2)&lt;3,"",SUM(C2:E2))</x:f>
      </x:c>
      <x:c r="G2" s="15" t="str">
        <x:f>IF(ISNUMBER(KURALLAR!B18),KURALLAR!B18,"")</x:f>
      </x:c>
      <x:c r="H2" s="15" t="n">
        <x:f>KURALLAR!B19</x:f>
        <x:v>0</x:v>
      </x:c>
      <x:c r="I2" s="9" t="str">
        <x:f>IF(COUNT(F2:H2)&lt;3,"",F2*(1+G2)*(1-H2))</x:f>
      </x:c>
      <x:c r="J2" s="15" t="n">
        <x:f>KURALLAR!B20</x:f>
        <x:v>0.16</x:v>
      </x:c>
      <x:c r="K2" s="9" t="str">
        <x:f>IF(COUNT(I2:J2)&lt;2,"",I2*(1+J2))</x:f>
      </x:c>
      <x:c r="L2" s="9" t="str">
        <x:f>IF(COUNT(K2,B2)&lt;2,"",B2*K2)</x:f>
      </x:c>
      <x:c r="M2" s="3" t="str">
        <x:f>IF(OR(COUNT(F2,G2,J2)&lt;3,KURALLAR!B5&lt;&gt;"EVET",KURALLAR!B6&lt;&gt;"EVET"),"TEKLİFE HAZIR DEĞİL","OK")</x:f>
        <x:v>TEKLİFE HAZIR DEĞİL</x:v>
      </x:c>
      <x:c r="N2" s="8" t="str">
        <x:v>Корпус пустой двухдверный 1200×900×200 мм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54" hidden="0" customWidth="1"/>
    <x:col min="3" max="3" width="12" hidden="0" customWidth="1"/>
    <x:col min="4" max="4" width="22" hidden="0" customWidth="1"/>
    <x:col min="5" max="5" width="25" hidden="0" customWidth="1"/>
    <x:col min="6" max="6" width="35" hidden="0" customWidth="1"/>
    <x:col min="7" max="7" width="65" hidden="0" customWidth="1"/>
    <x:col min="8" max="8" width="46" hidden="0" customWidth="1"/>
  </x:cols>
  <x:sheetData>
    <x:row r="1" ht="52" customHeight="1">
      <x:c r="A1" s="6" t="str">
        <x:v>Чертёж / источник</x:v>
      </x:c>
      <x:c r="B1" s="6" t="str">
        <x:v>Деталь / роль</x:v>
      </x:c>
      <x:c r="C1" s="6" t="str">
        <x:v>На 1 компл.</x:v>
      </x:c>
      <x:c r="D1" s="6" t="str">
        <x:v>Толщина, мм</x:v>
      </x:c>
      <x:c r="E1" s="6" t="str">
        <x:v>Материал</x:v>
      </x:c>
      <x:c r="F1" s="6" t="str">
        <x:v>Габарит / заготовка, мм</x:v>
      </x:c>
      <x:c r="G1" s="6" t="str">
        <x:v>Отверстия / примечание</x:v>
      </x:c>
      <x:c r="H1" s="6" t="str">
        <x:v>Проверка</x:v>
      </x:c>
    </x:row>
    <x:row r="2" ht="84" customHeight="1">
      <x:c r="A2" s="3" t="str">
        <x:v>BT. SHBZ.001</x:v>
      </x:c>
      <x:c r="B2" s="3" t="str">
        <x:v>Корпус: П-образная оболочка 1200×900×200 мм</x:v>
      </x:c>
      <x:c r="C2" s="3" t="n">
        <x:v>1</x:v>
      </x:c>
      <x:c r="D2" s="3"/>
      <x:c r="E2" s="3" t="str">
        <x:v>Не задан</x:v>
      </x:c>
      <x:c r="F2" s="3" t="str">
        <x:v>1406.84×1200 (заготовка)</x:v>
      </x:c>
      <x:c r="G2" s="3" t="str">
        <x:v>2×125×125 мм боковые проёмы; 12×Ø7 мм для петель; 8×Ø1,75 только разметка</x:v>
      </x:c>
      <x:c r="H2" s="3" t="str">
        <x:v>KONTROL</x:v>
      </x:c>
    </x:row>
    <x:row r="3" ht="84" customHeight="1">
      <x:c r="A3" s="3" t="str">
        <x:v>BT. SHBZ.002</x:v>
      </x:c>
      <x:c r="B3" s="3" t="str">
        <x:v>Панель горизонтальная, без отверстий</x:v>
      </x:c>
      <x:c r="C3" s="3" t="n">
        <x:v>1</x:v>
      </x:c>
      <x:c r="D3" s="3" t="n">
        <x:v>1.2</x:v>
      </x:c>
      <x:c r="E3" s="3" t="str">
        <x:v>Не задан</x:v>
      </x:c>
      <x:c r="F3" s="3" t="str">
        <x:v>900×267.22 (заготовка)</x:v>
      </x:c>
      <x:c r="G3" s="3" t="str"/>
      <x:c r="H3" s="3" t="str">
        <x:v>KONTROL</x:v>
      </x:c>
    </x:row>
    <x:row r="4" ht="84" customHeight="1">
      <x:c r="A4" s="3" t="str">
        <x:v>BT. SHBZ.003</x:v>
      </x:c>
      <x:c r="B4" s="3" t="str">
        <x:v>Панель кабельного ввода, 18×Ø30 + 1×Ø107</x:v>
      </x:c>
      <x:c r="C4" s="3" t="n">
        <x:v>1</x:v>
      </x:c>
      <x:c r="D4" s="3" t="n">
        <x:v>1.2</x:v>
      </x:c>
      <x:c r="E4" s="3" t="str">
        <x:v>Не задан</x:v>
      </x:c>
      <x:c r="F4" s="3" t="str">
        <x:v>900×267.22 (заготовка)</x:v>
      </x:c>
      <x:c r="G4" s="3" t="str">
        <x:v>18 × Ø30 mm + 1 × Ø107 mm</x:v>
      </x:c>
      <x:c r="H4" s="3" t="str">
        <x:v>KONTROL</x:v>
      </x:c>
    </x:row>
    <x:row r="5" ht="84" customHeight="1">
      <x:c r="A5" s="3" t="str">
        <x:v>BT. SHBZ.004</x:v>
      </x:c>
      <x:c r="B5" s="3" t="str">
        <x:v>Панель монтажная 1135×830×15 мм</x:v>
      </x:c>
      <x:c r="C5" s="3" t="n">
        <x:v>1</x:v>
      </x:c>
      <x:c r="D5" s="3" t="n">
        <x:v>1.2</x:v>
      </x:c>
      <x:c r="E5" s="3" t="str">
        <x:v>Оцинкованная сталь</x:v>
      </x:c>
      <x:c r="F5" s="3" t="str">
        <x:v>1135×830×15 (деталь)</x:v>
      </x:c>
      <x:c r="G5" s="3" t="str">
        <x:v>6 × Ø9 mm</x:v>
      </x:c>
      <x:c r="H5" s="3" t="str">
        <x:v>OK</x:v>
      </x:c>
    </x:row>
    <x:row r="6" ht="84" customHeight="1">
      <x:c r="A6" s="3" t="str">
        <x:v>BT. SHBZ.005</x:v>
      </x:c>
      <x:c r="B6" s="3" t="str">
        <x:v>Дверь с притвором 1195×445×20 мм, 9×Ø23</x:v>
      </x:c>
      <x:c r="C6" s="3" t="n">
        <x:v>1</x:v>
      </x:c>
      <x:c r="D6" s="3" t="n">
        <x:v>1.2</x:v>
      </x:c>
      <x:c r="E6" s="3" t="str">
        <x:v>Оцинкованная сталь</x:v>
      </x:c>
      <x:c r="F6" s="3" t="str">
        <x:v>1195×445×20 (деталь)</x:v>
      </x:c>
      <x:c r="G6" s="3" t="str">
        <x:v>9 × Ø23 mm</x:v>
      </x:c>
      <x:c r="H6" s="3" t="str">
        <x:v>OK</x:v>
      </x:c>
    </x:row>
    <x:row r="7" ht="84" customHeight="1">
      <x:c r="A7" s="3" t="str">
        <x:v>BT. SHBZ.006</x:v>
      </x:c>
      <x:c r="B7" s="3" t="str">
        <x:v>Дверь под замки 1195×445×20 мм, 6×Ø23</x:v>
      </x:c>
      <x:c r="C7" s="3" t="n">
        <x:v>1</x:v>
      </x:c>
      <x:c r="D7" s="3" t="n">
        <x:v>1.2</x:v>
      </x:c>
      <x:c r="E7" s="3" t="str">
        <x:v>Оцинкованная сталь</x:v>
      </x:c>
      <x:c r="F7" s="3" t="str">
        <x:v>1195×445×20 (деталь)</x:v>
      </x:c>
      <x:c r="G7" s="3" t="str">
        <x:v>6 × Ø23 mm + 2 × 20×20 mm</x:v>
      </x:c>
      <x:c r="H7" s="3" t="str">
        <x:v>OK</x:v>
      </x:c>
    </x:row>
    <x:row r="8" ht="84" customHeight="1">
      <x:c r="A8" s="3" t="str">
        <x:v>BT. SHBZ.007</x:v>
      </x:c>
      <x:c r="B8" s="3" t="str">
        <x:v>Кронштейн П-образный 42×36×18,8 мм</x:v>
      </x:c>
      <x:c r="C8" s="3" t="n">
        <x:v>2</x:v>
      </x:c>
      <x:c r="D8" s="3" t="n">
        <x:v>1.2</x:v>
      </x:c>
      <x:c r="E8" s="3" t="str">
        <x:v>Оцинкованная сталь</x:v>
      </x:c>
      <x:c r="F8" s="3" t="str">
        <x:v>42×36×18.8 (деталь)</x:v>
      </x:c>
      <x:c r="G8" s="3" t="str"/>
      <x:c r="H8" s="3" t="str">
        <x:v>KONTROL</x:v>
      </x:c>
    </x:row>
    <x:row r="9" ht="84" customHeight="1">
      <x:c r="A9" s="3" t="str">
        <x:v>095-gizli-mentese.pdf</x:v>
      </x:c>
      <x:c r="B9" s="3" t="str">
        <x:v>Каталог MESAN 095; с.1</x:v>
      </x:c>
      <x:c r="C9" s="3" t="n">
        <x:v>6</x:v>
      </x:c>
      <x:c r="D9" s="3"/>
      <x:c r="E9" s="3" t="str">
        <x:v>Сталь / покрытия по каталогу</x:v>
      </x:c>
      <x:c r="F9" s="3" t="str">
        <x:v>Минимальный отгиб 22,5</x:v>
      </x:c>
      <x:c r="G9" s="3" t="str">
        <x:v>36 мм между крепёжными отверстиями; количество по геометрии</x:v>
      </x:c>
      <x:c r="H9" s="3" t="str">
        <x:v>Вариант/посадку уточнить</x:v>
      </x:c>
    </x:row>
    <x:row r="10" ht="84" customHeight="1">
      <x:c r="A10" s="3" t="str">
        <x:v>BT. SHBZ.006.PDF / DXF</x:v>
      </x:c>
      <x:c r="B10" s="3" t="str">
        <x:v>Места замков</x:v>
      </x:c>
      <x:c r="C10" s="3" t="n">
        <x:v>2</x:v>
      </x:c>
      <x:c r="D10" s="3"/>
      <x:c r="E10" s="3"/>
      <x:c r="F10" s="3" t="str">
        <x:v>2×20×20</x:v>
      </x:c>
      <x:c r="G10" s="3" t="str">
        <x:v>Модель не задана</x:v>
      </x:c>
      <x:c r="H10" s="3" t="str">
        <x:v>KONTROL</x:v>
      </x:c>
    </x:row>
    <x:row r="11" ht="84" customHeight="1">
      <x:c r="A11" s="3" t="str">
        <x:v>BT. SHBZ.004.PDF / DXF</x:v>
      </x:c>
      <x:c r="B11" s="3" t="str">
        <x:v>Места крепления монтажной панели</x:v>
      </x:c>
      <x:c r="C11" s="3" t="n">
        <x:v>6</x:v>
      </x:c>
      <x:c r="D11" s="3"/>
      <x:c r="E11" s="3"/>
      <x:c r="F11" s="3" t="str">
        <x:v>6×Ø9</x:v>
      </x:c>
      <x:c r="G11" s="3" t="str">
        <x:v>Включить в Монтажный материал</x:v>
      </x:c>
      <x:c r="H11" s="3" t="str">
        <x:v>KONTROL</x:v>
      </x:c>
    </x:row>
    <x:row r="12" ht="84" customHeight="1">
      <x:c r="A12" s="3" t="str">
        <x:v>260715 TEKLED PRICE.xlsx</x:v>
      </x:c>
      <x:c r="B12" s="3" t="str">
        <x:v>Источник цен</x:v>
      </x:c>
      <x:c r="C12" s="3"/>
      <x:c r="D12" s="3"/>
      <x:c r="E12" s="3"/>
      <x:c r="F12" s="3"/>
      <x:c r="G12" s="3" t="str">
        <x:v>Точного соответствия специальному корпусу и петле 095 нет.</x:v>
      </x:c>
      <x:c r="H12" s="3" t="str">
        <x:v>FIYAT_YOK</x:v>
      </x:c>
    </x:row>
    <x:row r="13" ht="84" customHeight="1">
      <x:c r="A13" s="3" t="str">
        <x:v>Все BT. SHBZ.001–007</x:v>
      </x:c>
      <x:c r="B13" s="3" t="str">
        <x:v>Комплектность</x:v>
      </x:c>
      <x:c r="C13" s="3" t="n">
        <x:v>8</x:v>
      </x:c>
      <x:c r="D13" s="3"/>
      <x:c r="E13" s="3"/>
      <x:c r="F13" s="3" t="str">
        <x:v>7 кодов / 8 деталей</x:v>
      </x:c>
      <x:c r="G13" s="3" t="str">
        <x:v>PDF и DXF — два представления одних деталей; повторно не суммировать.</x:v>
      </x:c>
      <x:c r="H13" s="3" t="str">
        <x:v>Количество заказа неизвестно</x:v>
      </x:c>
    </x:row>
    <x:row r="14" ht="84" customHeight="1">
      <x:c r="A14" s="3" t="str">
        <x:v>Чертежи 24.06.2026</x:v>
      </x:c>
      <x:c r="B14" s="3" t="str">
        <x:v>Ревизия A/A</x:v>
      </x:c>
      <x:c r="C14" s="3"/>
      <x:c r="D14" s="3"/>
      <x:c r="E14" s="3"/>
      <x:c r="F14" s="3"/>
      <x:c r="G14" s="3" t="str">
        <x:v>.002 и .003 на одном листе PDF; отдельные DXF.</x:v>
      </x:c>
      <x:c r="H14" s="3" t="str">
        <x:v>7 DXF + 6 PDF + каталог</x:v>
      </x:c>
    </x:row>
    <x:row r="15" ht="84" customHeight="1">
      <x:c r="A15" s="3" t="str">
        <x:v>YSF_HICH_v27_TEMPLATE(1).xlsx</x:v>
      </x:c>
      <x:c r="B15" s="3" t="str">
        <x:v>Макет/логотип</x:v>
      </x:c>
      <x:c r="C15" s="3"/>
      <x:c r="D15" s="3"/>
      <x:c r="E15" s="3"/>
      <x:c r="F15" s="3"/>
      <x:c r="G15" s="3" t="str">
        <x:v>Данные предыдущего проекта исключены; колонки по инструкции v27.</x:v>
      </x:c>
      <x:c r="H15" s="3" t="str">
        <x:v>Основа оформления</x:v>
      </x:c>
    </x:row>
    <x:row r="16" ht="84" customHeight="1">
      <x:c r="A16" s="3" t="str">
        <x:v>Монтажная схема</x:v>
      </x:c>
      <x:c r="B16" s="3" t="str">
        <x:v>Не предоставлена</x:v>
      </x:c>
      <x:c r="C16" s="3"/>
      <x:c r="D16" s="3"/>
      <x:c r="E16" s="3"/>
      <x:c r="F16" s="3"/>
      <x:c r="G16" s="3" t="str">
        <x:v>Визуализация: дверь .005 слева, .006 справа; ввод условно снизу.</x:v>
      </x:c>
      <x:c r="H16" s="3" t="str">
        <x:v>Положение уточнить</x:v>
      </x:c>
    </x:row>
    <x:row r="17" ht="42" customHeight="1">
      <x:c r="A17" s="3"/>
      <x:c r="B17" s="3"/>
      <x:c r="C17" s="3"/>
      <x:c r="D17" s="3"/>
      <x:c r="E17" s="3"/>
      <x:c r="F17" s="3"/>
      <x:c r="G17" s="3"/>
      <x:c r="H17" s="3"/>
    </x:row>
  </x:sheetData>
  <x:pageMargins left="0.7" right="0.7" top="0.75" bottom="0.75" header="0.3" footer="0.3"/>
</x:worksheet>
</file>