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prec.inst\kikaku\00_営業\02_プロジェクト\2024_R06\2024-006上瀬谷実施3\00_JV関係\"/>
    </mc:Choice>
  </mc:AlternateContent>
  <xr:revisionPtr revIDLastSave="0" documentId="13_ncr:1_{7641FA22-94E8-433C-BD23-BC4B07C8F077}" xr6:coauthVersionLast="47" xr6:coauthVersionMax="47" xr10:uidLastSave="{00000000-0000-0000-0000-000000000000}"/>
  <bookViews>
    <workbookView xWindow="41325" yWindow="1815" windowWidth="14145" windowHeight="11280" activeTab="3" xr2:uid="{A15FBD12-486C-4D07-BA4C-6480507875B6}"/>
  </bookViews>
  <sheets>
    <sheet name="配分額" sheetId="1" r:id="rId1"/>
    <sheet name="別添1工種変更" sheetId="3" r:id="rId2"/>
    <sheet name="別添2　R6増額変更内訳" sheetId="2" r:id="rId3"/>
    <sheet name="本田_計算用" sheetId="4" r:id="rId4"/>
  </sheets>
  <definedNames>
    <definedName name="_xlnm.Print_Area" localSheetId="0">配分額!$A$1:$P$56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4" l="1"/>
  <c r="G29" i="4" s="1"/>
  <c r="G30" i="4" s="1"/>
  <c r="I31" i="4"/>
  <c r="I25" i="4"/>
  <c r="H23" i="4"/>
  <c r="H24" i="4" s="1"/>
  <c r="G23" i="4"/>
  <c r="G24" i="4" s="1"/>
  <c r="H17" i="4"/>
  <c r="H18" i="4" s="1"/>
  <c r="G17" i="4"/>
  <c r="G18" i="4" s="1"/>
  <c r="I19" i="4"/>
  <c r="H12" i="4"/>
  <c r="G12" i="4"/>
  <c r="H11" i="4"/>
  <c r="I11" i="4" s="1"/>
  <c r="G11" i="4"/>
  <c r="I6" i="4"/>
  <c r="D7" i="4" s="1"/>
  <c r="I5" i="4"/>
  <c r="I4" i="4"/>
  <c r="J56" i="1"/>
  <c r="E56" i="1"/>
  <c r="F56" i="1"/>
  <c r="G56" i="1"/>
  <c r="H56" i="1"/>
  <c r="I56" i="1"/>
  <c r="D56" i="1"/>
  <c r="E58" i="1"/>
  <c r="F58" i="1"/>
  <c r="G58" i="1"/>
  <c r="H58" i="1"/>
  <c r="I58" i="1"/>
  <c r="D58" i="1"/>
  <c r="D55" i="1"/>
  <c r="E55" i="1"/>
  <c r="F55" i="1"/>
  <c r="G55" i="1"/>
  <c r="H55" i="1"/>
  <c r="I55" i="1"/>
  <c r="I50" i="1"/>
  <c r="G50" i="1"/>
  <c r="D50" i="1"/>
  <c r="F50" i="1"/>
  <c r="D51" i="1"/>
  <c r="F54" i="1"/>
  <c r="E54" i="1"/>
  <c r="E51" i="1"/>
  <c r="C9" i="2"/>
  <c r="D7" i="2"/>
  <c r="H29" i="4" l="1"/>
  <c r="H30" i="4" s="1"/>
  <c r="E7" i="4"/>
  <c r="I12" i="4"/>
  <c r="I24" i="4"/>
  <c r="H13" i="4"/>
  <c r="G13" i="4"/>
  <c r="I13" i="4" s="1"/>
  <c r="C7" i="4"/>
  <c r="H7" i="4"/>
  <c r="G7" i="4"/>
  <c r="F7" i="4"/>
  <c r="D54" i="1"/>
  <c r="I7" i="4" l="1"/>
  <c r="G22" i="2"/>
  <c r="F22" i="2"/>
  <c r="I22" i="2"/>
  <c r="D22" i="2"/>
  <c r="C22" i="2" s="1"/>
  <c r="E15" i="2"/>
  <c r="H15" i="2"/>
  <c r="D14" i="2"/>
  <c r="I8" i="2"/>
  <c r="G13" i="2"/>
  <c r="D10" i="2"/>
  <c r="G9" i="2"/>
  <c r="C15" i="2" l="1"/>
  <c r="G15" i="2"/>
  <c r="I9" i="2"/>
  <c r="D9" i="2"/>
  <c r="D15" i="2" s="1"/>
  <c r="F9" i="2"/>
  <c r="F15" i="2" s="1"/>
  <c r="F23" i="2" l="1"/>
  <c r="F24" i="2" s="1"/>
  <c r="F26" i="2" s="1"/>
  <c r="F40" i="1" s="1"/>
  <c r="G23" i="2"/>
  <c r="G24" i="2" s="1"/>
  <c r="G26" i="2" s="1"/>
  <c r="G40" i="1" s="1"/>
  <c r="D23" i="2"/>
  <c r="D24" i="2" s="1"/>
  <c r="I23" i="2"/>
  <c r="I24" i="2" s="1"/>
  <c r="D26" i="2"/>
  <c r="D40" i="1" s="1"/>
  <c r="C24" i="2" l="1"/>
  <c r="C26" i="2" s="1"/>
  <c r="I11" i="2" l="1"/>
  <c r="I12" i="2"/>
  <c r="I15" i="2" l="1"/>
  <c r="I26" i="2" s="1"/>
  <c r="I40" i="1" s="1"/>
  <c r="D22" i="1" l="1"/>
  <c r="D18" i="1"/>
  <c r="D48" i="1" s="1"/>
  <c r="E18" i="1"/>
  <c r="E22" i="1" s="1"/>
  <c r="E29" i="1" s="1"/>
  <c r="E25" i="1" s="1"/>
  <c r="F18" i="1"/>
  <c r="F22" i="1" s="1"/>
  <c r="F29" i="1" s="1"/>
  <c r="F25" i="1" s="1"/>
  <c r="G18" i="1"/>
  <c r="G22" i="1" s="1"/>
  <c r="G29" i="1" s="1"/>
  <c r="G25" i="1" s="1"/>
  <c r="H18" i="1"/>
  <c r="I18" i="1"/>
  <c r="J5" i="1"/>
  <c r="E11" i="1"/>
  <c r="E15" i="1" s="1"/>
  <c r="F11" i="1"/>
  <c r="F15" i="1" s="1"/>
  <c r="G11" i="1"/>
  <c r="G15" i="1" s="1"/>
  <c r="H11" i="1"/>
  <c r="H15" i="1" s="1"/>
  <c r="I11" i="1"/>
  <c r="I15" i="1" s="1"/>
  <c r="D11" i="1"/>
  <c r="D15" i="1" s="1"/>
  <c r="N51" i="3"/>
  <c r="O51" i="3"/>
  <c r="P51" i="3"/>
  <c r="Q51" i="3"/>
  <c r="R51" i="3"/>
  <c r="F49" i="3"/>
  <c r="F48" i="3"/>
  <c r="R48" i="3" s="1"/>
  <c r="F47" i="3"/>
  <c r="F46" i="3"/>
  <c r="F20" i="3"/>
  <c r="F45" i="3"/>
  <c r="F44" i="3"/>
  <c r="F43" i="3"/>
  <c r="M43" i="3" s="1"/>
  <c r="F42" i="3"/>
  <c r="P42" i="3" s="1"/>
  <c r="F41" i="3"/>
  <c r="F40" i="3"/>
  <c r="F39" i="3"/>
  <c r="F38" i="3"/>
  <c r="F37" i="3"/>
  <c r="F36" i="3"/>
  <c r="F35" i="3"/>
  <c r="M35" i="3" s="1"/>
  <c r="F34" i="3"/>
  <c r="P34" i="3" s="1"/>
  <c r="F33" i="3"/>
  <c r="F32" i="3"/>
  <c r="F31" i="3"/>
  <c r="O31" i="3" s="1"/>
  <c r="F5" i="3"/>
  <c r="M25" i="3"/>
  <c r="S49" i="3"/>
  <c r="Q49" i="3"/>
  <c r="S48" i="3"/>
  <c r="S47" i="3"/>
  <c r="M47" i="3"/>
  <c r="R47" i="3"/>
  <c r="R46" i="3"/>
  <c r="C46" i="3"/>
  <c r="C47" i="3" s="1"/>
  <c r="E47" i="3" s="1"/>
  <c r="S44" i="3"/>
  <c r="P44" i="3"/>
  <c r="O44" i="3"/>
  <c r="N44" i="3"/>
  <c r="M44" i="3"/>
  <c r="S43" i="3"/>
  <c r="N43" i="3"/>
  <c r="S42" i="3"/>
  <c r="S41" i="3"/>
  <c r="P41" i="3"/>
  <c r="O41" i="3"/>
  <c r="N41" i="3"/>
  <c r="M41" i="3"/>
  <c r="S40" i="3"/>
  <c r="P40" i="3"/>
  <c r="O40" i="3"/>
  <c r="N40" i="3"/>
  <c r="M40" i="3"/>
  <c r="S39" i="3"/>
  <c r="P39" i="3"/>
  <c r="O39" i="3"/>
  <c r="N39" i="3"/>
  <c r="M39" i="3"/>
  <c r="S38" i="3"/>
  <c r="P38" i="3"/>
  <c r="O38" i="3"/>
  <c r="N38" i="3"/>
  <c r="M38" i="3"/>
  <c r="S37" i="3"/>
  <c r="P37" i="3"/>
  <c r="O37" i="3"/>
  <c r="N37" i="3"/>
  <c r="M37" i="3"/>
  <c r="S36" i="3"/>
  <c r="P36" i="3"/>
  <c r="O36" i="3"/>
  <c r="N36" i="3"/>
  <c r="M36" i="3"/>
  <c r="S35" i="3"/>
  <c r="N35" i="3"/>
  <c r="S34" i="3"/>
  <c r="S33" i="3"/>
  <c r="P33" i="3"/>
  <c r="O33" i="3"/>
  <c r="N33" i="3"/>
  <c r="M33" i="3"/>
  <c r="S32" i="3"/>
  <c r="P32" i="3"/>
  <c r="O32" i="3"/>
  <c r="N32" i="3"/>
  <c r="M32" i="3"/>
  <c r="S31" i="3"/>
  <c r="N31" i="3"/>
  <c r="S23" i="3"/>
  <c r="S22" i="3"/>
  <c r="S21" i="3"/>
  <c r="C20" i="3"/>
  <c r="C21" i="3" s="1"/>
  <c r="E21" i="3" s="1"/>
  <c r="S18" i="3"/>
  <c r="S17" i="3"/>
  <c r="S16" i="3"/>
  <c r="S15" i="3"/>
  <c r="F15" i="3"/>
  <c r="M15" i="3" s="1"/>
  <c r="S14" i="3"/>
  <c r="S13" i="3"/>
  <c r="S12" i="3"/>
  <c r="S11" i="3"/>
  <c r="F11" i="3"/>
  <c r="M11" i="3" s="1"/>
  <c r="S10" i="3"/>
  <c r="S9" i="3"/>
  <c r="S8" i="3"/>
  <c r="S7" i="3"/>
  <c r="F7" i="3"/>
  <c r="M7" i="3" s="1"/>
  <c r="S6" i="3"/>
  <c r="S5" i="3"/>
  <c r="F22" i="3"/>
  <c r="Q22" i="3" s="1"/>
  <c r="O16" i="1"/>
  <c r="N16" i="1"/>
  <c r="H22" i="1"/>
  <c r="H29" i="1" s="1"/>
  <c r="H25" i="1" s="1"/>
  <c r="I22" i="1"/>
  <c r="I29" i="1" s="1"/>
  <c r="I25" i="1" s="1"/>
  <c r="E8" i="1"/>
  <c r="F8" i="1"/>
  <c r="G8" i="1"/>
  <c r="H8" i="1"/>
  <c r="I8" i="1"/>
  <c r="D8" i="1"/>
  <c r="D44" i="1" l="1"/>
  <c r="D17" i="2"/>
  <c r="I17" i="2"/>
  <c r="F48" i="1"/>
  <c r="H48" i="1"/>
  <c r="G48" i="1"/>
  <c r="E48" i="1"/>
  <c r="I48" i="1"/>
  <c r="J18" i="1"/>
  <c r="J12" i="1"/>
  <c r="D29" i="1"/>
  <c r="D25" i="1" s="1"/>
  <c r="J6" i="1"/>
  <c r="J11" i="1"/>
  <c r="Q48" i="3"/>
  <c r="M34" i="3"/>
  <c r="P35" i="3"/>
  <c r="M42" i="3"/>
  <c r="P43" i="3"/>
  <c r="N34" i="3"/>
  <c r="N42" i="3"/>
  <c r="O34" i="3"/>
  <c r="O42" i="3"/>
  <c r="O35" i="3"/>
  <c r="O43" i="3"/>
  <c r="P31" i="3"/>
  <c r="M31" i="3"/>
  <c r="R49" i="3"/>
  <c r="M46" i="3"/>
  <c r="M50" i="3" s="1"/>
  <c r="M51" i="3" s="1"/>
  <c r="E48" i="3"/>
  <c r="E31" i="3" s="1"/>
  <c r="N46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O46" i="3"/>
  <c r="N47" i="3"/>
  <c r="M48" i="3"/>
  <c r="M49" i="3"/>
  <c r="F5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P46" i="3"/>
  <c r="O47" i="3"/>
  <c r="N48" i="3"/>
  <c r="N49" i="3"/>
  <c r="Q46" i="3"/>
  <c r="P47" i="3"/>
  <c r="O48" i="3"/>
  <c r="O49" i="3"/>
  <c r="Q47" i="3"/>
  <c r="P48" i="3"/>
  <c r="P49" i="3"/>
  <c r="E46" i="3"/>
  <c r="F6" i="3"/>
  <c r="M6" i="3" s="1"/>
  <c r="F10" i="3"/>
  <c r="M10" i="3" s="1"/>
  <c r="F14" i="3"/>
  <c r="M14" i="3" s="1"/>
  <c r="F18" i="3"/>
  <c r="M18" i="3" s="1"/>
  <c r="F8" i="3"/>
  <c r="M8" i="3" s="1"/>
  <c r="F12" i="3"/>
  <c r="M12" i="3" s="1"/>
  <c r="F16" i="3"/>
  <c r="M16" i="3" s="1"/>
  <c r="E20" i="3"/>
  <c r="M5" i="3"/>
  <c r="F9" i="3"/>
  <c r="M9" i="3" s="1"/>
  <c r="F13" i="3"/>
  <c r="M13" i="3" s="1"/>
  <c r="F17" i="3"/>
  <c r="M17" i="3" s="1"/>
  <c r="F23" i="3"/>
  <c r="Q23" i="3" s="1"/>
  <c r="N6" i="3"/>
  <c r="N7" i="3"/>
  <c r="N8" i="3"/>
  <c r="N11" i="3"/>
  <c r="N13" i="3"/>
  <c r="N14" i="3"/>
  <c r="N15" i="3"/>
  <c r="N17" i="3"/>
  <c r="N18" i="3"/>
  <c r="R22" i="3"/>
  <c r="R23" i="3"/>
  <c r="O5" i="3"/>
  <c r="O6" i="3"/>
  <c r="O7" i="3"/>
  <c r="O9" i="3"/>
  <c r="O10" i="3"/>
  <c r="O11" i="3"/>
  <c r="O13" i="3"/>
  <c r="O14" i="3"/>
  <c r="O15" i="3"/>
  <c r="O17" i="3"/>
  <c r="O18" i="3"/>
  <c r="F21" i="3"/>
  <c r="E22" i="3"/>
  <c r="N5" i="3"/>
  <c r="P5" i="3"/>
  <c r="P8" i="3"/>
  <c r="P13" i="3"/>
  <c r="P15" i="3"/>
  <c r="P17" i="3"/>
  <c r="Q5" i="3"/>
  <c r="Q6" i="3"/>
  <c r="Q7" i="3"/>
  <c r="Q8" i="3"/>
  <c r="Q11" i="3"/>
  <c r="Q13" i="3"/>
  <c r="Q14" i="3"/>
  <c r="Q15" i="3"/>
  <c r="Q17" i="3"/>
  <c r="Q18" i="3"/>
  <c r="M22" i="3"/>
  <c r="P7" i="3"/>
  <c r="P12" i="3"/>
  <c r="R5" i="3"/>
  <c r="R6" i="3"/>
  <c r="R7" i="3"/>
  <c r="R11" i="3"/>
  <c r="R13" i="3"/>
  <c r="R14" i="3"/>
  <c r="R15" i="3"/>
  <c r="R17" i="3"/>
  <c r="R18" i="3"/>
  <c r="N22" i="3"/>
  <c r="P6" i="3"/>
  <c r="P9" i="3"/>
  <c r="P11" i="3"/>
  <c r="P14" i="3"/>
  <c r="P18" i="3"/>
  <c r="E5" i="3"/>
  <c r="O22" i="3"/>
  <c r="O23" i="3"/>
  <c r="P22" i="3"/>
  <c r="G17" i="2" l="1"/>
  <c r="F44" i="1"/>
  <c r="F17" i="2"/>
  <c r="G44" i="1"/>
  <c r="I44" i="1"/>
  <c r="E44" i="1"/>
  <c r="H44" i="1"/>
  <c r="J19" i="1"/>
  <c r="D38" i="1"/>
  <c r="N50" i="3"/>
  <c r="O50" i="3"/>
  <c r="P50" i="3"/>
  <c r="N16" i="3"/>
  <c r="R10" i="3"/>
  <c r="Q10" i="3"/>
  <c r="R9" i="3"/>
  <c r="Q9" i="3"/>
  <c r="P10" i="3"/>
  <c r="P24" i="3" s="1"/>
  <c r="P25" i="3" s="1"/>
  <c r="R16" i="3"/>
  <c r="Q16" i="3"/>
  <c r="N10" i="3"/>
  <c r="P16" i="3"/>
  <c r="R50" i="3"/>
  <c r="Q50" i="3"/>
  <c r="N23" i="3"/>
  <c r="R12" i="3"/>
  <c r="O12" i="3"/>
  <c r="M23" i="3"/>
  <c r="Q12" i="3"/>
  <c r="Q24" i="3" s="1"/>
  <c r="Q25" i="3" s="1"/>
  <c r="N12" i="3"/>
  <c r="R8" i="3"/>
  <c r="P23" i="3"/>
  <c r="O16" i="3"/>
  <c r="O8" i="3"/>
  <c r="N9" i="3"/>
  <c r="R20" i="3"/>
  <c r="Q20" i="3"/>
  <c r="P20" i="3"/>
  <c r="O20" i="3"/>
  <c r="N20" i="3"/>
  <c r="M20" i="3"/>
  <c r="R21" i="3"/>
  <c r="Q21" i="3"/>
  <c r="P21" i="3"/>
  <c r="O21" i="3"/>
  <c r="N21" i="3"/>
  <c r="M21" i="3"/>
  <c r="F24" i="3"/>
  <c r="J44" i="1" l="1"/>
  <c r="D34" i="1"/>
  <c r="O24" i="3"/>
  <c r="O25" i="3" s="1"/>
  <c r="N24" i="3"/>
  <c r="N25" i="3" s="1"/>
  <c r="S50" i="3"/>
  <c r="R24" i="3"/>
  <c r="R25" i="3" s="1"/>
  <c r="M24" i="3"/>
  <c r="S24" i="3" l="1"/>
  <c r="G38" i="1" l="1"/>
  <c r="G34" i="1" s="1"/>
  <c r="G51" i="1" s="1"/>
  <c r="G54" i="1" s="1"/>
  <c r="I38" i="1"/>
  <c r="I34" i="1" s="1"/>
  <c r="I51" i="1" s="1"/>
  <c r="I54" i="1" s="1"/>
  <c r="F38" i="1"/>
  <c r="F34" i="1" s="1"/>
  <c r="F51" i="1" s="1"/>
  <c r="E38" i="1"/>
  <c r="J26" i="1"/>
  <c r="H38" i="1"/>
  <c r="H34" i="1" s="1"/>
  <c r="H51" i="1" s="1"/>
  <c r="H54" i="1" s="1"/>
  <c r="J54" i="1" l="1"/>
  <c r="E34" i="1"/>
  <c r="J35" i="1"/>
  <c r="J25" i="1"/>
  <c r="J34" i="1" l="1"/>
  <c r="J45" i="1" l="1"/>
  <c r="J55" i="1" l="1"/>
  <c r="I1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浜野恒二</author>
  </authors>
  <commentList>
    <comment ref="D30" authorId="0" shapeId="0" xr:uid="{738C36C5-B360-465A-91E1-8A8C7F69B577}">
      <text>
        <r>
          <rPr>
            <b/>
            <sz val="9"/>
            <color indexed="81"/>
            <rFont val="MS P ゴシック"/>
            <family val="3"/>
            <charset val="128"/>
          </rPr>
          <t>各社拠出分をプレックへ</t>
        </r>
      </text>
    </comment>
    <comment ref="D51" authorId="0" shapeId="0" xr:uid="{71D13FEA-8C3D-4038-9F74-FF281EA286E8}">
      <text>
        <r>
          <rPr>
            <b/>
            <sz val="9"/>
            <color indexed="81"/>
            <rFont val="MS P ゴシック"/>
            <family val="3"/>
            <charset val="128"/>
          </rPr>
          <t>各社手数料の合計をプラス</t>
        </r>
      </text>
    </comment>
    <comment ref="D55" authorId="0" shapeId="0" xr:uid="{421FAA6F-0B67-41A7-AA71-3FB086B575F5}">
      <text>
        <r>
          <rPr>
            <sz val="9"/>
            <color indexed="81"/>
            <rFont val="MS P ゴシック"/>
            <family val="3"/>
            <charset val="128"/>
          </rPr>
          <t xml:space="preserve">端数調整
-9000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浜野恒二</author>
  </authors>
  <commentList>
    <comment ref="G22" authorId="0" shapeId="0" xr:uid="{1ED33B80-B0A5-4DEF-A6AD-F22E73D8ECD4}">
      <text>
        <r>
          <rPr>
            <b/>
            <sz val="9"/>
            <color indexed="81"/>
            <rFont val="MS P ゴシック"/>
            <family val="3"/>
            <charset val="128"/>
          </rPr>
          <t>総合+共信合算値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浜野恒二</author>
  </authors>
  <commentList>
    <comment ref="C5" authorId="0" shapeId="0" xr:uid="{73505AC3-07CC-4ADB-8FC4-9E5337D7758C}">
      <text>
        <r>
          <rPr>
            <sz val="9"/>
            <color indexed="81"/>
            <rFont val="MS P ゴシック"/>
            <family val="3"/>
            <charset val="128"/>
          </rPr>
          <t xml:space="preserve">端数調整
-9000
</t>
        </r>
      </text>
    </comment>
  </commentList>
</comments>
</file>

<file path=xl/sharedStrings.xml><?xml version="1.0" encoding="utf-8"?>
<sst xmlns="http://schemas.openxmlformats.org/spreadsheetml/2006/main" count="249" uniqueCount="117">
  <si>
    <t>プレック</t>
  </si>
  <si>
    <t>空間創研</t>
    <rPh sb="0" eb="2">
      <t>クウカン</t>
    </rPh>
    <rPh sb="2" eb="4">
      <t>ソウケン</t>
    </rPh>
    <phoneticPr fontId="1"/>
  </si>
  <si>
    <t>ヘッズ</t>
  </si>
  <si>
    <t>総合設計</t>
    <rPh sb="0" eb="4">
      <t>ソウゴウセッケイ</t>
    </rPh>
    <phoneticPr fontId="1"/>
  </si>
  <si>
    <t>共信</t>
    <rPh sb="0" eb="1">
      <t>トモ</t>
    </rPh>
    <rPh sb="1" eb="2">
      <t>シン</t>
    </rPh>
    <phoneticPr fontId="1"/>
  </si>
  <si>
    <t>ランズ計画</t>
    <rPh sb="3" eb="5">
      <t>ケイカク</t>
    </rPh>
    <phoneticPr fontId="1"/>
  </si>
  <si>
    <t>3か年総額</t>
    <rPh sb="2" eb="3">
      <t>ネン</t>
    </rPh>
    <rPh sb="3" eb="5">
      <t>ソウガク</t>
    </rPh>
    <phoneticPr fontId="4"/>
  </si>
  <si>
    <t>R5配分（当時・暫定）</t>
    <rPh sb="2" eb="4">
      <t>ハイブン</t>
    </rPh>
    <rPh sb="5" eb="7">
      <t>トウジ</t>
    </rPh>
    <rPh sb="8" eb="10">
      <t>ザンテイ</t>
    </rPh>
    <phoneticPr fontId="4"/>
  </si>
  <si>
    <t>R6配分（当時・暫定）</t>
    <rPh sb="2" eb="4">
      <t>ハイブン</t>
    </rPh>
    <rPh sb="5" eb="7">
      <t>トウジ</t>
    </rPh>
    <rPh sb="8" eb="10">
      <t>ザンテイ</t>
    </rPh>
    <phoneticPr fontId="4"/>
  </si>
  <si>
    <t>↓総額（当時の想定）</t>
    <rPh sb="1" eb="3">
      <t>ソウガク</t>
    </rPh>
    <rPh sb="4" eb="6">
      <t>トウジ</t>
    </rPh>
    <rPh sb="7" eb="9">
      <t>ソウテイ</t>
    </rPh>
    <phoneticPr fontId="4"/>
  </si>
  <si>
    <t>R4契約額（実績）</t>
    <rPh sb="2" eb="5">
      <t>ケイヤクガク</t>
    </rPh>
    <rPh sb="6" eb="8">
      <t>ジッセキ</t>
    </rPh>
    <phoneticPr fontId="4"/>
  </si>
  <si>
    <t>R5配分（実績）</t>
    <rPh sb="2" eb="4">
      <t>ハイブン</t>
    </rPh>
    <phoneticPr fontId="4"/>
  </si>
  <si>
    <t>R5北配分（実績）</t>
    <rPh sb="2" eb="3">
      <t>キタ</t>
    </rPh>
    <rPh sb="3" eb="5">
      <t>ハイブン</t>
    </rPh>
    <phoneticPr fontId="4"/>
  </si>
  <si>
    <t>項目</t>
    <rPh sb="0" eb="2">
      <t>コウモク</t>
    </rPh>
    <phoneticPr fontId="4"/>
  </si>
  <si>
    <t>増額合計</t>
    <rPh sb="0" eb="2">
      <t>ゾウガク</t>
    </rPh>
    <rPh sb="2" eb="4">
      <t>ゴウケイ</t>
    </rPh>
    <phoneticPr fontId="4"/>
  </si>
  <si>
    <t>合計</t>
    <rPh sb="0" eb="2">
      <t>ゴウケイ</t>
    </rPh>
    <phoneticPr fontId="4"/>
  </si>
  <si>
    <t>R6増額配分（今回設定）</t>
    <rPh sb="2" eb="4">
      <t>ゾウガク</t>
    </rPh>
    <rPh sb="4" eb="6">
      <t>ハイブン</t>
    </rPh>
    <rPh sb="7" eb="9">
      <t>コンカイ</t>
    </rPh>
    <rPh sb="9" eb="11">
      <t>セッテイ</t>
    </rPh>
    <phoneticPr fontId="4"/>
  </si>
  <si>
    <t>⑥事務手数料3％を各社からプレックへ</t>
    <rPh sb="1" eb="3">
      <t>ジム</t>
    </rPh>
    <rPh sb="3" eb="6">
      <t>テスウリョウ</t>
    </rPh>
    <rPh sb="9" eb="10">
      <t>カク</t>
    </rPh>
    <rPh sb="10" eb="11">
      <t>シャ</t>
    </rPh>
    <phoneticPr fontId="4"/>
  </si>
  <si>
    <t>★R6配分額</t>
    <rPh sb="3" eb="6">
      <t>ハイブンガク</t>
    </rPh>
    <phoneticPr fontId="4"/>
  </si>
  <si>
    <t>↓総額（確定値）</t>
    <rPh sb="1" eb="3">
      <t>ソウガク</t>
    </rPh>
    <rPh sb="4" eb="7">
      <t>カクテイチ</t>
    </rPh>
    <phoneticPr fontId="4"/>
  </si>
  <si>
    <t>①R5.9協議時配分</t>
    <rPh sb="8" eb="10">
      <t>ハイブン</t>
    </rPh>
    <phoneticPr fontId="4"/>
  </si>
  <si>
    <t>② 3か年総額を確定値に更新</t>
    <rPh sb="4" eb="5">
      <t>ネン</t>
    </rPh>
    <rPh sb="5" eb="7">
      <t>ソウガク</t>
    </rPh>
    <rPh sb="8" eb="11">
      <t>カクテイチ</t>
    </rPh>
    <rPh sb="12" eb="14">
      <t>コウシン</t>
    </rPh>
    <phoneticPr fontId="4"/>
  </si>
  <si>
    <t>基本金額</t>
    <rPh sb="0" eb="2">
      <t>キホン</t>
    </rPh>
    <rPh sb="2" eb="4">
      <t>キンガク</t>
    </rPh>
    <phoneticPr fontId="4"/>
  </si>
  <si>
    <t>個別項目</t>
    <rPh sb="0" eb="2">
      <t>コベツ</t>
    </rPh>
    <rPh sb="2" eb="4">
      <t>コウモク</t>
    </rPh>
    <phoneticPr fontId="4"/>
  </si>
  <si>
    <t>R4</t>
    <phoneticPr fontId="4"/>
  </si>
  <si>
    <t>R5</t>
  </si>
  <si>
    <t>特例措置による変更分含む</t>
    <rPh sb="0" eb="2">
      <t>トクレイ</t>
    </rPh>
    <rPh sb="2" eb="4">
      <t>ソチ</t>
    </rPh>
    <rPh sb="7" eb="9">
      <t>ヘンコウ</t>
    </rPh>
    <rPh sb="9" eb="10">
      <t>ブン</t>
    </rPh>
    <rPh sb="10" eb="11">
      <t>フク</t>
    </rPh>
    <phoneticPr fontId="4"/>
  </si>
  <si>
    <t>民有地樹木調査</t>
    <rPh sb="0" eb="3">
      <t>ミンユウチ</t>
    </rPh>
    <rPh sb="3" eb="5">
      <t>ジュモク</t>
    </rPh>
    <rPh sb="5" eb="7">
      <t>チョウサ</t>
    </rPh>
    <phoneticPr fontId="4"/>
  </si>
  <si>
    <t>R5北</t>
    <rPh sb="2" eb="3">
      <t>キタ</t>
    </rPh>
    <phoneticPr fontId="4"/>
  </si>
  <si>
    <t>R6</t>
    <phoneticPr fontId="4"/>
  </si>
  <si>
    <t>当初契約額</t>
    <rPh sb="0" eb="2">
      <t>トウショ</t>
    </rPh>
    <rPh sb="2" eb="4">
      <t>ケイヤク</t>
    </rPh>
    <rPh sb="4" eb="5">
      <t>ガク</t>
    </rPh>
    <phoneticPr fontId="4"/>
  </si>
  <si>
    <t>3か年総額内訳</t>
    <rPh sb="2" eb="3">
      <t>ネン</t>
    </rPh>
    <rPh sb="3" eb="5">
      <t>ソウガク</t>
    </rPh>
    <rPh sb="5" eb="7">
      <t>ウチワケ</t>
    </rPh>
    <phoneticPr fontId="4"/>
  </si>
  <si>
    <t>円（税抜き）※R6増額含まず</t>
    <rPh sb="0" eb="1">
      <t>エン</t>
    </rPh>
    <rPh sb="2" eb="4">
      <t>ゼイヌ</t>
    </rPh>
    <rPh sb="9" eb="11">
      <t>ゾウガク</t>
    </rPh>
    <rPh sb="11" eb="12">
      <t>フク</t>
    </rPh>
    <phoneticPr fontId="4"/>
  </si>
  <si>
    <t>項目（細）</t>
    <rPh sb="0" eb="2">
      <t>コウモク</t>
    </rPh>
    <rPh sb="3" eb="4">
      <t>サイ</t>
    </rPh>
    <phoneticPr fontId="4"/>
  </si>
  <si>
    <t>割合</t>
    <rPh sb="0" eb="2">
      <t>ワリアイ</t>
    </rPh>
    <phoneticPr fontId="4"/>
  </si>
  <si>
    <t>金額</t>
    <rPh sb="0" eb="2">
      <t>キンガク</t>
    </rPh>
    <phoneticPr fontId="4"/>
  </si>
  <si>
    <t>項目別 各社割合</t>
    <rPh sb="0" eb="2">
      <t>コウモク</t>
    </rPh>
    <rPh sb="2" eb="3">
      <t>ベツ</t>
    </rPh>
    <rPh sb="4" eb="6">
      <t>カクシャ</t>
    </rPh>
    <rPh sb="6" eb="8">
      <t>ワリアイ</t>
    </rPh>
    <phoneticPr fontId="4"/>
  </si>
  <si>
    <t>項目別 各社金額</t>
    <rPh sb="0" eb="3">
      <t>コウモクベツ</t>
    </rPh>
    <rPh sb="4" eb="6">
      <t>カクシャ</t>
    </rPh>
    <rPh sb="6" eb="8">
      <t>キンガク</t>
    </rPh>
    <phoneticPr fontId="4"/>
  </si>
  <si>
    <t>1.     造成：Z01</t>
  </si>
  <si>
    <t>2.     基盤（擁壁等）：B01</t>
  </si>
  <si>
    <t>3.     植栽（新植・移植・剪定）：S01</t>
    <phoneticPr fontId="4"/>
  </si>
  <si>
    <t>新植(環境植栽）</t>
    <rPh sb="0" eb="1">
      <t>シン</t>
    </rPh>
    <rPh sb="1" eb="2">
      <t>ウ</t>
    </rPh>
    <rPh sb="3" eb="5">
      <t>カンキョウ</t>
    </rPh>
    <rPh sb="5" eb="7">
      <t>ショクサイ</t>
    </rPh>
    <phoneticPr fontId="4"/>
  </si>
  <si>
    <t>新植(修景植栽）</t>
    <rPh sb="0" eb="1">
      <t>シン</t>
    </rPh>
    <rPh sb="1" eb="2">
      <t>ウ</t>
    </rPh>
    <rPh sb="3" eb="5">
      <t>シュウケイ</t>
    </rPh>
    <rPh sb="5" eb="7">
      <t>ショクサイ</t>
    </rPh>
    <phoneticPr fontId="4"/>
  </si>
  <si>
    <t>移植</t>
    <rPh sb="0" eb="2">
      <t>イショク</t>
    </rPh>
    <phoneticPr fontId="4"/>
  </si>
  <si>
    <r>
      <t>剪定</t>
    </r>
    <r>
      <rPr>
        <sz val="12"/>
        <color rgb="FFFF0000"/>
        <rFont val="游ゴシック"/>
        <family val="3"/>
        <charset val="128"/>
        <scheme val="minor"/>
      </rPr>
      <t>（伐採？）</t>
    </r>
    <rPh sb="0" eb="2">
      <t>センテイ</t>
    </rPh>
    <rPh sb="3" eb="5">
      <t>バッサイ</t>
    </rPh>
    <phoneticPr fontId="4"/>
  </si>
  <si>
    <t>4.     給水：K01</t>
  </si>
  <si>
    <t>5.     排水：H01</t>
  </si>
  <si>
    <t>雨水</t>
    <rPh sb="0" eb="2">
      <t>ウスイ</t>
    </rPh>
    <phoneticPr fontId="4"/>
  </si>
  <si>
    <t>汚水</t>
    <rPh sb="0" eb="2">
      <t>オスイ</t>
    </rPh>
    <phoneticPr fontId="4"/>
  </si>
  <si>
    <t>6.     電気：D01</t>
    <phoneticPr fontId="4"/>
  </si>
  <si>
    <t>7.     ガス：G01</t>
  </si>
  <si>
    <t>8.     施設（園路広場・遊戯施設・サービス施設・管理施設）：E01</t>
    <phoneticPr fontId="4"/>
  </si>
  <si>
    <t>園路広場・遊戯施設・サービス施設・管理施設</t>
    <phoneticPr fontId="4"/>
  </si>
  <si>
    <t>スウェル</t>
    <phoneticPr fontId="4"/>
  </si>
  <si>
    <t>9.     仮設：A01</t>
  </si>
  <si>
    <t>10.  調整池：T01</t>
  </si>
  <si>
    <t>11.  金属探査：N01</t>
  </si>
  <si>
    <t>打合せ、関係機関協議、報告書作成</t>
    <rPh sb="0" eb="2">
      <t>ウチアワ</t>
    </rPh>
    <rPh sb="4" eb="6">
      <t>カンケイ</t>
    </rPh>
    <rPh sb="6" eb="8">
      <t>キカン</t>
    </rPh>
    <rPh sb="8" eb="10">
      <t>キョウギ</t>
    </rPh>
    <rPh sb="11" eb="14">
      <t>ホウコクショ</t>
    </rPh>
    <rPh sb="14" eb="16">
      <t>サクセイ</t>
    </rPh>
    <phoneticPr fontId="4"/>
  </si>
  <si>
    <t>とりまとめ</t>
    <phoneticPr fontId="4"/>
  </si>
  <si>
    <t>設計図書とりまとめ</t>
    <rPh sb="0" eb="2">
      <t>セッケイ</t>
    </rPh>
    <rPh sb="2" eb="4">
      <t>トショ</t>
    </rPh>
    <phoneticPr fontId="4"/>
  </si>
  <si>
    <t>全体とりまとめ</t>
    <rPh sb="0" eb="2">
      <t>ゼンタイ</t>
    </rPh>
    <phoneticPr fontId="4"/>
  </si>
  <si>
    <t>①3か年合計</t>
    <rPh sb="3" eb="4">
      <t>ネン</t>
    </rPh>
    <rPh sb="4" eb="6">
      <t>ゴウケイ</t>
    </rPh>
    <phoneticPr fontId="4"/>
  </si>
  <si>
    <t>当初割合</t>
    <rPh sb="0" eb="2">
      <t>トウショ</t>
    </rPh>
    <rPh sb="2" eb="4">
      <t>ワリアイ</t>
    </rPh>
    <phoneticPr fontId="4"/>
  </si>
  <si>
    <t>変更後割合</t>
    <rPh sb="0" eb="3">
      <t>ヘンコウゴ</t>
    </rPh>
    <rPh sb="3" eb="5">
      <t>ワリアイ</t>
    </rPh>
    <phoneticPr fontId="4"/>
  </si>
  <si>
    <t>④R6 戸田風景委託費（200万）を各社（プレック、ヘッズ、総合、ランズ）から50万ずつ拠出⇒ヘッズ、総合、ランズから、支払いを担当するプレックへそれぞれ50万移動</t>
    <rPh sb="4" eb="8">
      <t>トダフウケイ</t>
    </rPh>
    <rPh sb="8" eb="11">
      <t>イタクヒ</t>
    </rPh>
    <rPh sb="15" eb="16">
      <t>マン</t>
    </rPh>
    <rPh sb="18" eb="20">
      <t>カクシャ</t>
    </rPh>
    <rPh sb="30" eb="32">
      <t>ソウゴウ</t>
    </rPh>
    <rPh sb="41" eb="42">
      <t>マン</t>
    </rPh>
    <rPh sb="44" eb="46">
      <t>キョシュツ</t>
    </rPh>
    <rPh sb="51" eb="53">
      <t>ソウゴウ</t>
    </rPh>
    <rPh sb="60" eb="62">
      <t>シハラ</t>
    </rPh>
    <rPh sb="64" eb="66">
      <t>タントウ</t>
    </rPh>
    <rPh sb="79" eb="80">
      <t>マン</t>
    </rPh>
    <rPh sb="80" eb="82">
      <t>イドウ</t>
    </rPh>
    <phoneticPr fontId="4"/>
  </si>
  <si>
    <t>総額check</t>
    <rPh sb="0" eb="2">
      <t>ソウガク</t>
    </rPh>
    <phoneticPr fontId="4"/>
  </si>
  <si>
    <t>⑤R6増額変更を反映→内訳は別添2参照</t>
    <rPh sb="3" eb="5">
      <t>ゾウガク</t>
    </rPh>
    <rPh sb="5" eb="7">
      <t>ヘンコウ</t>
    </rPh>
    <rPh sb="8" eb="10">
      <t>ハンエイ</t>
    </rPh>
    <rPh sb="11" eb="13">
      <t>ウチワケ</t>
    </rPh>
    <rPh sb="14" eb="16">
      <t>ベッテン</t>
    </rPh>
    <rPh sb="17" eb="19">
      <t>サンショウ</t>
    </rPh>
    <phoneticPr fontId="4"/>
  </si>
  <si>
    <t>戸田風景委託費調整</t>
    <rPh sb="0" eb="4">
      <t>トダフウケイ</t>
    </rPh>
    <rPh sb="4" eb="7">
      <t>イタクヒ</t>
    </rPh>
    <rPh sb="7" eb="9">
      <t>チョウセイ</t>
    </rPh>
    <phoneticPr fontId="4"/>
  </si>
  <si>
    <t>3か年の事務手数料（3％）
⑤の3か年総額*0.03</t>
    <rPh sb="2" eb="3">
      <t>ネン</t>
    </rPh>
    <rPh sb="4" eb="9">
      <t>ジムテスウリョウ</t>
    </rPh>
    <rPh sb="9" eb="10">
      <t>サ</t>
    </rPh>
    <rPh sb="11" eb="12">
      <t>ヒ</t>
    </rPh>
    <rPh sb="18" eb="19">
      <t>ネン</t>
    </rPh>
    <rPh sb="19" eb="21">
      <t>ソウガク</t>
    </rPh>
    <phoneticPr fontId="4"/>
  </si>
  <si>
    <t>上瀬谷その3業務配分額</t>
    <rPh sb="0" eb="3">
      <t>カミセヤ</t>
    </rPh>
    <rPh sb="6" eb="8">
      <t>ギョウム</t>
    </rPh>
    <rPh sb="8" eb="11">
      <t>ハイブンガク</t>
    </rPh>
    <phoneticPr fontId="4"/>
  </si>
  <si>
    <t>③工種間の割合を調整→調整内容は別添1参照</t>
    <rPh sb="1" eb="2">
      <t>コウ</t>
    </rPh>
    <rPh sb="2" eb="3">
      <t>シュ</t>
    </rPh>
    <rPh sb="3" eb="4">
      <t>カン</t>
    </rPh>
    <rPh sb="5" eb="7">
      <t>ワリアイ</t>
    </rPh>
    <rPh sb="8" eb="10">
      <t>チョウセイ</t>
    </rPh>
    <rPh sb="11" eb="13">
      <t>チョウセイ</t>
    </rPh>
    <rPh sb="13" eb="15">
      <t>ナイヨウ</t>
    </rPh>
    <rPh sb="16" eb="18">
      <t>ベッテン</t>
    </rPh>
    <rPh sb="19" eb="21">
      <t>サンショウ</t>
    </rPh>
    <phoneticPr fontId="4"/>
  </si>
  <si>
    <t>※単位は全て円、税抜き</t>
    <rPh sb="1" eb="3">
      <t>タンイ</t>
    </rPh>
    <rPh sb="4" eb="5">
      <t>スベ</t>
    </rPh>
    <rPh sb="6" eb="7">
      <t>エン</t>
    </rPh>
    <rPh sb="8" eb="10">
      <t>ゼイヌ</t>
    </rPh>
    <phoneticPr fontId="4"/>
  </si>
  <si>
    <t>R6配分（総額からの差し引き）</t>
    <rPh sb="2" eb="4">
      <t>ハイブン</t>
    </rPh>
    <rPh sb="5" eb="7">
      <t>ソウガク</t>
    </rPh>
    <rPh sb="10" eb="11">
      <t>サ</t>
    </rPh>
    <rPh sb="12" eb="13">
      <t>ヒ</t>
    </rPh>
    <phoneticPr fontId="4"/>
  </si>
  <si>
    <t>R6配分（③）</t>
    <rPh sb="2" eb="4">
      <t>ハイブン</t>
    </rPh>
    <phoneticPr fontId="4"/>
  </si>
  <si>
    <t>舗装構成の再検討</t>
    <phoneticPr fontId="4"/>
  </si>
  <si>
    <t>仮設道路の検討</t>
    <phoneticPr fontId="4"/>
  </si>
  <si>
    <t>電気設備の設計検討</t>
    <rPh sb="0" eb="2">
      <t>デンキ</t>
    </rPh>
    <rPh sb="2" eb="4">
      <t>セツビ</t>
    </rPh>
    <rPh sb="5" eb="7">
      <t>セッケイ</t>
    </rPh>
    <rPh sb="7" eb="9">
      <t>ケントウ</t>
    </rPh>
    <phoneticPr fontId="4"/>
  </si>
  <si>
    <t>連携会議ファシリテーション</t>
    <phoneticPr fontId="4"/>
  </si>
  <si>
    <t>パース作成（桜）</t>
    <phoneticPr fontId="4"/>
  </si>
  <si>
    <t>コンセプトシート（検討）</t>
    <rPh sb="9" eb="11">
      <t>ケントウ</t>
    </rPh>
    <phoneticPr fontId="4"/>
  </si>
  <si>
    <t>コンセプトシート（パース）</t>
    <phoneticPr fontId="4"/>
  </si>
  <si>
    <t>（3/11配信額）</t>
    <rPh sb="5" eb="7">
      <t>ハイシン</t>
    </rPh>
    <rPh sb="7" eb="8">
      <t>ガク</t>
    </rPh>
    <phoneticPr fontId="4"/>
  </si>
  <si>
    <t>—</t>
    <phoneticPr fontId="4"/>
  </si>
  <si>
    <t>パース委託費のみ</t>
    <rPh sb="3" eb="5">
      <t>イタク</t>
    </rPh>
    <rPh sb="5" eb="6">
      <t>ヒ</t>
    </rPh>
    <phoneticPr fontId="4"/>
  </si>
  <si>
    <t>プレックはパース委託費のみ</t>
    <rPh sb="8" eb="10">
      <t>イタク</t>
    </rPh>
    <rPh sb="10" eb="11">
      <t>ヒ</t>
    </rPh>
    <phoneticPr fontId="4"/>
  </si>
  <si>
    <t>各社パース指示を含む</t>
    <rPh sb="0" eb="2">
      <t>カクシャ</t>
    </rPh>
    <rPh sb="5" eb="7">
      <t>シジ</t>
    </rPh>
    <rPh sb="8" eb="9">
      <t>フク</t>
    </rPh>
    <phoneticPr fontId="4"/>
  </si>
  <si>
    <t>→「配分額」シートの②のR6配分の各社割合で配分</t>
    <rPh sb="2" eb="5">
      <t>ハイブンガク</t>
    </rPh>
    <rPh sb="17" eb="19">
      <t>カクシャ</t>
    </rPh>
    <rPh sb="19" eb="21">
      <t>ワリアイ</t>
    </rPh>
    <rPh sb="22" eb="24">
      <t>ハイブン</t>
    </rPh>
    <phoneticPr fontId="4"/>
  </si>
  <si>
    <t>配分割合</t>
    <rPh sb="0" eb="2">
      <t>ハイブン</t>
    </rPh>
    <rPh sb="2" eb="4">
      <t>ワリアイ</t>
    </rPh>
    <phoneticPr fontId="4"/>
  </si>
  <si>
    <t>人件費単価増分の配分額</t>
    <rPh sb="0" eb="3">
      <t>ジンケンヒ</t>
    </rPh>
    <rPh sb="3" eb="5">
      <t>タンカ</t>
    </rPh>
    <rPh sb="5" eb="7">
      <t>ゾウブン</t>
    </rPh>
    <rPh sb="8" eb="10">
      <t>ハイブン</t>
    </rPh>
    <rPh sb="10" eb="11">
      <t>ガク</t>
    </rPh>
    <phoneticPr fontId="4"/>
  </si>
  <si>
    <t>「配分額」シート②のR6配分</t>
    <phoneticPr fontId="4"/>
  </si>
  <si>
    <t>A.検討項目の増</t>
    <rPh sb="2" eb="4">
      <t>ケントウ</t>
    </rPh>
    <rPh sb="4" eb="6">
      <t>コウモク</t>
    </rPh>
    <rPh sb="7" eb="8">
      <t>ゾウ</t>
    </rPh>
    <phoneticPr fontId="4"/>
  </si>
  <si>
    <t>B.人件費単価の増→当初契約の直接人件費 R5単価からR6単価採用による増＝274万円</t>
    <rPh sb="2" eb="5">
      <t>ジンケンヒ</t>
    </rPh>
    <rPh sb="5" eb="7">
      <t>タンカ</t>
    </rPh>
    <rPh sb="8" eb="9">
      <t>ゾウ</t>
    </rPh>
    <rPh sb="10" eb="12">
      <t>トウショ</t>
    </rPh>
    <rPh sb="12" eb="14">
      <t>ケイヤク</t>
    </rPh>
    <rPh sb="15" eb="17">
      <t>チョクセツ</t>
    </rPh>
    <rPh sb="17" eb="20">
      <t>ジンケンヒ</t>
    </rPh>
    <rPh sb="23" eb="25">
      <t>タンカ</t>
    </rPh>
    <rPh sb="29" eb="31">
      <t>タンカ</t>
    </rPh>
    <rPh sb="31" eb="33">
      <t>サイヨウ</t>
    </rPh>
    <rPh sb="36" eb="37">
      <t>ゾウ</t>
    </rPh>
    <rPh sb="41" eb="43">
      <t>マンエン</t>
    </rPh>
    <phoneticPr fontId="4"/>
  </si>
  <si>
    <t>A+B.総額変更分の各社配分 合計</t>
    <rPh sb="4" eb="6">
      <t>ソウガク</t>
    </rPh>
    <rPh sb="6" eb="8">
      <t>ヘンコウ</t>
    </rPh>
    <rPh sb="8" eb="9">
      <t>ブン</t>
    </rPh>
    <rPh sb="10" eb="12">
      <t>カクシャ</t>
    </rPh>
    <rPh sb="12" eb="14">
      <t>ハイブン</t>
    </rPh>
    <rPh sb="15" eb="17">
      <t>ゴウケイ</t>
    </rPh>
    <phoneticPr fontId="4"/>
  </si>
  <si>
    <t>報告書作成（減）
「本業務の成果とR5委託の成果の内容をまとめた報告書」の減</t>
    <rPh sb="0" eb="3">
      <t>ホウコクショ</t>
    </rPh>
    <rPh sb="3" eb="5">
      <t>サクセイ</t>
    </rPh>
    <rPh sb="6" eb="7">
      <t>ゲン</t>
    </rPh>
    <rPh sb="37" eb="38">
      <t>ゲン</t>
    </rPh>
    <phoneticPr fontId="4"/>
  </si>
  <si>
    <t>提出見積より、当該項目のみ抜き出し算出（税抜き・経費込み）</t>
    <rPh sb="0" eb="4">
      <t>テイシュツミツモリ</t>
    </rPh>
    <rPh sb="7" eb="9">
      <t>トウガイ</t>
    </rPh>
    <rPh sb="9" eb="11">
      <t>コウモク</t>
    </rPh>
    <rPh sb="13" eb="14">
      <t>ヌ</t>
    </rPh>
    <rPh sb="15" eb="16">
      <t>ダ</t>
    </rPh>
    <rPh sb="17" eb="19">
      <t>サンシュツ</t>
    </rPh>
    <rPh sb="20" eb="22">
      <t>ゼイヌ</t>
    </rPh>
    <rPh sb="24" eb="26">
      <t>ケイヒ</t>
    </rPh>
    <rPh sb="26" eb="27">
      <t>コ</t>
    </rPh>
    <phoneticPr fontId="4"/>
  </si>
  <si>
    <t>2025.3.14</t>
    <phoneticPr fontId="4"/>
  </si>
  <si>
    <t>3/11配信額</t>
    <rPh sb="4" eb="6">
      <t>ハイシン</t>
    </rPh>
    <rPh sb="6" eb="7">
      <t>ガク</t>
    </rPh>
    <phoneticPr fontId="4"/>
  </si>
  <si>
    <t>差</t>
    <rPh sb="0" eb="1">
      <t>サ</t>
    </rPh>
    <phoneticPr fontId="4"/>
  </si>
  <si>
    <t>（丸め）税抜</t>
    <rPh sb="1" eb="2">
      <t>マル</t>
    </rPh>
    <rPh sb="4" eb="6">
      <t>ゼイヌキ</t>
    </rPh>
    <phoneticPr fontId="4"/>
  </si>
  <si>
    <t>税込</t>
    <rPh sb="0" eb="2">
      <t>ゼイコミ</t>
    </rPh>
    <phoneticPr fontId="4"/>
  </si>
  <si>
    <t>ランズ以外の　協力会社の支払いはプレックが担当</t>
    <rPh sb="3" eb="5">
      <t>イガイ</t>
    </rPh>
    <rPh sb="7" eb="11">
      <t>キョウリョクガイシャ</t>
    </rPh>
    <rPh sb="12" eb="14">
      <t>シハラ</t>
    </rPh>
    <rPh sb="21" eb="23">
      <t>タントウ</t>
    </rPh>
    <phoneticPr fontId="4"/>
  </si>
  <si>
    <t>税抜</t>
    <rPh sb="0" eb="2">
      <t>ゼイヌキ</t>
    </rPh>
    <phoneticPr fontId="4"/>
  </si>
  <si>
    <t>プレック他</t>
    <rPh sb="4" eb="5">
      <t>ホカ</t>
    </rPh>
    <phoneticPr fontId="4"/>
  </si>
  <si>
    <t>当初</t>
    <rPh sb="0" eb="2">
      <t>トウショ</t>
    </rPh>
    <phoneticPr fontId="4"/>
  </si>
  <si>
    <t>JV全体</t>
    <rPh sb="2" eb="4">
      <t>ゼンタイ</t>
    </rPh>
    <phoneticPr fontId="1"/>
  </si>
  <si>
    <t>★R6配分額（最終）</t>
    <rPh sb="3" eb="6">
      <t>ハイブンガク</t>
    </rPh>
    <rPh sb="7" eb="9">
      <t>サイシュウ</t>
    </rPh>
    <phoneticPr fontId="4"/>
  </si>
  <si>
    <t>※テクリス用概概算　60：40</t>
    <rPh sb="5" eb="6">
      <t>ヨウ</t>
    </rPh>
    <rPh sb="6" eb="9">
      <t>ガイガイサン</t>
    </rPh>
    <phoneticPr fontId="1"/>
  </si>
  <si>
    <t>　共同企業体協定書第10条に基づく協定書に記載する金額</t>
    <rPh sb="21" eb="23">
      <t>キサイ</t>
    </rPh>
    <rPh sb="25" eb="27">
      <t>キンガク</t>
    </rPh>
    <phoneticPr fontId="1"/>
  </si>
  <si>
    <t>※テクリス用概概算（60：40）×変更後契約額</t>
    <rPh sb="5" eb="6">
      <t>ヨウ</t>
    </rPh>
    <rPh sb="6" eb="7">
      <t>ガイ</t>
    </rPh>
    <rPh sb="7" eb="8">
      <t>ガイ</t>
    </rPh>
    <rPh sb="8" eb="9">
      <t>サン</t>
    </rPh>
    <rPh sb="17" eb="19">
      <t>ヘンコウ</t>
    </rPh>
    <rPh sb="19" eb="20">
      <t>ゴ</t>
    </rPh>
    <rPh sb="20" eb="22">
      <t>ケイヤク</t>
    </rPh>
    <rPh sb="22" eb="23">
      <t>ガク</t>
    </rPh>
    <phoneticPr fontId="1"/>
  </si>
  <si>
    <t>市との契約締結日</t>
    <rPh sb="0" eb="1">
      <t>シ</t>
    </rPh>
    <rPh sb="3" eb="5">
      <t>ケイヤク</t>
    </rPh>
    <rPh sb="5" eb="8">
      <t>テイケツビ</t>
    </rPh>
    <phoneticPr fontId="1"/>
  </si>
  <si>
    <t>第1回変更（適用単価変更による特例措置）</t>
    <rPh sb="6" eb="10">
      <t>テキヨウタンカ</t>
    </rPh>
    <rPh sb="10" eb="12">
      <t>ヘンコウ</t>
    </rPh>
    <rPh sb="15" eb="17">
      <t>トクレイ</t>
    </rPh>
    <phoneticPr fontId="4"/>
  </si>
  <si>
    <t>第２回変更（最終）</t>
    <phoneticPr fontId="4"/>
  </si>
  <si>
    <t>※上記計算による最終割合</t>
    <rPh sb="1" eb="3">
      <t>ジョウキ</t>
    </rPh>
    <rPh sb="3" eb="5">
      <t>ケイサン</t>
    </rPh>
    <rPh sb="8" eb="10">
      <t>サイシュウ</t>
    </rPh>
    <rPh sb="10" eb="12">
      <t>ワリアイ</t>
    </rPh>
    <phoneticPr fontId="4"/>
  </si>
  <si>
    <t>当初（最終）</t>
    <rPh sb="0" eb="2">
      <t>トウショ</t>
    </rPh>
    <rPh sb="3" eb="5">
      <t>サイシュウ</t>
    </rPh>
    <phoneticPr fontId="4"/>
  </si>
  <si>
    <t>※プレック幹事会社費用として3％</t>
    <rPh sb="5" eb="9">
      <t>カンジガイシャ</t>
    </rPh>
    <rPh sb="9" eb="11">
      <t>ヒヨウ</t>
    </rPh>
    <phoneticPr fontId="1"/>
  </si>
  <si>
    <t>■（仮称）旧上瀬谷通信施設公園実施設計業務委託（その３）</t>
    <rPh sb="2" eb="4">
      <t>カショウ</t>
    </rPh>
    <rPh sb="5" eb="6">
      <t>キュウ</t>
    </rPh>
    <rPh sb="6" eb="9">
      <t>カミセヤ</t>
    </rPh>
    <rPh sb="9" eb="11">
      <t>ツウシン</t>
    </rPh>
    <rPh sb="11" eb="13">
      <t>シセツ</t>
    </rPh>
    <rPh sb="13" eb="15">
      <t>コウエン</t>
    </rPh>
    <rPh sb="15" eb="17">
      <t>ジッシ</t>
    </rPh>
    <rPh sb="17" eb="19">
      <t>セッケイ</t>
    </rPh>
    <rPh sb="19" eb="21">
      <t>ギョウム</t>
    </rPh>
    <rPh sb="21" eb="23">
      <t>イタク</t>
    </rPh>
    <phoneticPr fontId="1"/>
  </si>
  <si>
    <t>■（仮称）旧上瀬谷通信施設公園東地区汚水管設計業務委託</t>
    <rPh sb="2" eb="4">
      <t>カショウ</t>
    </rPh>
    <rPh sb="5" eb="6">
      <t>キュウ</t>
    </rPh>
    <rPh sb="6" eb="9">
      <t>カミセヤ</t>
    </rPh>
    <rPh sb="9" eb="11">
      <t>ツウシン</t>
    </rPh>
    <rPh sb="11" eb="13">
      <t>シセツ</t>
    </rPh>
    <rPh sb="13" eb="15">
      <t>コウエン</t>
    </rPh>
    <rPh sb="15" eb="16">
      <t>ヒガシ</t>
    </rPh>
    <rPh sb="16" eb="18">
      <t>チク</t>
    </rPh>
    <rPh sb="18" eb="20">
      <t>オスイ</t>
    </rPh>
    <rPh sb="20" eb="21">
      <t>カン</t>
    </rPh>
    <rPh sb="21" eb="23">
      <t>セッケイ</t>
    </rPh>
    <rPh sb="23" eb="25">
      <t>ギョウム</t>
    </rPh>
    <rPh sb="25" eb="27">
      <t>イタク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</si>
</sst>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[$-F800]dddd\,\ mmmm\ dd\,\ yyyy"/>
  </numFmts>
  <fonts count="23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0.5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20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sz val="20"/>
      <color theme="1"/>
      <name val="HGP創英角ﾎﾟｯﾌﾟ体"/>
      <family val="3"/>
      <charset val="128"/>
    </font>
    <font>
      <sz val="11"/>
      <color theme="1"/>
      <name val="游ゴシック"/>
      <family val="3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4"/>
      <color theme="1"/>
      <name val="HGP創英角ﾎﾟｯﾌﾟ体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81">
    <xf numFmtId="0" fontId="0" fillId="0" borderId="0" xfId="0">
      <alignment vertical="center"/>
    </xf>
    <xf numFmtId="38" fontId="0" fillId="0" borderId="2" xfId="1" applyFont="1" applyBorder="1">
      <alignment vertical="center"/>
    </xf>
    <xf numFmtId="38" fontId="0" fillId="3" borderId="0" xfId="1" applyFont="1" applyFill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38" fontId="0" fillId="0" borderId="2" xfId="1" applyFont="1" applyFill="1" applyBorder="1">
      <alignment vertical="center"/>
    </xf>
    <xf numFmtId="38" fontId="0" fillId="0" borderId="2" xfId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38" fontId="0" fillId="4" borderId="2" xfId="1" applyFont="1" applyFill="1" applyBorder="1">
      <alignment vertical="center"/>
    </xf>
    <xf numFmtId="38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38" fontId="0" fillId="0" borderId="2" xfId="0" applyNumberFormat="1" applyBorder="1">
      <alignment vertical="center"/>
    </xf>
    <xf numFmtId="38" fontId="6" fillId="0" borderId="2" xfId="1" applyFont="1" applyBorder="1">
      <alignment vertical="center"/>
    </xf>
    <xf numFmtId="38" fontId="0" fillId="0" borderId="2" xfId="1" applyFont="1" applyFill="1" applyBorder="1" applyAlignment="1">
      <alignment horizontal="left" vertical="center"/>
    </xf>
    <xf numFmtId="176" fontId="0" fillId="0" borderId="2" xfId="2" applyNumberFormat="1" applyFont="1" applyBorder="1">
      <alignment vertical="center"/>
    </xf>
    <xf numFmtId="38" fontId="0" fillId="3" borderId="2" xfId="0" applyNumberFormat="1" applyFill="1" applyBorder="1">
      <alignment vertical="center"/>
    </xf>
    <xf numFmtId="0" fontId="7" fillId="0" borderId="0" xfId="0" applyFont="1">
      <alignment vertical="center"/>
    </xf>
    <xf numFmtId="56" fontId="0" fillId="0" borderId="0" xfId="0" applyNumberFormat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justify" vertical="center"/>
    </xf>
    <xf numFmtId="176" fontId="6" fillId="0" borderId="2" xfId="2" applyNumberFormat="1" applyFont="1" applyBorder="1">
      <alignment vertical="center"/>
    </xf>
    <xf numFmtId="38" fontId="6" fillId="0" borderId="9" xfId="1" applyFont="1" applyBorder="1" applyAlignment="1">
      <alignment horizontal="center" vertical="center"/>
    </xf>
    <xf numFmtId="9" fontId="6" fillId="0" borderId="2" xfId="2" applyFont="1" applyBorder="1">
      <alignment vertical="center"/>
    </xf>
    <xf numFmtId="9" fontId="6" fillId="0" borderId="6" xfId="2" applyFont="1" applyBorder="1">
      <alignment vertical="center"/>
    </xf>
    <xf numFmtId="38" fontId="0" fillId="0" borderId="7" xfId="1" applyFont="1" applyBorder="1">
      <alignment vertical="center"/>
    </xf>
    <xf numFmtId="38" fontId="0" fillId="0" borderId="8" xfId="1" applyFont="1" applyBorder="1">
      <alignment vertical="center"/>
    </xf>
    <xf numFmtId="9" fontId="0" fillId="0" borderId="5" xfId="0" applyNumberFormat="1" applyBorder="1">
      <alignment vertical="center"/>
    </xf>
    <xf numFmtId="0" fontId="3" fillId="0" borderId="9" xfId="0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14" fontId="3" fillId="0" borderId="2" xfId="0" applyNumberFormat="1" applyFont="1" applyBorder="1" applyAlignment="1">
      <alignment horizontal="justify" vertical="center"/>
    </xf>
    <xf numFmtId="9" fontId="6" fillId="0" borderId="2" xfId="2" applyFont="1" applyFill="1" applyBorder="1">
      <alignment vertical="center"/>
    </xf>
    <xf numFmtId="9" fontId="6" fillId="0" borderId="6" xfId="2" applyFont="1" applyFill="1" applyBorder="1">
      <alignment vertical="center"/>
    </xf>
    <xf numFmtId="0" fontId="3" fillId="4" borderId="2" xfId="0" applyFont="1" applyFill="1" applyBorder="1" applyAlignment="1">
      <alignment horizontal="justify" vertical="center"/>
    </xf>
    <xf numFmtId="0" fontId="6" fillId="4" borderId="2" xfId="0" applyFont="1" applyFill="1" applyBorder="1">
      <alignment vertical="center"/>
    </xf>
    <xf numFmtId="9" fontId="6" fillId="4" borderId="2" xfId="2" applyFont="1" applyFill="1" applyBorder="1">
      <alignment vertical="center"/>
    </xf>
    <xf numFmtId="9" fontId="6" fillId="4" borderId="6" xfId="2" applyFont="1" applyFill="1" applyBorder="1">
      <alignment vertical="center"/>
    </xf>
    <xf numFmtId="38" fontId="0" fillId="4" borderId="7" xfId="1" applyFont="1" applyFill="1" applyBorder="1">
      <alignment vertical="center"/>
    </xf>
    <xf numFmtId="38" fontId="0" fillId="4" borderId="8" xfId="1" applyFont="1" applyFill="1" applyBorder="1">
      <alignment vertical="center"/>
    </xf>
    <xf numFmtId="9" fontId="0" fillId="4" borderId="5" xfId="0" applyNumberFormat="1" applyFill="1" applyBorder="1">
      <alignment vertical="center"/>
    </xf>
    <xf numFmtId="176" fontId="9" fillId="0" borderId="2" xfId="2" applyNumberFormat="1" applyFont="1" applyBorder="1" applyAlignment="1">
      <alignment horizontal="center" vertical="center"/>
    </xf>
    <xf numFmtId="38" fontId="0" fillId="0" borderId="8" xfId="1" applyFont="1" applyFill="1" applyBorder="1">
      <alignment vertical="center"/>
    </xf>
    <xf numFmtId="9" fontId="9" fillId="0" borderId="9" xfId="2" applyFont="1" applyFill="1" applyBorder="1" applyAlignment="1">
      <alignment horizontal="center" vertical="center"/>
    </xf>
    <xf numFmtId="176" fontId="6" fillId="0" borderId="2" xfId="2" applyNumberFormat="1" applyFont="1" applyFill="1" applyBorder="1" applyAlignment="1">
      <alignment vertical="center"/>
    </xf>
    <xf numFmtId="176" fontId="6" fillId="0" borderId="2" xfId="2" applyNumberFormat="1" applyFont="1" applyFill="1" applyBorder="1">
      <alignment vertical="center"/>
    </xf>
    <xf numFmtId="176" fontId="6" fillId="0" borderId="6" xfId="2" applyNumberFormat="1" applyFont="1" applyFill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4" xfId="0" applyFont="1" applyBorder="1">
      <alignment vertical="center"/>
    </xf>
    <xf numFmtId="176" fontId="6" fillId="0" borderId="3" xfId="2" applyNumberFormat="1" applyFont="1" applyFill="1" applyBorder="1" applyAlignment="1">
      <alignment vertical="center"/>
    </xf>
    <xf numFmtId="9" fontId="6" fillId="0" borderId="9" xfId="2" applyFont="1" applyBorder="1">
      <alignment vertical="center"/>
    </xf>
    <xf numFmtId="9" fontId="6" fillId="0" borderId="11" xfId="2" applyFont="1" applyBorder="1">
      <alignment vertical="center"/>
    </xf>
    <xf numFmtId="38" fontId="0" fillId="0" borderId="12" xfId="1" applyFont="1" applyBorder="1">
      <alignment vertical="center"/>
    </xf>
    <xf numFmtId="38" fontId="0" fillId="0" borderId="9" xfId="1" applyFont="1" applyBorder="1">
      <alignment vertical="center"/>
    </xf>
    <xf numFmtId="38" fontId="0" fillId="0" borderId="13" xfId="1" applyFont="1" applyBorder="1">
      <alignment vertical="center"/>
    </xf>
    <xf numFmtId="9" fontId="0" fillId="0" borderId="14" xfId="0" applyNumberFormat="1" applyBorder="1">
      <alignment vertical="center"/>
    </xf>
    <xf numFmtId="0" fontId="0" fillId="0" borderId="15" xfId="0" applyBorder="1">
      <alignment vertical="center"/>
    </xf>
    <xf numFmtId="9" fontId="0" fillId="0" borderId="15" xfId="2" applyFont="1" applyBorder="1">
      <alignment vertical="center"/>
    </xf>
    <xf numFmtId="38" fontId="0" fillId="0" borderId="15" xfId="0" applyNumberFormat="1" applyBorder="1">
      <alignment vertical="center"/>
    </xf>
    <xf numFmtId="0" fontId="0" fillId="0" borderId="16" xfId="0" applyBorder="1">
      <alignment vertical="center"/>
    </xf>
    <xf numFmtId="38" fontId="0" fillId="3" borderId="17" xfId="0" applyNumberFormat="1" applyFill="1" applyBorder="1">
      <alignment vertical="center"/>
    </xf>
    <xf numFmtId="38" fontId="0" fillId="3" borderId="18" xfId="0" applyNumberFormat="1" applyFill="1" applyBorder="1">
      <alignment vertical="center"/>
    </xf>
    <xf numFmtId="38" fontId="0" fillId="3" borderId="19" xfId="0" applyNumberFormat="1" applyFill="1" applyBorder="1">
      <alignment vertical="center"/>
    </xf>
    <xf numFmtId="38" fontId="0" fillId="0" borderId="20" xfId="1" applyFont="1" applyBorder="1">
      <alignment vertical="center"/>
    </xf>
    <xf numFmtId="176" fontId="6" fillId="0" borderId="0" xfId="2" applyNumberFormat="1" applyFont="1" applyFill="1" applyBorder="1">
      <alignment vertical="center"/>
    </xf>
    <xf numFmtId="0" fontId="6" fillId="0" borderId="0" xfId="0" applyFont="1">
      <alignment vertical="center"/>
    </xf>
    <xf numFmtId="9" fontId="2" fillId="2" borderId="2" xfId="2" applyFont="1" applyFill="1" applyBorder="1">
      <alignment vertical="center"/>
    </xf>
    <xf numFmtId="9" fontId="2" fillId="2" borderId="6" xfId="2" applyFont="1" applyFill="1" applyBorder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38" fontId="2" fillId="0" borderId="0" xfId="0" applyNumberFormat="1" applyFont="1">
      <alignment vertical="center"/>
    </xf>
    <xf numFmtId="38" fontId="14" fillId="6" borderId="2" xfId="0" applyNumberFormat="1" applyFont="1" applyFill="1" applyBorder="1">
      <alignment vertical="center"/>
    </xf>
    <xf numFmtId="38" fontId="6" fillId="0" borderId="0" xfId="0" applyNumberFormat="1" applyFont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38" fontId="14" fillId="7" borderId="2" xfId="0" applyNumberFormat="1" applyFont="1" applyFill="1" applyBorder="1">
      <alignment vertical="center"/>
    </xf>
    <xf numFmtId="0" fontId="15" fillId="0" borderId="0" xfId="0" applyFont="1">
      <alignment vertical="center"/>
    </xf>
    <xf numFmtId="38" fontId="15" fillId="0" borderId="3" xfId="1" applyFont="1" applyBorder="1">
      <alignment vertical="center"/>
    </xf>
    <xf numFmtId="38" fontId="15" fillId="0" borderId="1" xfId="1" applyFont="1" applyBorder="1">
      <alignment vertical="center"/>
    </xf>
    <xf numFmtId="38" fontId="15" fillId="0" borderId="2" xfId="1" applyFont="1" applyBorder="1">
      <alignment vertical="center"/>
    </xf>
    <xf numFmtId="38" fontId="15" fillId="0" borderId="0" xfId="1" applyFont="1" applyBorder="1">
      <alignment vertical="center"/>
    </xf>
    <xf numFmtId="38" fontId="15" fillId="0" borderId="2" xfId="1" applyFont="1" applyFill="1" applyBorder="1">
      <alignment vertical="center"/>
    </xf>
    <xf numFmtId="0" fontId="15" fillId="0" borderId="2" xfId="0" applyFont="1" applyBorder="1">
      <alignment vertical="center"/>
    </xf>
    <xf numFmtId="0" fontId="15" fillId="4" borderId="2" xfId="0" applyFont="1" applyFill="1" applyBorder="1">
      <alignment vertical="center"/>
    </xf>
    <xf numFmtId="38" fontId="15" fillId="0" borderId="0" xfId="1" applyFont="1">
      <alignment vertical="center"/>
    </xf>
    <xf numFmtId="38" fontId="15" fillId="0" borderId="2" xfId="0" applyNumberFormat="1" applyFont="1" applyBorder="1">
      <alignment vertical="center"/>
    </xf>
    <xf numFmtId="38" fontId="15" fillId="4" borderId="2" xfId="0" applyNumberFormat="1" applyFont="1" applyFill="1" applyBorder="1">
      <alignment vertical="center"/>
    </xf>
    <xf numFmtId="38" fontId="15" fillId="0" borderId="0" xfId="0" applyNumberFormat="1" applyFont="1">
      <alignment vertical="center"/>
    </xf>
    <xf numFmtId="38" fontId="15" fillId="5" borderId="3" xfId="1" applyFont="1" applyFill="1" applyBorder="1">
      <alignment vertical="center"/>
    </xf>
    <xf numFmtId="0" fontId="15" fillId="5" borderId="2" xfId="0" applyFont="1" applyFill="1" applyBorder="1">
      <alignment vertical="center"/>
    </xf>
    <xf numFmtId="38" fontId="15" fillId="5" borderId="2" xfId="0" applyNumberFormat="1" applyFont="1" applyFill="1" applyBorder="1">
      <alignment vertical="center"/>
    </xf>
    <xf numFmtId="38" fontId="15" fillId="5" borderId="2" xfId="1" applyFont="1" applyFill="1" applyBorder="1" applyAlignment="1">
      <alignment horizontal="right" vertical="center"/>
    </xf>
    <xf numFmtId="38" fontId="15" fillId="5" borderId="2" xfId="1" applyFont="1" applyFill="1" applyBorder="1">
      <alignment vertical="center"/>
    </xf>
    <xf numFmtId="0" fontId="16" fillId="8" borderId="2" xfId="0" applyFont="1" applyFill="1" applyBorder="1">
      <alignment vertical="center"/>
    </xf>
    <xf numFmtId="38" fontId="17" fillId="8" borderId="2" xfId="1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38" fontId="0" fillId="0" borderId="0" xfId="1" applyFont="1">
      <alignment vertical="center"/>
    </xf>
    <xf numFmtId="0" fontId="6" fillId="0" borderId="2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 shrinkToFit="1"/>
    </xf>
    <xf numFmtId="38" fontId="15" fillId="3" borderId="2" xfId="1" applyFont="1" applyFill="1" applyBorder="1">
      <alignment vertical="center"/>
    </xf>
    <xf numFmtId="0" fontId="15" fillId="0" borderId="9" xfId="0" applyFont="1" applyBorder="1" applyAlignment="1">
      <alignment vertical="center" wrapText="1" shrinkToFit="1"/>
    </xf>
    <xf numFmtId="38" fontId="15" fillId="0" borderId="9" xfId="1" applyFont="1" applyFill="1" applyBorder="1">
      <alignment vertical="center"/>
    </xf>
    <xf numFmtId="0" fontId="15" fillId="0" borderId="1" xfId="0" applyFont="1" applyBorder="1" applyAlignment="1">
      <alignment vertical="center" wrapText="1" shrinkToFit="1"/>
    </xf>
    <xf numFmtId="38" fontId="0" fillId="0" borderId="1" xfId="1" applyFont="1" applyBorder="1">
      <alignment vertical="center"/>
    </xf>
    <xf numFmtId="0" fontId="7" fillId="0" borderId="22" xfId="0" applyFont="1" applyBorder="1" applyAlignment="1">
      <alignment vertical="center" wrapText="1"/>
    </xf>
    <xf numFmtId="38" fontId="7" fillId="0" borderId="23" xfId="0" applyNumberFormat="1" applyFont="1" applyBorder="1">
      <alignment vertical="center"/>
    </xf>
    <xf numFmtId="38" fontId="7" fillId="0" borderId="24" xfId="0" applyNumberFormat="1" applyFont="1" applyBorder="1">
      <alignment vertical="center"/>
    </xf>
    <xf numFmtId="38" fontId="7" fillId="0" borderId="23" xfId="1" applyFont="1" applyBorder="1">
      <alignment vertical="center"/>
    </xf>
    <xf numFmtId="176" fontId="0" fillId="0" borderId="0" xfId="2" applyNumberFormat="1" applyFont="1">
      <alignment vertical="center"/>
    </xf>
    <xf numFmtId="176" fontId="0" fillId="0" borderId="0" xfId="2" applyNumberFormat="1" applyFont="1" applyAlignment="1">
      <alignment horizontal="center" vertical="center"/>
    </xf>
    <xf numFmtId="0" fontId="15" fillId="0" borderId="25" xfId="0" applyFont="1" applyBorder="1" applyAlignment="1">
      <alignment vertical="center" wrapText="1" shrinkToFit="1"/>
    </xf>
    <xf numFmtId="38" fontId="15" fillId="0" borderId="25" xfId="1" applyFont="1" applyFill="1" applyBorder="1">
      <alignment vertical="center"/>
    </xf>
    <xf numFmtId="0" fontId="0" fillId="0" borderId="9" xfId="0" applyBorder="1">
      <alignment vertical="center"/>
    </xf>
    <xf numFmtId="0" fontId="0" fillId="4" borderId="9" xfId="0" applyFill="1" applyBorder="1">
      <alignment vertical="center"/>
    </xf>
    <xf numFmtId="176" fontId="0" fillId="0" borderId="9" xfId="2" applyNumberFormat="1" applyFont="1" applyBorder="1">
      <alignment vertical="center"/>
    </xf>
    <xf numFmtId="0" fontId="7" fillId="0" borderId="22" xfId="0" applyFont="1" applyBorder="1">
      <alignment vertical="center"/>
    </xf>
    <xf numFmtId="38" fontId="7" fillId="0" borderId="24" xfId="1" applyFont="1" applyBorder="1">
      <alignment vertical="center"/>
    </xf>
    <xf numFmtId="38" fontId="0" fillId="0" borderId="23" xfId="0" applyNumberFormat="1" applyBorder="1">
      <alignment vertical="center"/>
    </xf>
    <xf numFmtId="38" fontId="0" fillId="0" borderId="24" xfId="0" applyNumberFormat="1" applyBorder="1">
      <alignment vertical="center"/>
    </xf>
    <xf numFmtId="38" fontId="0" fillId="4" borderId="2" xfId="0" applyNumberFormat="1" applyFill="1" applyBorder="1">
      <alignment vertical="center"/>
    </xf>
    <xf numFmtId="176" fontId="0" fillId="4" borderId="9" xfId="2" applyNumberFormat="1" applyFont="1" applyFill="1" applyBorder="1">
      <alignment vertical="center"/>
    </xf>
    <xf numFmtId="38" fontId="7" fillId="4" borderId="23" xfId="1" applyFont="1" applyFill="1" applyBorder="1">
      <alignment vertical="center"/>
    </xf>
    <xf numFmtId="38" fontId="0" fillId="4" borderId="23" xfId="0" applyNumberFormat="1" applyFill="1" applyBorder="1">
      <alignment vertical="center"/>
    </xf>
    <xf numFmtId="38" fontId="15" fillId="4" borderId="2" xfId="1" applyFont="1" applyFill="1" applyBorder="1">
      <alignment vertical="center"/>
    </xf>
    <xf numFmtId="38" fontId="15" fillId="4" borderId="9" xfId="1" applyFont="1" applyFill="1" applyBorder="1">
      <alignment vertical="center"/>
    </xf>
    <xf numFmtId="38" fontId="15" fillId="4" borderId="25" xfId="1" applyFont="1" applyFill="1" applyBorder="1">
      <alignment vertical="center"/>
    </xf>
    <xf numFmtId="38" fontId="7" fillId="4" borderId="23" xfId="0" applyNumberFormat="1" applyFont="1" applyFill="1" applyBorder="1">
      <alignment vertical="center"/>
    </xf>
    <xf numFmtId="38" fontId="0" fillId="4" borderId="1" xfId="1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shrinkToFit="1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38" fontId="21" fillId="8" borderId="2" xfId="1" applyFont="1" applyFill="1" applyBorder="1" applyAlignment="1">
      <alignment horizontal="center" vertical="center"/>
    </xf>
    <xf numFmtId="0" fontId="20" fillId="7" borderId="6" xfId="0" applyFont="1" applyFill="1" applyBorder="1">
      <alignment vertical="center"/>
    </xf>
    <xf numFmtId="38" fontId="15" fillId="7" borderId="26" xfId="0" applyNumberFormat="1" applyFont="1" applyFill="1" applyBorder="1">
      <alignment vertical="center"/>
    </xf>
    <xf numFmtId="38" fontId="15" fillId="7" borderId="5" xfId="0" applyNumberFormat="1" applyFont="1" applyFill="1" applyBorder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6" xfId="0" applyFont="1" applyBorder="1">
      <alignment vertical="center"/>
    </xf>
    <xf numFmtId="38" fontId="15" fillId="0" borderId="26" xfId="0" applyNumberFormat="1" applyFont="1" applyBorder="1">
      <alignment vertical="center"/>
    </xf>
    <xf numFmtId="38" fontId="15" fillId="0" borderId="5" xfId="0" applyNumberFormat="1" applyFont="1" applyBorder="1">
      <alignment vertical="center"/>
    </xf>
    <xf numFmtId="176" fontId="20" fillId="0" borderId="2" xfId="2" applyNumberFormat="1" applyFont="1" applyFill="1" applyBorder="1">
      <alignment vertical="center"/>
    </xf>
    <xf numFmtId="38" fontId="17" fillId="8" borderId="4" xfId="1" applyFont="1" applyFill="1" applyBorder="1" applyAlignment="1">
      <alignment horizontal="center" vertical="center"/>
    </xf>
    <xf numFmtId="38" fontId="21" fillId="8" borderId="5" xfId="1" applyFont="1" applyFill="1" applyBorder="1" applyAlignment="1">
      <alignment horizontal="center" vertical="center"/>
    </xf>
    <xf numFmtId="38" fontId="15" fillId="0" borderId="27" xfId="0" applyNumberFormat="1" applyFont="1" applyBorder="1">
      <alignment vertical="center"/>
    </xf>
    <xf numFmtId="0" fontId="0" fillId="0" borderId="4" xfId="0" applyBorder="1">
      <alignment vertical="center"/>
    </xf>
    <xf numFmtId="177" fontId="0" fillId="0" borderId="1" xfId="0" applyNumberFormat="1" applyBorder="1">
      <alignment vertical="center"/>
    </xf>
    <xf numFmtId="38" fontId="17" fillId="9" borderId="6" xfId="1" applyFont="1" applyFill="1" applyBorder="1" applyAlignment="1">
      <alignment horizontal="center" vertical="center"/>
    </xf>
    <xf numFmtId="38" fontId="17" fillId="9" borderId="26" xfId="1" applyFont="1" applyFill="1" applyBorder="1" applyAlignment="1">
      <alignment horizontal="center" vertical="center"/>
    </xf>
    <xf numFmtId="38" fontId="17" fillId="9" borderId="5" xfId="1" applyFont="1" applyFill="1" applyBorder="1" applyAlignment="1">
      <alignment horizontal="right" vertical="center"/>
    </xf>
    <xf numFmtId="38" fontId="14" fillId="0" borderId="2" xfId="0" applyNumberFormat="1" applyFont="1" applyBorder="1">
      <alignment vertical="center"/>
    </xf>
    <xf numFmtId="176" fontId="0" fillId="0" borderId="2" xfId="2" applyNumberFormat="1" applyFont="1" applyFill="1" applyBorder="1">
      <alignment vertical="center"/>
    </xf>
    <xf numFmtId="38" fontId="17" fillId="8" borderId="5" xfId="1" applyFont="1" applyFill="1" applyBorder="1" applyAlignment="1">
      <alignment horizontal="center" vertical="center"/>
    </xf>
    <xf numFmtId="0" fontId="20" fillId="0" borderId="28" xfId="0" applyFont="1" applyBorder="1">
      <alignment vertical="center"/>
    </xf>
    <xf numFmtId="0" fontId="22" fillId="0" borderId="0" xfId="0" applyFont="1" applyAlignment="1">
      <alignment horizontal="left" vertical="center" indent="2"/>
    </xf>
    <xf numFmtId="38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9" fillId="0" borderId="9" xfId="2" applyFont="1" applyBorder="1" applyAlignment="1">
      <alignment horizontal="center" vertical="center"/>
    </xf>
    <xf numFmtId="9" fontId="9" fillId="0" borderId="4" xfId="2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38" fontId="6" fillId="0" borderId="9" xfId="1" applyFont="1" applyBorder="1" applyAlignment="1">
      <alignment horizontal="center" vertical="center"/>
    </xf>
    <xf numFmtId="38" fontId="6" fillId="0" borderId="4" xfId="1" applyFont="1" applyBorder="1" applyAlignment="1">
      <alignment horizontal="center" vertical="center"/>
    </xf>
    <xf numFmtId="9" fontId="0" fillId="0" borderId="9" xfId="2" applyFont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38" fontId="6" fillId="0" borderId="9" xfId="1" applyFont="1" applyFill="1" applyBorder="1" applyAlignment="1">
      <alignment horizontal="center" vertical="center"/>
    </xf>
    <xf numFmtId="38" fontId="6" fillId="0" borderId="10" xfId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47</xdr:row>
      <xdr:rowOff>0</xdr:rowOff>
    </xdr:from>
    <xdr:to>
      <xdr:col>9</xdr:col>
      <xdr:colOff>0</xdr:colOff>
      <xdr:row>50</xdr:row>
      <xdr:rowOff>481852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B4BFA37-1D79-2A6E-D711-B9A4E967E36A}"/>
            </a:ext>
          </a:extLst>
        </xdr:cNvPr>
        <xdr:cNvSpPr/>
      </xdr:nvSpPr>
      <xdr:spPr>
        <a:xfrm>
          <a:off x="5274609" y="11205882"/>
          <a:ext cx="8587067" cy="1187823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977713</xdr:colOff>
      <xdr:row>51</xdr:row>
      <xdr:rowOff>72839</xdr:rowOff>
    </xdr:from>
    <xdr:to>
      <xdr:col>6</xdr:col>
      <xdr:colOff>587188</xdr:colOff>
      <xdr:row>52</xdr:row>
      <xdr:rowOff>151841</xdr:rowOff>
    </xdr:to>
    <xdr:sp macro="" textlink="">
      <xdr:nvSpPr>
        <xdr:cNvPr id="4" name="矢印: 下 3">
          <a:extLst>
            <a:ext uri="{FF2B5EF4-FFF2-40B4-BE49-F238E27FC236}">
              <a16:creationId xmlns:a16="http://schemas.microsoft.com/office/drawing/2014/main" id="{D06C6D1D-4767-E7A6-5D08-517F94C023D3}"/>
            </a:ext>
          </a:extLst>
        </xdr:cNvPr>
        <xdr:cNvSpPr/>
      </xdr:nvSpPr>
      <xdr:spPr>
        <a:xfrm>
          <a:off x="9101978" y="12466545"/>
          <a:ext cx="1043828" cy="314325"/>
        </a:xfrm>
        <a:prstGeom prst="downArrow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168088</xdr:colOff>
      <xdr:row>10</xdr:row>
      <xdr:rowOff>123265</xdr:rowOff>
    </xdr:from>
    <xdr:to>
      <xdr:col>11</xdr:col>
      <xdr:colOff>605118</xdr:colOff>
      <xdr:row>10</xdr:row>
      <xdr:rowOff>123265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93E9DDA1-9DE0-41CE-0F62-F953C7B43427}"/>
            </a:ext>
          </a:extLst>
        </xdr:cNvPr>
        <xdr:cNvCxnSpPr/>
      </xdr:nvCxnSpPr>
      <xdr:spPr>
        <a:xfrm>
          <a:off x="14265088" y="2599765"/>
          <a:ext cx="124385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977713</xdr:colOff>
      <xdr:row>40</xdr:row>
      <xdr:rowOff>162486</xdr:rowOff>
    </xdr:from>
    <xdr:to>
      <xdr:col>6</xdr:col>
      <xdr:colOff>587188</xdr:colOff>
      <xdr:row>42</xdr:row>
      <xdr:rowOff>6164</xdr:rowOff>
    </xdr:to>
    <xdr:sp macro="" textlink="">
      <xdr:nvSpPr>
        <xdr:cNvPr id="8" name="矢印: 下 7">
          <a:extLst>
            <a:ext uri="{FF2B5EF4-FFF2-40B4-BE49-F238E27FC236}">
              <a16:creationId xmlns:a16="http://schemas.microsoft.com/office/drawing/2014/main" id="{2B4F50E5-136D-044F-C91E-1FAB6A4FC741}"/>
            </a:ext>
          </a:extLst>
        </xdr:cNvPr>
        <xdr:cNvSpPr/>
      </xdr:nvSpPr>
      <xdr:spPr>
        <a:xfrm>
          <a:off x="8418419" y="9788339"/>
          <a:ext cx="1043828" cy="314325"/>
        </a:xfrm>
        <a:prstGeom prst="down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977713</xdr:colOff>
      <xdr:row>30</xdr:row>
      <xdr:rowOff>184898</xdr:rowOff>
    </xdr:from>
    <xdr:to>
      <xdr:col>6</xdr:col>
      <xdr:colOff>587188</xdr:colOff>
      <xdr:row>32</xdr:row>
      <xdr:rowOff>28576</xdr:rowOff>
    </xdr:to>
    <xdr:sp macro="" textlink="">
      <xdr:nvSpPr>
        <xdr:cNvPr id="10" name="矢印: 下 9">
          <a:extLst>
            <a:ext uri="{FF2B5EF4-FFF2-40B4-BE49-F238E27FC236}">
              <a16:creationId xmlns:a16="http://schemas.microsoft.com/office/drawing/2014/main" id="{D9FC0687-CA1C-786B-2B89-413B5DBFC3B0}"/>
            </a:ext>
          </a:extLst>
        </xdr:cNvPr>
        <xdr:cNvSpPr/>
      </xdr:nvSpPr>
      <xdr:spPr>
        <a:xfrm>
          <a:off x="8418419" y="7435104"/>
          <a:ext cx="1043828" cy="314325"/>
        </a:xfrm>
        <a:prstGeom prst="down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977713</xdr:colOff>
      <xdr:row>15</xdr:row>
      <xdr:rowOff>72840</xdr:rowOff>
    </xdr:from>
    <xdr:to>
      <xdr:col>6</xdr:col>
      <xdr:colOff>587188</xdr:colOff>
      <xdr:row>16</xdr:row>
      <xdr:rowOff>151841</xdr:rowOff>
    </xdr:to>
    <xdr:sp macro="" textlink="">
      <xdr:nvSpPr>
        <xdr:cNvPr id="11" name="矢印: 下 10">
          <a:extLst>
            <a:ext uri="{FF2B5EF4-FFF2-40B4-BE49-F238E27FC236}">
              <a16:creationId xmlns:a16="http://schemas.microsoft.com/office/drawing/2014/main" id="{B4472A23-5D40-A21E-D7BB-A7170C74D360}"/>
            </a:ext>
          </a:extLst>
        </xdr:cNvPr>
        <xdr:cNvSpPr/>
      </xdr:nvSpPr>
      <xdr:spPr>
        <a:xfrm>
          <a:off x="8418419" y="3748369"/>
          <a:ext cx="1043828" cy="314325"/>
        </a:xfrm>
        <a:prstGeom prst="down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977713</xdr:colOff>
      <xdr:row>8</xdr:row>
      <xdr:rowOff>84045</xdr:rowOff>
    </xdr:from>
    <xdr:to>
      <xdr:col>6</xdr:col>
      <xdr:colOff>587188</xdr:colOff>
      <xdr:row>9</xdr:row>
      <xdr:rowOff>163047</xdr:rowOff>
    </xdr:to>
    <xdr:sp macro="" textlink="">
      <xdr:nvSpPr>
        <xdr:cNvPr id="12" name="矢印: 下 11">
          <a:extLst>
            <a:ext uri="{FF2B5EF4-FFF2-40B4-BE49-F238E27FC236}">
              <a16:creationId xmlns:a16="http://schemas.microsoft.com/office/drawing/2014/main" id="{828D3EEF-81F8-0088-2858-1A21A1D4D33D}"/>
            </a:ext>
          </a:extLst>
        </xdr:cNvPr>
        <xdr:cNvSpPr/>
      </xdr:nvSpPr>
      <xdr:spPr>
        <a:xfrm>
          <a:off x="8418419" y="2089898"/>
          <a:ext cx="1043828" cy="314325"/>
        </a:xfrm>
        <a:prstGeom prst="down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977713</xdr:colOff>
      <xdr:row>21</xdr:row>
      <xdr:rowOff>173693</xdr:rowOff>
    </xdr:from>
    <xdr:to>
      <xdr:col>6</xdr:col>
      <xdr:colOff>587188</xdr:colOff>
      <xdr:row>23</xdr:row>
      <xdr:rowOff>17371</xdr:rowOff>
    </xdr:to>
    <xdr:sp macro="" textlink="">
      <xdr:nvSpPr>
        <xdr:cNvPr id="13" name="矢印: 下 12">
          <a:extLst>
            <a:ext uri="{FF2B5EF4-FFF2-40B4-BE49-F238E27FC236}">
              <a16:creationId xmlns:a16="http://schemas.microsoft.com/office/drawing/2014/main" id="{27D05C16-8150-BACE-A5AE-381FDC341F97}"/>
            </a:ext>
          </a:extLst>
        </xdr:cNvPr>
        <xdr:cNvSpPr/>
      </xdr:nvSpPr>
      <xdr:spPr>
        <a:xfrm>
          <a:off x="8418419" y="5283575"/>
          <a:ext cx="1043828" cy="314325"/>
        </a:xfrm>
        <a:prstGeom prst="downArrow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19050</xdr:colOff>
      <xdr:row>32</xdr:row>
      <xdr:rowOff>212911</xdr:rowOff>
    </xdr:from>
    <xdr:to>
      <xdr:col>9</xdr:col>
      <xdr:colOff>0</xdr:colOff>
      <xdr:row>34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C639CFF-0BEC-B0B8-4C36-DAFB49F4B3CB}"/>
            </a:ext>
          </a:extLst>
        </xdr:cNvPr>
        <xdr:cNvSpPr/>
      </xdr:nvSpPr>
      <xdr:spPr>
        <a:xfrm>
          <a:off x="4591050" y="7933764"/>
          <a:ext cx="8587068" cy="26894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1389529</xdr:colOff>
      <xdr:row>33</xdr:row>
      <xdr:rowOff>89647</xdr:rowOff>
    </xdr:from>
    <xdr:to>
      <xdr:col>10</xdr:col>
      <xdr:colOff>549088</xdr:colOff>
      <xdr:row>50</xdr:row>
      <xdr:rowOff>257734</xdr:rowOff>
    </xdr:to>
    <xdr:sp macro="" textlink="">
      <xdr:nvSpPr>
        <xdr:cNvPr id="5" name="円弧 4">
          <a:extLst>
            <a:ext uri="{FF2B5EF4-FFF2-40B4-BE49-F238E27FC236}">
              <a16:creationId xmlns:a16="http://schemas.microsoft.com/office/drawing/2014/main" id="{9A9DFA0B-127F-AD7D-59DF-9F29C9F42583}"/>
            </a:ext>
          </a:extLst>
        </xdr:cNvPr>
        <xdr:cNvSpPr/>
      </xdr:nvSpPr>
      <xdr:spPr>
        <a:xfrm>
          <a:off x="11698941" y="8045823"/>
          <a:ext cx="2947147" cy="4213411"/>
        </a:xfrm>
        <a:prstGeom prst="arc">
          <a:avLst>
            <a:gd name="adj1" fmla="val 16200000"/>
            <a:gd name="adj2" fmla="val 5302438"/>
          </a:avLst>
        </a:prstGeom>
        <a:ln w="25400">
          <a:solidFill>
            <a:srgbClr val="FF0000"/>
          </a:solidFill>
          <a:headEnd type="none"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470647</xdr:colOff>
      <xdr:row>40</xdr:row>
      <xdr:rowOff>67236</xdr:rowOff>
    </xdr:from>
    <xdr:to>
      <xdr:col>12</xdr:col>
      <xdr:colOff>358588</xdr:colOff>
      <xdr:row>42</xdr:row>
      <xdr:rowOff>134471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839770C-BB4E-1AF1-6549-FC88F5109A32}"/>
            </a:ext>
          </a:extLst>
        </xdr:cNvPr>
        <xdr:cNvSpPr txBox="1"/>
      </xdr:nvSpPr>
      <xdr:spPr>
        <a:xfrm>
          <a:off x="14567647" y="9693089"/>
          <a:ext cx="1378323" cy="53788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×0.03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AA4B7-65F8-4EE7-BBF1-4F5DFDE2B82F}">
  <sheetPr>
    <pageSetUpPr fitToPage="1"/>
  </sheetPr>
  <dimension ref="B1:P58"/>
  <sheetViews>
    <sheetView view="pageBreakPreview" zoomScale="60" zoomScaleNormal="85" workbookViewId="0">
      <pane xSplit="3" ySplit="4" topLeftCell="D42" activePane="bottomRight" state="frozen"/>
      <selection pane="topRight" activeCell="D1" sqref="D1"/>
      <selection pane="bottomLeft" activeCell="A5" sqref="A5"/>
      <selection pane="bottomRight" activeCell="J54" sqref="J54:J56"/>
    </sheetView>
  </sheetViews>
  <sheetFormatPr defaultRowHeight="18"/>
  <cols>
    <col min="2" max="2" width="24.5" customWidth="1"/>
    <col min="3" max="3" width="26.5" customWidth="1"/>
    <col min="4" max="9" width="18.83203125" style="82" customWidth="1"/>
    <col min="10" max="10" width="12" bestFit="1" customWidth="1"/>
    <col min="11" max="11" width="10.58203125" bestFit="1" customWidth="1"/>
    <col min="13" max="13" width="13" bestFit="1" customWidth="1"/>
    <col min="14" max="14" width="17.58203125" customWidth="1"/>
    <col min="15" max="15" width="9.83203125" bestFit="1" customWidth="1"/>
    <col min="16" max="16" width="25.5" bestFit="1" customWidth="1"/>
  </cols>
  <sheetData>
    <row r="1" spans="2:16" ht="26.5">
      <c r="B1" s="73" t="s">
        <v>69</v>
      </c>
      <c r="I1" s="101" t="s">
        <v>95</v>
      </c>
    </row>
    <row r="2" spans="2:16">
      <c r="B2" t="s">
        <v>71</v>
      </c>
    </row>
    <row r="3" spans="2:16">
      <c r="B3" s="18" t="s">
        <v>20</v>
      </c>
      <c r="J3" t="s">
        <v>65</v>
      </c>
    </row>
    <row r="4" spans="2:16" ht="20">
      <c r="B4" s="99"/>
      <c r="C4" s="99"/>
      <c r="D4" s="100" t="s">
        <v>0</v>
      </c>
      <c r="E4" s="100" t="s">
        <v>1</v>
      </c>
      <c r="F4" s="100" t="s">
        <v>2</v>
      </c>
      <c r="G4" s="100" t="s">
        <v>3</v>
      </c>
      <c r="H4" s="100" t="s">
        <v>4</v>
      </c>
      <c r="I4" s="100" t="s">
        <v>5</v>
      </c>
    </row>
    <row r="5" spans="2:16" ht="18.5" thickBot="1">
      <c r="B5" s="3"/>
      <c r="C5" s="5" t="s">
        <v>6</v>
      </c>
      <c r="D5" s="83">
        <v>46000000.000000007</v>
      </c>
      <c r="E5" s="83">
        <v>24925000</v>
      </c>
      <c r="F5" s="83">
        <v>45476250.000000007</v>
      </c>
      <c r="G5" s="83">
        <v>24881250</v>
      </c>
      <c r="H5" s="83">
        <v>25668750</v>
      </c>
      <c r="I5" s="83">
        <v>83048750</v>
      </c>
      <c r="J5" s="11">
        <f>SUM(D5:I5)</f>
        <v>250000000</v>
      </c>
    </row>
    <row r="6" spans="2:16" ht="18.5" thickTop="1">
      <c r="B6" s="3" t="s">
        <v>9</v>
      </c>
      <c r="C6" s="4" t="s">
        <v>10</v>
      </c>
      <c r="D6" s="84">
        <v>35088000</v>
      </c>
      <c r="E6" s="84">
        <v>17544000</v>
      </c>
      <c r="F6" s="84">
        <v>17544000</v>
      </c>
      <c r="G6" s="84">
        <v>17544000</v>
      </c>
      <c r="H6" s="84">
        <v>17544000</v>
      </c>
      <c r="I6" s="84">
        <v>70176000</v>
      </c>
      <c r="J6" s="161">
        <f>SUM(D6:I8)</f>
        <v>250000000</v>
      </c>
    </row>
    <row r="7" spans="2:16">
      <c r="B7" s="15">
        <v>250000000</v>
      </c>
      <c r="C7" s="3" t="s">
        <v>7</v>
      </c>
      <c r="D7" s="85">
        <v>5981403</v>
      </c>
      <c r="E7" s="85">
        <v>4045889</v>
      </c>
      <c r="F7" s="85">
        <v>15311039</v>
      </c>
      <c r="G7" s="85">
        <v>4021907</v>
      </c>
      <c r="H7" s="85">
        <v>4453575</v>
      </c>
      <c r="I7" s="85">
        <v>7056187</v>
      </c>
      <c r="J7" s="162"/>
    </row>
    <row r="8" spans="2:16">
      <c r="B8" s="3"/>
      <c r="C8" s="3" t="s">
        <v>8</v>
      </c>
      <c r="D8" s="85">
        <f>D5-D6-D7</f>
        <v>4930597.0000000075</v>
      </c>
      <c r="E8" s="85">
        <f t="shared" ref="E8:I8" si="0">E5-E6-E7</f>
        <v>3335111</v>
      </c>
      <c r="F8" s="85">
        <f t="shared" si="0"/>
        <v>12621211.000000007</v>
      </c>
      <c r="G8" s="85">
        <f t="shared" si="0"/>
        <v>3315343</v>
      </c>
      <c r="H8" s="85">
        <f t="shared" si="0"/>
        <v>3671175</v>
      </c>
      <c r="I8" s="85">
        <f t="shared" si="0"/>
        <v>5816563</v>
      </c>
      <c r="J8" s="162"/>
    </row>
    <row r="9" spans="2:16">
      <c r="D9" s="86"/>
      <c r="E9" s="86"/>
      <c r="F9" s="86"/>
      <c r="G9" s="86"/>
      <c r="H9" s="86"/>
      <c r="I9" s="86"/>
      <c r="M9" t="s">
        <v>31</v>
      </c>
    </row>
    <row r="10" spans="2:16">
      <c r="B10" s="18" t="s">
        <v>21</v>
      </c>
      <c r="M10" s="3"/>
      <c r="N10" s="16" t="s">
        <v>22</v>
      </c>
      <c r="O10" s="3" t="s">
        <v>23</v>
      </c>
      <c r="P10" s="3"/>
    </row>
    <row r="11" spans="2:16" ht="18.5" thickBot="1">
      <c r="B11" s="3"/>
      <c r="C11" s="5" t="s">
        <v>6</v>
      </c>
      <c r="D11" s="94">
        <f>別添1工種変更!M24</f>
        <v>62729280</v>
      </c>
      <c r="E11" s="94">
        <f>別添1工種変更!N24</f>
        <v>33989724</v>
      </c>
      <c r="F11" s="94">
        <f>別添1工種変更!O24</f>
        <v>62015052.600000001</v>
      </c>
      <c r="G11" s="94">
        <f>別添1工種変更!P24</f>
        <v>33930063</v>
      </c>
      <c r="H11" s="94">
        <f>別添1工種変更!Q24</f>
        <v>35003961</v>
      </c>
      <c r="I11" s="94">
        <f>別添1工種変更!R24</f>
        <v>113251919.39999999</v>
      </c>
      <c r="J11" s="11">
        <f>SUM(D11:I11)</f>
        <v>340920000</v>
      </c>
      <c r="M11" s="3" t="s">
        <v>24</v>
      </c>
      <c r="N11" s="1">
        <v>175440000</v>
      </c>
      <c r="O11" s="3"/>
      <c r="P11" s="3"/>
    </row>
    <row r="12" spans="2:16" ht="18.5" thickTop="1">
      <c r="B12" s="3" t="s">
        <v>19</v>
      </c>
      <c r="C12" s="4" t="s">
        <v>10</v>
      </c>
      <c r="D12" s="84">
        <v>35088000</v>
      </c>
      <c r="E12" s="84">
        <v>17544000</v>
      </c>
      <c r="F12" s="84">
        <v>17544000</v>
      </c>
      <c r="G12" s="84">
        <v>17544000</v>
      </c>
      <c r="H12" s="84">
        <v>17544000</v>
      </c>
      <c r="I12" s="84">
        <v>70176000</v>
      </c>
      <c r="J12" s="161">
        <f>SUM(D12:I15)</f>
        <v>340920000.00000006</v>
      </c>
      <c r="M12" s="3" t="s">
        <v>25</v>
      </c>
      <c r="N12" s="1">
        <v>44380000</v>
      </c>
      <c r="O12" s="3"/>
      <c r="P12" s="3" t="s">
        <v>26</v>
      </c>
    </row>
    <row r="13" spans="2:16">
      <c r="B13" s="15">
        <v>340920000</v>
      </c>
      <c r="C13" s="3" t="s">
        <v>11</v>
      </c>
      <c r="D13" s="85">
        <v>12912478</v>
      </c>
      <c r="E13" s="85">
        <v>4045000</v>
      </c>
      <c r="F13" s="85">
        <v>15310000</v>
      </c>
      <c r="G13" s="85">
        <v>4171722.7796735908</v>
      </c>
      <c r="H13" s="85">
        <v>4303759.2203264097</v>
      </c>
      <c r="I13" s="85">
        <v>3637039.299999997</v>
      </c>
      <c r="J13" s="162"/>
      <c r="M13" s="3"/>
      <c r="N13" s="3"/>
      <c r="O13" s="3">
        <v>8840000</v>
      </c>
      <c r="P13" s="3" t="s">
        <v>27</v>
      </c>
    </row>
    <row r="14" spans="2:16">
      <c r="B14" s="6"/>
      <c r="C14" s="3" t="s">
        <v>12</v>
      </c>
      <c r="D14" s="85">
        <v>11245000</v>
      </c>
      <c r="E14" s="85">
        <v>6963000</v>
      </c>
      <c r="F14" s="85">
        <v>12700000</v>
      </c>
      <c r="G14" s="85">
        <v>6950999.2581602382</v>
      </c>
      <c r="H14" s="85">
        <v>7171000.7418397637</v>
      </c>
      <c r="I14" s="85">
        <v>26399999.999999993</v>
      </c>
      <c r="J14" s="162"/>
      <c r="M14" s="3" t="s">
        <v>28</v>
      </c>
      <c r="N14" s="3">
        <v>71430000</v>
      </c>
      <c r="O14" s="3"/>
      <c r="P14" s="3"/>
    </row>
    <row r="15" spans="2:16">
      <c r="B15" s="3"/>
      <c r="C15" s="3" t="s">
        <v>72</v>
      </c>
      <c r="D15" s="85">
        <f>D11-D12-D13-D14</f>
        <v>3483802</v>
      </c>
      <c r="E15" s="85">
        <f t="shared" ref="E15:I15" si="1">E11-E12-E13-E14</f>
        <v>5437724</v>
      </c>
      <c r="F15" s="85">
        <f t="shared" si="1"/>
        <v>16461052.600000001</v>
      </c>
      <c r="G15" s="85">
        <f t="shared" si="1"/>
        <v>5263340.9621661706</v>
      </c>
      <c r="H15" s="85">
        <f t="shared" si="1"/>
        <v>5985201.0378338275</v>
      </c>
      <c r="I15" s="85">
        <f t="shared" si="1"/>
        <v>13038880.100000001</v>
      </c>
      <c r="J15" s="162"/>
      <c r="M15" s="3" t="s">
        <v>29</v>
      </c>
      <c r="N15" s="1">
        <v>49670000</v>
      </c>
      <c r="O15" s="3"/>
      <c r="P15" s="3" t="s">
        <v>30</v>
      </c>
    </row>
    <row r="16" spans="2:16">
      <c r="M16" s="3" t="s">
        <v>15</v>
      </c>
      <c r="N16" s="17">
        <f>SUM(N11:N15)</f>
        <v>340920000</v>
      </c>
      <c r="O16" s="13">
        <f>SUM(O11:O15)</f>
        <v>8840000</v>
      </c>
      <c r="P16" s="3"/>
    </row>
    <row r="17" spans="2:10">
      <c r="B17" s="18" t="s">
        <v>70</v>
      </c>
    </row>
    <row r="18" spans="2:10" ht="18.5" thickBot="1">
      <c r="B18" s="3"/>
      <c r="C18" s="5" t="s">
        <v>6</v>
      </c>
      <c r="D18" s="94">
        <f>別添1工種変更!M50</f>
        <v>63862839</v>
      </c>
      <c r="E18" s="94">
        <f>別添1工種変更!N50</f>
        <v>30768029.999999996</v>
      </c>
      <c r="F18" s="94">
        <f>別添1工種変更!O50</f>
        <v>62015052.600000001</v>
      </c>
      <c r="G18" s="94">
        <f>別添1工種変更!P50</f>
        <v>32617520.999999996</v>
      </c>
      <c r="H18" s="94">
        <f>別添1工種変更!Q50</f>
        <v>35003961</v>
      </c>
      <c r="I18" s="94">
        <f>別添1工種変更!R50</f>
        <v>116652596.40000001</v>
      </c>
      <c r="J18" s="11">
        <f>SUM(D18:I18)</f>
        <v>340920000</v>
      </c>
    </row>
    <row r="19" spans="2:10" ht="18.5" thickTop="1">
      <c r="B19" s="3" t="s">
        <v>19</v>
      </c>
      <c r="C19" s="4" t="s">
        <v>10</v>
      </c>
      <c r="D19" s="84">
        <v>35088000</v>
      </c>
      <c r="E19" s="84">
        <v>17544000</v>
      </c>
      <c r="F19" s="84">
        <v>17544000</v>
      </c>
      <c r="G19" s="84">
        <v>17544000</v>
      </c>
      <c r="H19" s="84">
        <v>17544000</v>
      </c>
      <c r="I19" s="84">
        <v>70176000</v>
      </c>
      <c r="J19" s="161">
        <f>SUM(D19:I22)</f>
        <v>340920000.00000006</v>
      </c>
    </row>
    <row r="20" spans="2:10">
      <c r="B20" s="15">
        <v>340920000</v>
      </c>
      <c r="C20" s="3" t="s">
        <v>11</v>
      </c>
      <c r="D20" s="85">
        <v>12912478</v>
      </c>
      <c r="E20" s="85">
        <v>4045000</v>
      </c>
      <c r="F20" s="85">
        <v>15310000</v>
      </c>
      <c r="G20" s="85">
        <v>4171722.7796735908</v>
      </c>
      <c r="H20" s="85">
        <v>4303759.2203264097</v>
      </c>
      <c r="I20" s="85">
        <v>3637039.299999997</v>
      </c>
      <c r="J20" s="162"/>
    </row>
    <row r="21" spans="2:10">
      <c r="B21" s="6"/>
      <c r="C21" s="3" t="s">
        <v>12</v>
      </c>
      <c r="D21" s="85">
        <v>11245000</v>
      </c>
      <c r="E21" s="85">
        <v>6963000</v>
      </c>
      <c r="F21" s="85">
        <v>12700000</v>
      </c>
      <c r="G21" s="85">
        <v>6950999.2581602382</v>
      </c>
      <c r="H21" s="85">
        <v>7171000.7418397637</v>
      </c>
      <c r="I21" s="85">
        <v>26399999.999999993</v>
      </c>
      <c r="J21" s="162"/>
    </row>
    <row r="22" spans="2:10">
      <c r="B22" s="3"/>
      <c r="C22" s="3" t="s">
        <v>72</v>
      </c>
      <c r="D22" s="85">
        <f>D18-D19-D20-D21</f>
        <v>4617361</v>
      </c>
      <c r="E22" s="85">
        <f t="shared" ref="E22" si="2">E18-E19-E20-E21</f>
        <v>2216029.9999999963</v>
      </c>
      <c r="F22" s="85">
        <f t="shared" ref="F22" si="3">F18-F19-F20-F21</f>
        <v>16461052.600000001</v>
      </c>
      <c r="G22" s="85">
        <f t="shared" ref="G22" si="4">G18-G19-G20-G21</f>
        <v>3950798.9621661669</v>
      </c>
      <c r="H22" s="85">
        <f>H18-H19-H20-H21</f>
        <v>5985201.0378338275</v>
      </c>
      <c r="I22" s="85">
        <f t="shared" ref="I22" si="5">I18-I19-I20-I21</f>
        <v>16439557.100000016</v>
      </c>
      <c r="J22" s="162"/>
    </row>
    <row r="24" spans="2:10">
      <c r="B24" s="18" t="s">
        <v>64</v>
      </c>
    </row>
    <row r="25" spans="2:10" ht="18.5" thickBot="1">
      <c r="B25" s="3"/>
      <c r="C25" s="5" t="s">
        <v>6</v>
      </c>
      <c r="D25" s="83">
        <f>SUM(D26:D30)</f>
        <v>65362839</v>
      </c>
      <c r="E25" s="83">
        <f t="shared" ref="E25:I25" si="6">SUM(E26:E30)</f>
        <v>30768029.999999996</v>
      </c>
      <c r="F25" s="83">
        <f t="shared" si="6"/>
        <v>61515052.600000001</v>
      </c>
      <c r="G25" s="83">
        <f t="shared" si="6"/>
        <v>32117520.999999996</v>
      </c>
      <c r="H25" s="83">
        <f t="shared" si="6"/>
        <v>35003961</v>
      </c>
      <c r="I25" s="83">
        <f t="shared" si="6"/>
        <v>116152596.40000001</v>
      </c>
      <c r="J25" s="11">
        <f>SUM(D25:I25)</f>
        <v>340920000</v>
      </c>
    </row>
    <row r="26" spans="2:10" ht="18.5" thickTop="1">
      <c r="B26" s="3" t="s">
        <v>19</v>
      </c>
      <c r="C26" s="4" t="s">
        <v>10</v>
      </c>
      <c r="D26" s="84">
        <v>35088000</v>
      </c>
      <c r="E26" s="84">
        <v>17544000</v>
      </c>
      <c r="F26" s="84">
        <v>17544000</v>
      </c>
      <c r="G26" s="84">
        <v>17544000</v>
      </c>
      <c r="H26" s="84">
        <v>17544000</v>
      </c>
      <c r="I26" s="84">
        <v>70176000</v>
      </c>
      <c r="J26" s="161">
        <f>SUM(D26:I29)</f>
        <v>340920000.00000006</v>
      </c>
    </row>
    <row r="27" spans="2:10">
      <c r="B27" s="15">
        <v>340920000</v>
      </c>
      <c r="C27" s="3" t="s">
        <v>11</v>
      </c>
      <c r="D27" s="85">
        <v>12912478</v>
      </c>
      <c r="E27" s="85">
        <v>4045000</v>
      </c>
      <c r="F27" s="85">
        <v>15310000</v>
      </c>
      <c r="G27" s="85">
        <v>4171722.7796735908</v>
      </c>
      <c r="H27" s="85">
        <v>4303759.2203264097</v>
      </c>
      <c r="I27" s="85">
        <v>3637039.299999997</v>
      </c>
      <c r="J27" s="162"/>
    </row>
    <row r="28" spans="2:10">
      <c r="B28" s="6"/>
      <c r="C28" s="3" t="s">
        <v>12</v>
      </c>
      <c r="D28" s="85">
        <v>11245000</v>
      </c>
      <c r="E28" s="85">
        <v>6963000</v>
      </c>
      <c r="F28" s="85">
        <v>12700000</v>
      </c>
      <c r="G28" s="85">
        <v>6950999.2581602382</v>
      </c>
      <c r="H28" s="85">
        <v>7171000.7418397637</v>
      </c>
      <c r="I28" s="85">
        <v>26399999.999999993</v>
      </c>
      <c r="J28" s="162"/>
    </row>
    <row r="29" spans="2:10">
      <c r="B29" s="3"/>
      <c r="C29" s="3" t="s">
        <v>73</v>
      </c>
      <c r="D29" s="87">
        <f>D22</f>
        <v>4617361</v>
      </c>
      <c r="E29" s="87">
        <f t="shared" ref="E29:I29" si="7">E22</f>
        <v>2216029.9999999963</v>
      </c>
      <c r="F29" s="87">
        <f t="shared" si="7"/>
        <v>16461052.600000001</v>
      </c>
      <c r="G29" s="87">
        <f t="shared" si="7"/>
        <v>3950798.9621661669</v>
      </c>
      <c r="H29" s="87">
        <f t="shared" si="7"/>
        <v>5985201.0378338275</v>
      </c>
      <c r="I29" s="87">
        <f t="shared" si="7"/>
        <v>16439557.100000016</v>
      </c>
      <c r="J29" s="162"/>
    </row>
    <row r="30" spans="2:10">
      <c r="B30" s="3"/>
      <c r="C30" s="3" t="s">
        <v>67</v>
      </c>
      <c r="D30" s="95">
        <v>1500000</v>
      </c>
      <c r="E30" s="89"/>
      <c r="F30" s="95">
        <v>-500000</v>
      </c>
      <c r="G30" s="95">
        <v>-500000</v>
      </c>
      <c r="H30" s="89"/>
      <c r="I30" s="95">
        <v>-500000</v>
      </c>
    </row>
    <row r="33" spans="2:10">
      <c r="B33" s="18" t="s">
        <v>66</v>
      </c>
      <c r="D33" s="90"/>
      <c r="E33" s="90"/>
      <c r="F33" s="90"/>
      <c r="G33" s="90"/>
      <c r="H33" s="90"/>
      <c r="I33" s="90"/>
    </row>
    <row r="34" spans="2:10" ht="18.5" thickBot="1">
      <c r="B34" s="3"/>
      <c r="C34" s="5" t="s">
        <v>6</v>
      </c>
      <c r="D34" s="83">
        <f>SUM(D35:D40)</f>
        <v>68892883.271982104</v>
      </c>
      <c r="E34" s="83">
        <f t="shared" ref="E34:H34" si="8">SUM(E35:E40)</f>
        <v>30768029.999999996</v>
      </c>
      <c r="F34" s="83">
        <f t="shared" si="8"/>
        <v>63169917.93729686</v>
      </c>
      <c r="G34" s="83">
        <f t="shared" si="8"/>
        <v>35030038.308639072</v>
      </c>
      <c r="H34" s="83">
        <f t="shared" si="8"/>
        <v>35003961</v>
      </c>
      <c r="I34" s="83">
        <f>SUM(I35:I40)</f>
        <v>122744309.48208196</v>
      </c>
      <c r="J34" s="11">
        <f>SUM(D34:I34)</f>
        <v>355609140</v>
      </c>
    </row>
    <row r="35" spans="2:10" ht="18.5" thickTop="1">
      <c r="B35" s="3" t="s">
        <v>19</v>
      </c>
      <c r="C35" s="4" t="s">
        <v>10</v>
      </c>
      <c r="D35" s="84">
        <v>35088000</v>
      </c>
      <c r="E35" s="84">
        <v>17544000</v>
      </c>
      <c r="F35" s="84">
        <v>17544000</v>
      </c>
      <c r="G35" s="84">
        <v>17544000</v>
      </c>
      <c r="H35" s="84">
        <v>17544000</v>
      </c>
      <c r="I35" s="84">
        <v>70176000</v>
      </c>
      <c r="J35" s="161">
        <f>SUM(D35:I40)</f>
        <v>355609140</v>
      </c>
    </row>
    <row r="36" spans="2:10">
      <c r="B36" s="15">
        <v>340920000</v>
      </c>
      <c r="C36" s="3" t="s">
        <v>11</v>
      </c>
      <c r="D36" s="85">
        <v>12912478</v>
      </c>
      <c r="E36" s="85">
        <v>4045000</v>
      </c>
      <c r="F36" s="85">
        <v>15310000</v>
      </c>
      <c r="G36" s="85">
        <v>4171722.7796735908</v>
      </c>
      <c r="H36" s="85">
        <v>4303759.2203264097</v>
      </c>
      <c r="I36" s="85">
        <v>3637039.299999997</v>
      </c>
      <c r="J36" s="162"/>
    </row>
    <row r="37" spans="2:10">
      <c r="B37" s="6"/>
      <c r="C37" s="3" t="s">
        <v>12</v>
      </c>
      <c r="D37" s="85">
        <v>11245000</v>
      </c>
      <c r="E37" s="85">
        <v>6963000</v>
      </c>
      <c r="F37" s="85">
        <v>12700000</v>
      </c>
      <c r="G37" s="85">
        <v>6950999.2581602382</v>
      </c>
      <c r="H37" s="85">
        <v>7171000.7418397637</v>
      </c>
      <c r="I37" s="85">
        <v>26399999.999999993</v>
      </c>
      <c r="J37" s="162"/>
    </row>
    <row r="38" spans="2:10">
      <c r="B38" s="3"/>
      <c r="C38" s="3" t="s">
        <v>73</v>
      </c>
      <c r="D38" s="87">
        <f>D29</f>
        <v>4617361</v>
      </c>
      <c r="E38" s="87">
        <f t="shared" ref="E38:I38" si="9">E29</f>
        <v>2216029.9999999963</v>
      </c>
      <c r="F38" s="87">
        <f t="shared" si="9"/>
        <v>16461052.600000001</v>
      </c>
      <c r="G38" s="87">
        <f t="shared" si="9"/>
        <v>3950798.9621661669</v>
      </c>
      <c r="H38" s="87">
        <f t="shared" si="9"/>
        <v>5985201.0378338275</v>
      </c>
      <c r="I38" s="87">
        <f t="shared" si="9"/>
        <v>16439557.100000016</v>
      </c>
      <c r="J38" s="162"/>
    </row>
    <row r="39" spans="2:10">
      <c r="B39" s="3"/>
      <c r="C39" s="3" t="s">
        <v>67</v>
      </c>
      <c r="D39" s="88">
        <v>1500000</v>
      </c>
      <c r="E39" s="89"/>
      <c r="F39" s="88">
        <v>-500000</v>
      </c>
      <c r="G39" s="88">
        <v>-500000</v>
      </c>
      <c r="H39" s="89"/>
      <c r="I39" s="88">
        <v>-500000</v>
      </c>
      <c r="J39" s="162"/>
    </row>
    <row r="40" spans="2:10">
      <c r="B40" s="3"/>
      <c r="C40" s="3" t="s">
        <v>16</v>
      </c>
      <c r="D40" s="96">
        <f>'別添2　R6増額変更内訳'!D26</f>
        <v>3530044.2719821013</v>
      </c>
      <c r="E40" s="92"/>
      <c r="F40" s="96">
        <f>'別添2　R6増額変更内訳'!F26</f>
        <v>1654865.3372968605</v>
      </c>
      <c r="G40" s="96">
        <f>'別添2　R6増額変更内訳'!G26</f>
        <v>2912517.3086390737</v>
      </c>
      <c r="H40" s="92"/>
      <c r="I40" s="96">
        <f>'別添2　R6増額変更内訳'!I26</f>
        <v>6591713.0820819633</v>
      </c>
      <c r="J40" s="162"/>
    </row>
    <row r="41" spans="2:10">
      <c r="J41" s="23"/>
    </row>
    <row r="42" spans="2:10">
      <c r="J42" s="23"/>
    </row>
    <row r="43" spans="2:10">
      <c r="B43" s="18" t="s">
        <v>17</v>
      </c>
      <c r="D43" s="90"/>
      <c r="E43" s="90"/>
      <c r="F43" s="90"/>
      <c r="G43" s="90"/>
      <c r="H43" s="90"/>
      <c r="I43" s="90"/>
    </row>
    <row r="44" spans="2:10" ht="18.5" thickBot="1">
      <c r="B44" s="3"/>
      <c r="C44" s="5" t="s">
        <v>6</v>
      </c>
      <c r="D44" s="83">
        <f>SUM(D45:D50)</f>
        <v>68892883.271982104</v>
      </c>
      <c r="E44" s="83">
        <f t="shared" ref="E44" si="10">SUM(E45:E50)</f>
        <v>30768029.999999996</v>
      </c>
      <c r="F44" s="83">
        <f t="shared" ref="F44" si="11">SUM(F45:F50)</f>
        <v>63169917.93729686</v>
      </c>
      <c r="G44" s="83">
        <f t="shared" ref="G44" si="12">SUM(G45:G50)</f>
        <v>35030038.308639072</v>
      </c>
      <c r="H44" s="83">
        <f t="shared" ref="H44" si="13">SUM(H45:H50)</f>
        <v>35003961</v>
      </c>
      <c r="I44" s="83">
        <f>SUM(I45:I50)</f>
        <v>122744309.48208196</v>
      </c>
      <c r="J44" s="11">
        <f>SUM(D44:I44)</f>
        <v>355609140</v>
      </c>
    </row>
    <row r="45" spans="2:10" ht="18.5" thickTop="1">
      <c r="B45" s="3" t="s">
        <v>19</v>
      </c>
      <c r="C45" s="4" t="s">
        <v>10</v>
      </c>
      <c r="D45" s="84">
        <v>35088000</v>
      </c>
      <c r="E45" s="84">
        <v>17544000</v>
      </c>
      <c r="F45" s="84">
        <v>17544000</v>
      </c>
      <c r="G45" s="84">
        <v>17544000</v>
      </c>
      <c r="H45" s="84">
        <v>17544000</v>
      </c>
      <c r="I45" s="84">
        <v>70176000</v>
      </c>
      <c r="J45" s="161">
        <f>SUM(D45:I51)</f>
        <v>355609140.00000006</v>
      </c>
    </row>
    <row r="46" spans="2:10">
      <c r="B46" s="15">
        <v>340920000</v>
      </c>
      <c r="C46" s="3" t="s">
        <v>11</v>
      </c>
      <c r="D46" s="85">
        <v>12912478</v>
      </c>
      <c r="E46" s="85">
        <v>4045000</v>
      </c>
      <c r="F46" s="85">
        <v>15310000</v>
      </c>
      <c r="G46" s="85">
        <v>4171722.7796735908</v>
      </c>
      <c r="H46" s="85">
        <v>4303759.2203264097</v>
      </c>
      <c r="I46" s="85">
        <v>3637039.299999997</v>
      </c>
      <c r="J46" s="161"/>
    </row>
    <row r="47" spans="2:10">
      <c r="B47" s="6"/>
      <c r="C47" s="3" t="s">
        <v>12</v>
      </c>
      <c r="D47" s="85">
        <v>11245000</v>
      </c>
      <c r="E47" s="85">
        <v>6963000</v>
      </c>
      <c r="F47" s="85">
        <v>12700000</v>
      </c>
      <c r="G47" s="85">
        <v>6950999.2581602382</v>
      </c>
      <c r="H47" s="85">
        <v>7171000.7418397637</v>
      </c>
      <c r="I47" s="85">
        <v>26399999.999999993</v>
      </c>
      <c r="J47" s="161"/>
    </row>
    <row r="48" spans="2:10">
      <c r="B48" s="3"/>
      <c r="C48" s="3" t="s">
        <v>73</v>
      </c>
      <c r="D48" s="87">
        <f>D22</f>
        <v>4617361</v>
      </c>
      <c r="E48" s="87">
        <f t="shared" ref="E48:I48" si="14">E22</f>
        <v>2216029.9999999963</v>
      </c>
      <c r="F48" s="87">
        <f t="shared" si="14"/>
        <v>16461052.600000001</v>
      </c>
      <c r="G48" s="87">
        <f t="shared" si="14"/>
        <v>3950798.9621661669</v>
      </c>
      <c r="H48" s="87">
        <f t="shared" si="14"/>
        <v>5985201.0378338275</v>
      </c>
      <c r="I48" s="87">
        <f t="shared" si="14"/>
        <v>16439557.100000016</v>
      </c>
      <c r="J48" s="161"/>
    </row>
    <row r="49" spans="2:11">
      <c r="B49" s="3"/>
      <c r="C49" s="3" t="s">
        <v>67</v>
      </c>
      <c r="D49" s="88">
        <v>1500000</v>
      </c>
      <c r="E49" s="89"/>
      <c r="F49" s="88">
        <v>-500000</v>
      </c>
      <c r="G49" s="88">
        <v>-500000</v>
      </c>
      <c r="H49" s="89"/>
      <c r="I49" s="88">
        <v>-500000</v>
      </c>
      <c r="J49" s="161"/>
    </row>
    <row r="50" spans="2:11">
      <c r="B50" s="3"/>
      <c r="C50" s="3" t="s">
        <v>16</v>
      </c>
      <c r="D50" s="91">
        <f>'別添2　R6増額変更内訳'!D26</f>
        <v>3530044.2719821013</v>
      </c>
      <c r="E50" s="92"/>
      <c r="F50" s="91">
        <f>'別添2　R6増額変更内訳'!F26</f>
        <v>1654865.3372968605</v>
      </c>
      <c r="G50" s="91">
        <f>'別添2　R6増額変更内訳'!G26</f>
        <v>2912517.3086390737</v>
      </c>
      <c r="H50" s="92"/>
      <c r="I50" s="91">
        <f>'別添2　R6増額変更内訳'!I26</f>
        <v>6591713.0820819633</v>
      </c>
      <c r="J50" s="161"/>
    </row>
    <row r="51" spans="2:11" ht="36">
      <c r="B51" s="3"/>
      <c r="C51" s="9" t="s">
        <v>68</v>
      </c>
      <c r="D51" s="97">
        <f>-SUM(E51:I51)</f>
        <v>8601487.7018405367</v>
      </c>
      <c r="E51" s="98">
        <f>-E34*0.03</f>
        <v>-923040.89999999991</v>
      </c>
      <c r="F51" s="98">
        <f t="shared" ref="F51:I51" si="15">-F34*0.03</f>
        <v>-1895097.5381189056</v>
      </c>
      <c r="G51" s="98">
        <f t="shared" si="15"/>
        <v>-1050901.1492591721</v>
      </c>
      <c r="H51" s="98">
        <f t="shared" si="15"/>
        <v>-1050118.83</v>
      </c>
      <c r="I51" s="98">
        <f t="shared" si="15"/>
        <v>-3682329.2844624589</v>
      </c>
      <c r="J51" s="161"/>
      <c r="K51" s="76"/>
    </row>
    <row r="52" spans="2:11">
      <c r="D52" s="93"/>
      <c r="E52" s="93"/>
      <c r="F52" s="93"/>
      <c r="G52" s="93"/>
      <c r="H52" s="93"/>
      <c r="I52" s="93"/>
      <c r="J52" s="76"/>
      <c r="K52" s="76"/>
    </row>
    <row r="53" spans="2:11">
      <c r="D53" s="93"/>
      <c r="E53" s="93"/>
      <c r="F53" s="93"/>
      <c r="G53" s="93"/>
      <c r="H53" s="93"/>
      <c r="I53" s="93"/>
      <c r="J53" s="76"/>
      <c r="K53" s="76"/>
    </row>
    <row r="54" spans="2:11">
      <c r="B54" s="79" t="s">
        <v>18</v>
      </c>
      <c r="C54" s="80"/>
      <c r="D54" s="77">
        <f>SUM(D48:D51)</f>
        <v>18248892.973822638</v>
      </c>
      <c r="E54" s="77">
        <f>SUM(E48:E51)</f>
        <v>1292989.0999999964</v>
      </c>
      <c r="F54" s="77">
        <f>SUM(F48:F51)</f>
        <v>15720820.399177957</v>
      </c>
      <c r="G54" s="77">
        <f t="shared" ref="G54:I54" si="16">SUM(G48:G51)</f>
        <v>5312415.1215460682</v>
      </c>
      <c r="H54" s="77">
        <f t="shared" si="16"/>
        <v>4935082.2078338275</v>
      </c>
      <c r="I54" s="77">
        <f t="shared" si="16"/>
        <v>18848940.897619519</v>
      </c>
      <c r="J54" s="11">
        <f>SUM(D54:I54)</f>
        <v>64359140.700000003</v>
      </c>
    </row>
    <row r="55" spans="2:11">
      <c r="B55" s="79"/>
      <c r="C55" s="134" t="s">
        <v>98</v>
      </c>
      <c r="D55" s="81">
        <f>ROUND(D54,-3)-9000</f>
        <v>18240000</v>
      </c>
      <c r="E55" s="81">
        <f t="shared" ref="E55:I55" si="17">ROUND(E54,-3)</f>
        <v>1293000</v>
      </c>
      <c r="F55" s="81">
        <f t="shared" si="17"/>
        <v>15721000</v>
      </c>
      <c r="G55" s="81">
        <f t="shared" si="17"/>
        <v>5312000</v>
      </c>
      <c r="H55" s="81">
        <f t="shared" si="17"/>
        <v>4935000</v>
      </c>
      <c r="I55" s="81">
        <f t="shared" si="17"/>
        <v>18849000</v>
      </c>
      <c r="J55" s="78">
        <f>SUM(D55:I55)</f>
        <v>64350000</v>
      </c>
      <c r="K55" s="76"/>
    </row>
    <row r="56" spans="2:11">
      <c r="B56" s="79"/>
      <c r="C56" s="134" t="s">
        <v>99</v>
      </c>
      <c r="D56" s="81">
        <f>+D55*1.1</f>
        <v>20064000</v>
      </c>
      <c r="E56" s="81">
        <f t="shared" ref="E56:I56" si="18">+E55*1.1</f>
        <v>1422300</v>
      </c>
      <c r="F56" s="81">
        <f t="shared" si="18"/>
        <v>17293100</v>
      </c>
      <c r="G56" s="81">
        <f t="shared" si="18"/>
        <v>5843200.0000000009</v>
      </c>
      <c r="H56" s="81">
        <f t="shared" si="18"/>
        <v>5428500</v>
      </c>
      <c r="I56" s="81">
        <f t="shared" si="18"/>
        <v>20733900</v>
      </c>
      <c r="J56" s="78">
        <f>SUM(D56:I56)</f>
        <v>70785000</v>
      </c>
      <c r="K56" s="76"/>
    </row>
    <row r="57" spans="2:11">
      <c r="C57" t="s">
        <v>96</v>
      </c>
      <c r="D57" s="82">
        <v>18134000</v>
      </c>
      <c r="E57" s="82">
        <v>1293000</v>
      </c>
      <c r="F57" s="82">
        <v>14766000</v>
      </c>
      <c r="G57" s="82">
        <v>4757000</v>
      </c>
      <c r="H57" s="82">
        <v>4935000</v>
      </c>
      <c r="I57" s="82">
        <v>18155000</v>
      </c>
    </row>
    <row r="58" spans="2:11">
      <c r="C58" t="s">
        <v>97</v>
      </c>
      <c r="D58" s="93">
        <f>D55-D57</f>
        <v>106000</v>
      </c>
      <c r="E58" s="93">
        <f t="shared" ref="E58:I58" si="19">E55-E57</f>
        <v>0</v>
      </c>
      <c r="F58" s="93">
        <f t="shared" si="19"/>
        <v>955000</v>
      </c>
      <c r="G58" s="93">
        <f t="shared" si="19"/>
        <v>555000</v>
      </c>
      <c r="H58" s="93">
        <f t="shared" si="19"/>
        <v>0</v>
      </c>
      <c r="I58" s="93">
        <f t="shared" si="19"/>
        <v>694000</v>
      </c>
    </row>
  </sheetData>
  <mergeCells count="6">
    <mergeCell ref="J45:J51"/>
    <mergeCell ref="J6:J8"/>
    <mergeCell ref="J12:J15"/>
    <mergeCell ref="J19:J22"/>
    <mergeCell ref="J26:J29"/>
    <mergeCell ref="J35:J40"/>
  </mergeCells>
  <phoneticPr fontId="4"/>
  <pageMargins left="0.7" right="0.7" top="0.75" bottom="0.75" header="0.3" footer="0.3"/>
  <pageSetup paperSize="8" scale="6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ABE8-E096-45D4-A9F8-5AF36CFE74DB}">
  <sheetPr>
    <pageSetUpPr fitToPage="1"/>
  </sheetPr>
  <dimension ref="A2:S51"/>
  <sheetViews>
    <sheetView topLeftCell="A33" zoomScale="55" zoomScaleNormal="55" workbookViewId="0">
      <selection activeCell="E62" sqref="E62"/>
    </sheetView>
  </sheetViews>
  <sheetFormatPr defaultRowHeight="18"/>
  <cols>
    <col min="1" max="1" width="56.75" bestFit="1" customWidth="1"/>
    <col min="2" max="2" width="20.75" bestFit="1" customWidth="1"/>
    <col min="3" max="3" width="5.33203125" bestFit="1" customWidth="1"/>
    <col min="4" max="4" width="10" bestFit="1" customWidth="1"/>
    <col min="5" max="5" width="11.58203125" bestFit="1" customWidth="1"/>
    <col min="6" max="6" width="28" bestFit="1" customWidth="1"/>
    <col min="7" max="8" width="9.75" bestFit="1" customWidth="1"/>
    <col min="9" max="9" width="7.75" bestFit="1" customWidth="1"/>
    <col min="10" max="10" width="9.75" bestFit="1" customWidth="1"/>
    <col min="11" max="11" width="6.5" bestFit="1" customWidth="1"/>
    <col min="12" max="12" width="12.08203125" bestFit="1" customWidth="1"/>
    <col min="13" max="17" width="10.5" bestFit="1" customWidth="1"/>
    <col min="18" max="19" width="11.58203125" bestFit="1" customWidth="1"/>
  </cols>
  <sheetData>
    <row r="2" spans="1:19" ht="32.5">
      <c r="A2" s="74" t="s">
        <v>62</v>
      </c>
      <c r="D2" t="s">
        <v>6</v>
      </c>
      <c r="E2" s="2">
        <v>340920000</v>
      </c>
      <c r="F2" t="s">
        <v>32</v>
      </c>
      <c r="S2" s="19"/>
    </row>
    <row r="3" spans="1:19">
      <c r="A3" s="163" t="s">
        <v>13</v>
      </c>
      <c r="B3" s="164" t="s">
        <v>33</v>
      </c>
      <c r="C3" s="164" t="s">
        <v>34</v>
      </c>
      <c r="D3" s="164"/>
      <c r="E3" s="164" t="s">
        <v>35</v>
      </c>
      <c r="F3" s="164"/>
      <c r="G3" s="165" t="s">
        <v>36</v>
      </c>
      <c r="H3" s="166"/>
      <c r="I3" s="166"/>
      <c r="J3" s="166"/>
      <c r="K3" s="166"/>
      <c r="L3" s="167"/>
      <c r="M3" s="178" t="s">
        <v>37</v>
      </c>
      <c r="N3" s="179"/>
      <c r="O3" s="179"/>
      <c r="P3" s="179"/>
      <c r="Q3" s="179"/>
      <c r="R3" s="180"/>
      <c r="S3" s="168" t="s">
        <v>15</v>
      </c>
    </row>
    <row r="4" spans="1:19" ht="20">
      <c r="A4" s="163"/>
      <c r="B4" s="164"/>
      <c r="C4" s="164"/>
      <c r="D4" s="164"/>
      <c r="E4" s="164"/>
      <c r="F4" s="164"/>
      <c r="G4" s="21" t="s">
        <v>0</v>
      </c>
      <c r="H4" s="20" t="s">
        <v>1</v>
      </c>
      <c r="I4" s="20" t="s">
        <v>2</v>
      </c>
      <c r="J4" s="20" t="s">
        <v>3</v>
      </c>
      <c r="K4" s="20" t="s">
        <v>4</v>
      </c>
      <c r="L4" s="22" t="s">
        <v>5</v>
      </c>
      <c r="M4" s="23" t="s">
        <v>0</v>
      </c>
      <c r="N4" s="23" t="s">
        <v>1</v>
      </c>
      <c r="O4" s="23" t="s">
        <v>2</v>
      </c>
      <c r="P4" s="23" t="s">
        <v>3</v>
      </c>
      <c r="Q4" s="23" t="s">
        <v>4</v>
      </c>
      <c r="R4" s="23" t="s">
        <v>5</v>
      </c>
      <c r="S4" s="168"/>
    </row>
    <row r="5" spans="1:19" ht="20">
      <c r="A5" s="24" t="s">
        <v>38</v>
      </c>
      <c r="B5" s="24"/>
      <c r="C5" s="169">
        <v>0.7</v>
      </c>
      <c r="D5" s="25">
        <v>9.5000000000000001E-2</v>
      </c>
      <c r="E5" s="172">
        <f>E2-E22</f>
        <v>292168440</v>
      </c>
      <c r="F5" s="14">
        <f>$E$2*$C$5*D5</f>
        <v>22671179.999999996</v>
      </c>
      <c r="G5" s="27">
        <v>0.05</v>
      </c>
      <c r="H5" s="27"/>
      <c r="I5" s="27"/>
      <c r="J5" s="27"/>
      <c r="K5" s="27"/>
      <c r="L5" s="28">
        <v>0.95</v>
      </c>
      <c r="M5" s="29">
        <f t="shared" ref="M5:R18" si="0">$F5*G5</f>
        <v>1133558.9999999998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30">
        <f t="shared" si="0"/>
        <v>21537620.999999996</v>
      </c>
      <c r="S5" s="31">
        <f>SUM(G5:L5)</f>
        <v>1</v>
      </c>
    </row>
    <row r="6" spans="1:19" ht="20">
      <c r="A6" s="24" t="s">
        <v>39</v>
      </c>
      <c r="B6" s="24"/>
      <c r="C6" s="170"/>
      <c r="D6" s="25">
        <v>0.02</v>
      </c>
      <c r="E6" s="173"/>
      <c r="F6" s="14">
        <f t="shared" ref="F6:F17" si="1">$E$2*$C$5*D6</f>
        <v>4772879.9999999991</v>
      </c>
      <c r="G6" s="27"/>
      <c r="H6" s="27"/>
      <c r="I6" s="27">
        <v>0.05</v>
      </c>
      <c r="J6" s="27"/>
      <c r="K6" s="27"/>
      <c r="L6" s="27">
        <v>0.95</v>
      </c>
      <c r="M6" s="29">
        <f t="shared" si="0"/>
        <v>0</v>
      </c>
      <c r="N6" s="1">
        <f t="shared" si="0"/>
        <v>0</v>
      </c>
      <c r="O6" s="1">
        <f t="shared" si="0"/>
        <v>238643.99999999997</v>
      </c>
      <c r="P6" s="1">
        <f t="shared" si="0"/>
        <v>0</v>
      </c>
      <c r="Q6" s="1">
        <f t="shared" si="0"/>
        <v>0</v>
      </c>
      <c r="R6" s="30">
        <f t="shared" si="0"/>
        <v>4534235.9999999991</v>
      </c>
      <c r="S6" s="31">
        <f t="shared" ref="S6:S23" si="2">SUM(G6:L6)</f>
        <v>1</v>
      </c>
    </row>
    <row r="7" spans="1:19" ht="20">
      <c r="A7" s="32" t="s">
        <v>40</v>
      </c>
      <c r="B7" s="24" t="s">
        <v>41</v>
      </c>
      <c r="C7" s="170"/>
      <c r="D7" s="25">
        <v>0.08</v>
      </c>
      <c r="E7" s="173"/>
      <c r="F7" s="14">
        <f t="shared" si="1"/>
        <v>19091519.999999996</v>
      </c>
      <c r="G7" s="27"/>
      <c r="H7" s="27">
        <v>1</v>
      </c>
      <c r="I7" s="27"/>
      <c r="J7" s="27"/>
      <c r="K7" s="27"/>
      <c r="L7" s="28"/>
      <c r="M7" s="29">
        <f t="shared" si="0"/>
        <v>0</v>
      </c>
      <c r="N7" s="1">
        <f t="shared" si="0"/>
        <v>19091519.999999996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30">
        <f t="shared" si="0"/>
        <v>0</v>
      </c>
      <c r="S7" s="31">
        <f t="shared" si="2"/>
        <v>1</v>
      </c>
    </row>
    <row r="8" spans="1:19" ht="20">
      <c r="A8" s="33"/>
      <c r="B8" s="24" t="s">
        <v>42</v>
      </c>
      <c r="C8" s="170"/>
      <c r="D8" s="25">
        <v>0.11</v>
      </c>
      <c r="E8" s="173"/>
      <c r="F8" s="14">
        <f t="shared" si="1"/>
        <v>26250839.999999996</v>
      </c>
      <c r="G8" s="27"/>
      <c r="H8" s="27">
        <v>0.2</v>
      </c>
      <c r="I8" s="27"/>
      <c r="J8" s="27">
        <v>0.8</v>
      </c>
      <c r="K8" s="27"/>
      <c r="L8" s="28"/>
      <c r="M8" s="29">
        <f t="shared" si="0"/>
        <v>0</v>
      </c>
      <c r="N8" s="1">
        <f t="shared" si="0"/>
        <v>5250168</v>
      </c>
      <c r="O8" s="1">
        <f t="shared" si="0"/>
        <v>0</v>
      </c>
      <c r="P8" s="1">
        <f t="shared" si="0"/>
        <v>21000672</v>
      </c>
      <c r="Q8" s="1">
        <f t="shared" si="0"/>
        <v>0</v>
      </c>
      <c r="R8" s="30">
        <f t="shared" si="0"/>
        <v>0</v>
      </c>
      <c r="S8" s="31">
        <f t="shared" si="2"/>
        <v>1</v>
      </c>
    </row>
    <row r="9" spans="1:19" ht="20">
      <c r="A9" s="33"/>
      <c r="B9" s="24" t="s">
        <v>43</v>
      </c>
      <c r="C9" s="170"/>
      <c r="D9" s="25">
        <v>0.05</v>
      </c>
      <c r="E9" s="173"/>
      <c r="F9" s="14">
        <f t="shared" si="1"/>
        <v>11932200</v>
      </c>
      <c r="G9" s="27"/>
      <c r="H9" s="27">
        <v>0.4</v>
      </c>
      <c r="I9" s="27"/>
      <c r="J9" s="27"/>
      <c r="K9" s="27"/>
      <c r="L9" s="28">
        <v>0.6</v>
      </c>
      <c r="M9" s="29">
        <f t="shared" si="0"/>
        <v>0</v>
      </c>
      <c r="N9" s="1">
        <f t="shared" si="0"/>
        <v>4772880</v>
      </c>
      <c r="O9" s="1">
        <f t="shared" si="0"/>
        <v>0</v>
      </c>
      <c r="P9" s="1">
        <f t="shared" si="0"/>
        <v>0</v>
      </c>
      <c r="Q9" s="1">
        <f t="shared" si="0"/>
        <v>0</v>
      </c>
      <c r="R9" s="30">
        <f t="shared" si="0"/>
        <v>7159320</v>
      </c>
      <c r="S9" s="31">
        <f t="shared" si="2"/>
        <v>1</v>
      </c>
    </row>
    <row r="10" spans="1:19" ht="20">
      <c r="A10" s="34"/>
      <c r="B10" s="24" t="s">
        <v>44</v>
      </c>
      <c r="C10" s="170"/>
      <c r="D10" s="25">
        <v>4.4999999999999998E-2</v>
      </c>
      <c r="E10" s="173"/>
      <c r="F10" s="14">
        <f>$E$2*$C$5*D10</f>
        <v>10738979.999999998</v>
      </c>
      <c r="G10" s="27"/>
      <c r="H10" s="27"/>
      <c r="I10" s="27"/>
      <c r="J10" s="27"/>
      <c r="K10" s="27"/>
      <c r="L10" s="28">
        <v>1</v>
      </c>
      <c r="M10" s="29">
        <f t="shared" si="0"/>
        <v>0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30">
        <f t="shared" si="0"/>
        <v>10738979.999999998</v>
      </c>
      <c r="S10" s="31">
        <f t="shared" si="2"/>
        <v>1</v>
      </c>
    </row>
    <row r="11" spans="1:19" ht="20">
      <c r="A11" s="24" t="s">
        <v>45</v>
      </c>
      <c r="B11" s="35"/>
      <c r="C11" s="170"/>
      <c r="D11" s="25">
        <v>0.05</v>
      </c>
      <c r="E11" s="173"/>
      <c r="F11" s="14">
        <f t="shared" si="1"/>
        <v>11932200</v>
      </c>
      <c r="G11" s="27"/>
      <c r="H11" s="27"/>
      <c r="I11" s="27"/>
      <c r="J11" s="27">
        <v>0.2</v>
      </c>
      <c r="K11" s="27">
        <v>0.8</v>
      </c>
      <c r="L11" s="28"/>
      <c r="M11" s="29">
        <f t="shared" si="0"/>
        <v>0</v>
      </c>
      <c r="N11" s="1">
        <f t="shared" si="0"/>
        <v>0</v>
      </c>
      <c r="O11" s="1">
        <f t="shared" si="0"/>
        <v>0</v>
      </c>
      <c r="P11" s="1">
        <f t="shared" si="0"/>
        <v>2386440</v>
      </c>
      <c r="Q11" s="1">
        <f t="shared" si="0"/>
        <v>9545760</v>
      </c>
      <c r="R11" s="30">
        <f t="shared" si="0"/>
        <v>0</v>
      </c>
      <c r="S11" s="31">
        <f t="shared" si="2"/>
        <v>1</v>
      </c>
    </row>
    <row r="12" spans="1:19" ht="20">
      <c r="A12" s="32" t="s">
        <v>46</v>
      </c>
      <c r="B12" s="24" t="s">
        <v>47</v>
      </c>
      <c r="C12" s="170"/>
      <c r="D12" s="25">
        <v>9.5000000000000001E-2</v>
      </c>
      <c r="E12" s="173"/>
      <c r="F12" s="14">
        <f t="shared" si="1"/>
        <v>22671179.999999996</v>
      </c>
      <c r="G12" s="27"/>
      <c r="H12" s="27"/>
      <c r="I12" s="27"/>
      <c r="J12" s="27"/>
      <c r="K12" s="27"/>
      <c r="L12" s="28">
        <v>1</v>
      </c>
      <c r="M12" s="29">
        <f t="shared" si="0"/>
        <v>0</v>
      </c>
      <c r="N12" s="1">
        <f t="shared" si="0"/>
        <v>0</v>
      </c>
      <c r="O12" s="1">
        <f t="shared" si="0"/>
        <v>0</v>
      </c>
      <c r="P12" s="1">
        <f t="shared" si="0"/>
        <v>0</v>
      </c>
      <c r="Q12" s="1">
        <f t="shared" si="0"/>
        <v>0</v>
      </c>
      <c r="R12" s="30">
        <f t="shared" si="0"/>
        <v>22671179.999999996</v>
      </c>
      <c r="S12" s="31">
        <f t="shared" si="2"/>
        <v>1</v>
      </c>
    </row>
    <row r="13" spans="1:19" ht="20">
      <c r="A13" s="34"/>
      <c r="B13" s="24" t="s">
        <v>48</v>
      </c>
      <c r="C13" s="170"/>
      <c r="D13" s="25">
        <v>0.05</v>
      </c>
      <c r="E13" s="173"/>
      <c r="F13" s="14">
        <f t="shared" si="1"/>
        <v>11932200</v>
      </c>
      <c r="G13" s="27"/>
      <c r="H13" s="27"/>
      <c r="I13" s="27"/>
      <c r="J13" s="27"/>
      <c r="K13" s="27"/>
      <c r="L13" s="28">
        <v>1</v>
      </c>
      <c r="M13" s="29">
        <f t="shared" si="0"/>
        <v>0</v>
      </c>
      <c r="N13" s="1">
        <f t="shared" si="0"/>
        <v>0</v>
      </c>
      <c r="O13" s="1">
        <f t="shared" si="0"/>
        <v>0</v>
      </c>
      <c r="P13" s="1">
        <f t="shared" si="0"/>
        <v>0</v>
      </c>
      <c r="Q13" s="1">
        <f t="shared" si="0"/>
        <v>0</v>
      </c>
      <c r="R13" s="30">
        <f t="shared" si="0"/>
        <v>11932200</v>
      </c>
      <c r="S13" s="31">
        <f t="shared" si="2"/>
        <v>1</v>
      </c>
    </row>
    <row r="14" spans="1:19" ht="20">
      <c r="A14" s="24" t="s">
        <v>49</v>
      </c>
      <c r="B14" s="24"/>
      <c r="C14" s="170"/>
      <c r="D14" s="25">
        <v>9.5000000000000001E-2</v>
      </c>
      <c r="E14" s="173"/>
      <c r="F14" s="14">
        <f t="shared" si="1"/>
        <v>22671179.999999996</v>
      </c>
      <c r="G14" s="27"/>
      <c r="H14" s="27"/>
      <c r="I14" s="27"/>
      <c r="J14" s="27">
        <v>0.25</v>
      </c>
      <c r="K14" s="27">
        <v>0.75</v>
      </c>
      <c r="L14" s="28"/>
      <c r="M14" s="29">
        <f t="shared" si="0"/>
        <v>0</v>
      </c>
      <c r="N14" s="1">
        <f t="shared" si="0"/>
        <v>0</v>
      </c>
      <c r="O14" s="1">
        <f t="shared" si="0"/>
        <v>0</v>
      </c>
      <c r="P14" s="1">
        <f t="shared" si="0"/>
        <v>5667794.9999999991</v>
      </c>
      <c r="Q14" s="1">
        <f t="shared" si="0"/>
        <v>17003384.999999996</v>
      </c>
      <c r="R14" s="30">
        <f t="shared" si="0"/>
        <v>0</v>
      </c>
      <c r="S14" s="31">
        <f t="shared" si="2"/>
        <v>1</v>
      </c>
    </row>
    <row r="15" spans="1:19" ht="20">
      <c r="A15" s="24" t="s">
        <v>50</v>
      </c>
      <c r="B15" s="24"/>
      <c r="C15" s="170"/>
      <c r="D15" s="25">
        <v>1.4999999999999999E-2</v>
      </c>
      <c r="E15" s="173"/>
      <c r="F15" s="14">
        <f t="shared" si="1"/>
        <v>3579659.9999999995</v>
      </c>
      <c r="G15" s="27"/>
      <c r="H15" s="27"/>
      <c r="I15" s="27"/>
      <c r="J15" s="27"/>
      <c r="K15" s="27">
        <v>1</v>
      </c>
      <c r="L15" s="28"/>
      <c r="M15" s="29">
        <f t="shared" si="0"/>
        <v>0</v>
      </c>
      <c r="N15" s="1">
        <f t="shared" si="0"/>
        <v>0</v>
      </c>
      <c r="O15" s="1">
        <f t="shared" si="0"/>
        <v>0</v>
      </c>
      <c r="P15" s="1">
        <f t="shared" si="0"/>
        <v>0</v>
      </c>
      <c r="Q15" s="1">
        <f t="shared" si="0"/>
        <v>3579659.9999999995</v>
      </c>
      <c r="R15" s="30">
        <f t="shared" si="0"/>
        <v>0</v>
      </c>
      <c r="S15" s="31">
        <f t="shared" si="2"/>
        <v>1</v>
      </c>
    </row>
    <row r="16" spans="1:19" ht="60">
      <c r="A16" s="32" t="s">
        <v>51</v>
      </c>
      <c r="B16" s="24" t="s">
        <v>52</v>
      </c>
      <c r="C16" s="170"/>
      <c r="D16" s="25">
        <v>0.17</v>
      </c>
      <c r="E16" s="173"/>
      <c r="F16" s="14">
        <f t="shared" si="1"/>
        <v>40569480</v>
      </c>
      <c r="G16" s="27"/>
      <c r="H16" s="27"/>
      <c r="I16" s="27">
        <v>1</v>
      </c>
      <c r="J16" s="27"/>
      <c r="K16" s="27"/>
      <c r="L16" s="28"/>
      <c r="M16" s="29">
        <f t="shared" si="0"/>
        <v>0</v>
      </c>
      <c r="N16" s="1">
        <f t="shared" si="0"/>
        <v>0</v>
      </c>
      <c r="O16" s="1">
        <f t="shared" si="0"/>
        <v>40569480</v>
      </c>
      <c r="P16" s="1">
        <f>$F16*J16</f>
        <v>0</v>
      </c>
      <c r="Q16" s="1">
        <f t="shared" si="0"/>
        <v>0</v>
      </c>
      <c r="R16" s="30">
        <f t="shared" si="0"/>
        <v>0</v>
      </c>
      <c r="S16" s="31">
        <f t="shared" si="2"/>
        <v>1</v>
      </c>
    </row>
    <row r="17" spans="1:19" ht="20">
      <c r="A17" s="34"/>
      <c r="B17" s="24" t="s">
        <v>53</v>
      </c>
      <c r="C17" s="170"/>
      <c r="D17" s="25">
        <v>7.4999999999999997E-2</v>
      </c>
      <c r="E17" s="173"/>
      <c r="F17" s="14">
        <f t="shared" si="1"/>
        <v>17898299.999999996</v>
      </c>
      <c r="G17" s="36">
        <v>0.99</v>
      </c>
      <c r="H17" s="36"/>
      <c r="I17" s="36"/>
      <c r="J17" s="36"/>
      <c r="K17" s="36"/>
      <c r="L17" s="37">
        <v>0.01</v>
      </c>
      <c r="M17" s="29">
        <f t="shared" si="0"/>
        <v>17719316.999999996</v>
      </c>
      <c r="N17" s="1">
        <f t="shared" si="0"/>
        <v>0</v>
      </c>
      <c r="O17" s="1">
        <f t="shared" si="0"/>
        <v>0</v>
      </c>
      <c r="P17" s="1">
        <f t="shared" si="0"/>
        <v>0</v>
      </c>
      <c r="Q17" s="1">
        <f t="shared" si="0"/>
        <v>0</v>
      </c>
      <c r="R17" s="30">
        <f t="shared" si="0"/>
        <v>178982.99999999997</v>
      </c>
      <c r="S17" s="31">
        <f t="shared" si="2"/>
        <v>1</v>
      </c>
    </row>
    <row r="18" spans="1:19" ht="20">
      <c r="A18" s="24" t="s">
        <v>54</v>
      </c>
      <c r="B18" s="24"/>
      <c r="C18" s="170"/>
      <c r="D18" s="25">
        <v>0.05</v>
      </c>
      <c r="E18" s="173"/>
      <c r="F18" s="14">
        <f>$E$2*$C$5*D18</f>
        <v>11932200</v>
      </c>
      <c r="G18" s="27"/>
      <c r="H18" s="27"/>
      <c r="I18" s="27"/>
      <c r="J18" s="27"/>
      <c r="K18" s="27"/>
      <c r="L18" s="28">
        <v>1</v>
      </c>
      <c r="M18" s="29">
        <f t="shared" si="0"/>
        <v>0</v>
      </c>
      <c r="N18" s="1">
        <f t="shared" si="0"/>
        <v>0</v>
      </c>
      <c r="O18" s="1">
        <f t="shared" si="0"/>
        <v>0</v>
      </c>
      <c r="P18" s="1">
        <f t="shared" si="0"/>
        <v>0</v>
      </c>
      <c r="Q18" s="1">
        <f t="shared" si="0"/>
        <v>0</v>
      </c>
      <c r="R18" s="30">
        <f t="shared" si="0"/>
        <v>11932200</v>
      </c>
      <c r="S18" s="31">
        <f t="shared" si="2"/>
        <v>1</v>
      </c>
    </row>
    <row r="19" spans="1:19" ht="20">
      <c r="A19" s="38" t="s">
        <v>55</v>
      </c>
      <c r="B19" s="38"/>
      <c r="C19" s="171"/>
      <c r="D19" s="39"/>
      <c r="E19" s="173"/>
      <c r="F19" s="39"/>
      <c r="G19" s="40"/>
      <c r="H19" s="40"/>
      <c r="I19" s="40"/>
      <c r="J19" s="40"/>
      <c r="K19" s="40"/>
      <c r="L19" s="41"/>
      <c r="M19" s="42"/>
      <c r="N19" s="10"/>
      <c r="O19" s="10"/>
      <c r="P19" s="10"/>
      <c r="Q19" s="10"/>
      <c r="R19" s="43"/>
      <c r="S19" s="44"/>
    </row>
    <row r="20" spans="1:19" ht="20">
      <c r="A20" s="24" t="s">
        <v>56</v>
      </c>
      <c r="B20" s="24"/>
      <c r="C20" s="45">
        <f>3500000/250000000</f>
        <v>1.4E-2</v>
      </c>
      <c r="D20" s="36">
        <v>1</v>
      </c>
      <c r="E20" s="26">
        <f>$E$2*C20</f>
        <v>4772880</v>
      </c>
      <c r="F20" s="14">
        <f>$E$2*$C$20*D20</f>
        <v>4772880</v>
      </c>
      <c r="G20" s="36"/>
      <c r="H20" s="36"/>
      <c r="I20" s="36"/>
      <c r="J20" s="36"/>
      <c r="K20" s="36"/>
      <c r="L20" s="37">
        <v>1</v>
      </c>
      <c r="M20" s="29">
        <f>$F20*G20</f>
        <v>0</v>
      </c>
      <c r="N20" s="6">
        <f t="shared" ref="N20:R23" si="3">$F20*H20</f>
        <v>0</v>
      </c>
      <c r="O20" s="6">
        <f t="shared" si="3"/>
        <v>0</v>
      </c>
      <c r="P20" s="6">
        <f t="shared" si="3"/>
        <v>0</v>
      </c>
      <c r="Q20" s="6">
        <f t="shared" si="3"/>
        <v>0</v>
      </c>
      <c r="R20" s="46">
        <f t="shared" si="3"/>
        <v>4772880</v>
      </c>
      <c r="S20" s="44"/>
    </row>
    <row r="21" spans="1:19" ht="20">
      <c r="A21" s="24" t="s">
        <v>57</v>
      </c>
      <c r="B21" s="24"/>
      <c r="C21" s="47">
        <f>(1-C20-C5)/2</f>
        <v>0.14300000000000002</v>
      </c>
      <c r="D21" s="48">
        <v>1</v>
      </c>
      <c r="E21" s="26">
        <f>$E$2*C21</f>
        <v>48751560.000000007</v>
      </c>
      <c r="F21" s="14">
        <f>$E$2*$C$21*D21</f>
        <v>48751560.000000007</v>
      </c>
      <c r="G21" s="49">
        <v>0.4</v>
      </c>
      <c r="H21" s="49">
        <v>0.1</v>
      </c>
      <c r="I21" s="49">
        <v>0.1</v>
      </c>
      <c r="J21" s="49">
        <v>0.1</v>
      </c>
      <c r="K21" s="49">
        <v>0.1</v>
      </c>
      <c r="L21" s="50">
        <v>0.2</v>
      </c>
      <c r="M21" s="29">
        <f>$F21*G21</f>
        <v>19500624.000000004</v>
      </c>
      <c r="N21" s="1">
        <f t="shared" si="3"/>
        <v>4875156.0000000009</v>
      </c>
      <c r="O21" s="1">
        <f t="shared" si="3"/>
        <v>4875156.0000000009</v>
      </c>
      <c r="P21" s="1">
        <f t="shared" si="3"/>
        <v>4875156.0000000009</v>
      </c>
      <c r="Q21" s="1">
        <f t="shared" si="3"/>
        <v>4875156.0000000009</v>
      </c>
      <c r="R21" s="30">
        <f t="shared" si="3"/>
        <v>9750312.0000000019</v>
      </c>
      <c r="S21" s="31">
        <f t="shared" si="2"/>
        <v>1</v>
      </c>
    </row>
    <row r="22" spans="1:19" ht="20">
      <c r="A22" s="51" t="s">
        <v>58</v>
      </c>
      <c r="B22" s="52" t="s">
        <v>59</v>
      </c>
      <c r="C22" s="174">
        <v>0.14300000000000002</v>
      </c>
      <c r="D22" s="48">
        <v>0.5</v>
      </c>
      <c r="E22" s="176">
        <f>E2*C22</f>
        <v>48751560.000000007</v>
      </c>
      <c r="F22" s="14">
        <f>$E$2*$C$22*D22</f>
        <v>24375780.000000004</v>
      </c>
      <c r="G22" s="27"/>
      <c r="H22" s="27"/>
      <c r="I22" s="27">
        <v>0.67</v>
      </c>
      <c r="J22" s="27"/>
      <c r="K22" s="27"/>
      <c r="L22" s="27">
        <v>0.33</v>
      </c>
      <c r="M22" s="29">
        <f>$F22*G22</f>
        <v>0</v>
      </c>
      <c r="N22" s="1">
        <f t="shared" si="3"/>
        <v>0</v>
      </c>
      <c r="O22" s="1">
        <f t="shared" si="3"/>
        <v>16331772.600000003</v>
      </c>
      <c r="P22" s="1">
        <f t="shared" si="3"/>
        <v>0</v>
      </c>
      <c r="Q22" s="1">
        <f t="shared" si="3"/>
        <v>0</v>
      </c>
      <c r="R22" s="30">
        <f t="shared" si="3"/>
        <v>8044007.4000000013</v>
      </c>
      <c r="S22" s="31">
        <f t="shared" si="2"/>
        <v>1</v>
      </c>
    </row>
    <row r="23" spans="1:19" ht="20.5" thickBot="1">
      <c r="A23" s="53"/>
      <c r="B23" s="51" t="s">
        <v>60</v>
      </c>
      <c r="C23" s="175"/>
      <c r="D23" s="54">
        <v>0.5</v>
      </c>
      <c r="E23" s="177"/>
      <c r="F23" s="14">
        <f>$E$2*$C$22*D23</f>
        <v>24375780.000000004</v>
      </c>
      <c r="G23" s="55">
        <v>1</v>
      </c>
      <c r="H23" s="55"/>
      <c r="I23" s="55"/>
      <c r="J23" s="55"/>
      <c r="K23" s="55"/>
      <c r="L23" s="56"/>
      <c r="M23" s="57">
        <f>$F23*G23</f>
        <v>24375780.000000004</v>
      </c>
      <c r="N23" s="58">
        <f t="shared" si="3"/>
        <v>0</v>
      </c>
      <c r="O23" s="58">
        <f t="shared" si="3"/>
        <v>0</v>
      </c>
      <c r="P23" s="58">
        <f t="shared" si="3"/>
        <v>0</v>
      </c>
      <c r="Q23" s="58">
        <f t="shared" si="3"/>
        <v>0</v>
      </c>
      <c r="R23" s="59">
        <f t="shared" si="3"/>
        <v>0</v>
      </c>
      <c r="S23" s="60">
        <f t="shared" si="2"/>
        <v>1</v>
      </c>
    </row>
    <row r="24" spans="1:19" ht="19" thickTop="1" thickBot="1">
      <c r="A24" s="61"/>
      <c r="B24" s="61"/>
      <c r="C24" s="61"/>
      <c r="D24" s="62"/>
      <c r="E24" s="62"/>
      <c r="F24" s="63">
        <f>SUM(F5:F23)</f>
        <v>340920000</v>
      </c>
      <c r="G24" s="61"/>
      <c r="H24" s="61"/>
      <c r="I24" s="61"/>
      <c r="J24" s="61"/>
      <c r="K24" s="61"/>
      <c r="L24" s="64" t="s">
        <v>61</v>
      </c>
      <c r="M24" s="65">
        <f t="shared" ref="M24:R24" si="4">SUM(M5:M23)</f>
        <v>62729280</v>
      </c>
      <c r="N24" s="66">
        <f t="shared" si="4"/>
        <v>33989724</v>
      </c>
      <c r="O24" s="66">
        <f t="shared" si="4"/>
        <v>62015052.600000001</v>
      </c>
      <c r="P24" s="66">
        <f t="shared" si="4"/>
        <v>33930063</v>
      </c>
      <c r="Q24" s="66">
        <f t="shared" si="4"/>
        <v>35003961</v>
      </c>
      <c r="R24" s="67">
        <f t="shared" si="4"/>
        <v>113251919.39999999</v>
      </c>
      <c r="S24" s="68">
        <f>SUM(M24:R24)</f>
        <v>340920000</v>
      </c>
    </row>
    <row r="25" spans="1:19">
      <c r="M25" s="69">
        <f>M24/$E$2</f>
        <v>0.184</v>
      </c>
      <c r="N25" s="69">
        <f t="shared" ref="N25:R25" si="5">N24/$E$2</f>
        <v>9.9699999999999997E-2</v>
      </c>
      <c r="O25" s="69">
        <f t="shared" si="5"/>
        <v>0.18190500000000001</v>
      </c>
      <c r="P25" s="69">
        <f t="shared" si="5"/>
        <v>9.9525000000000002E-2</v>
      </c>
      <c r="Q25" s="69">
        <f t="shared" si="5"/>
        <v>0.102675</v>
      </c>
      <c r="R25" s="69">
        <f t="shared" si="5"/>
        <v>0.33219499999999996</v>
      </c>
      <c r="S25" s="70"/>
    </row>
    <row r="28" spans="1:19" ht="32.5">
      <c r="A28" s="75" t="s">
        <v>63</v>
      </c>
      <c r="D28" t="s">
        <v>6</v>
      </c>
      <c r="E28" s="2">
        <v>340920000</v>
      </c>
      <c r="F28" t="s">
        <v>32</v>
      </c>
      <c r="S28" s="19">
        <v>45716</v>
      </c>
    </row>
    <row r="29" spans="1:19" ht="18.75" customHeight="1">
      <c r="A29" s="163" t="s">
        <v>13</v>
      </c>
      <c r="B29" s="164" t="s">
        <v>33</v>
      </c>
      <c r="C29" s="164" t="s">
        <v>34</v>
      </c>
      <c r="D29" s="164"/>
      <c r="E29" s="164" t="s">
        <v>35</v>
      </c>
      <c r="F29" s="164"/>
      <c r="G29" s="165" t="s">
        <v>36</v>
      </c>
      <c r="H29" s="166"/>
      <c r="I29" s="166"/>
      <c r="J29" s="166"/>
      <c r="K29" s="166"/>
      <c r="L29" s="167"/>
      <c r="M29" s="178" t="s">
        <v>37</v>
      </c>
      <c r="N29" s="179"/>
      <c r="O29" s="179"/>
      <c r="P29" s="179"/>
      <c r="Q29" s="179"/>
      <c r="R29" s="180"/>
      <c r="S29" s="168" t="s">
        <v>15</v>
      </c>
    </row>
    <row r="30" spans="1:19" ht="20">
      <c r="A30" s="163"/>
      <c r="B30" s="164"/>
      <c r="C30" s="164"/>
      <c r="D30" s="164"/>
      <c r="E30" s="164"/>
      <c r="F30" s="164"/>
      <c r="G30" s="21" t="s">
        <v>0</v>
      </c>
      <c r="H30" s="20" t="s">
        <v>1</v>
      </c>
      <c r="I30" s="20" t="s">
        <v>2</v>
      </c>
      <c r="J30" s="20" t="s">
        <v>3</v>
      </c>
      <c r="K30" s="20" t="s">
        <v>4</v>
      </c>
      <c r="L30" s="22" t="s">
        <v>5</v>
      </c>
      <c r="M30" s="23" t="s">
        <v>0</v>
      </c>
      <c r="N30" s="23" t="s">
        <v>1</v>
      </c>
      <c r="O30" s="23" t="s">
        <v>2</v>
      </c>
      <c r="P30" s="23" t="s">
        <v>3</v>
      </c>
      <c r="Q30" s="23" t="s">
        <v>4</v>
      </c>
      <c r="R30" s="23" t="s">
        <v>5</v>
      </c>
      <c r="S30" s="168"/>
    </row>
    <row r="31" spans="1:19" ht="20">
      <c r="A31" s="24" t="s">
        <v>38</v>
      </c>
      <c r="B31" s="24"/>
      <c r="C31" s="169">
        <v>0.7</v>
      </c>
      <c r="D31" s="25">
        <v>9.5000000000000001E-2</v>
      </c>
      <c r="E31" s="172">
        <f>E28-E48</f>
        <v>292168440</v>
      </c>
      <c r="F31" s="14">
        <f>$E$28*$C$31*D31</f>
        <v>22671179.999999996</v>
      </c>
      <c r="G31" s="71">
        <v>0.1</v>
      </c>
      <c r="H31" s="27"/>
      <c r="I31" s="27"/>
      <c r="J31" s="27"/>
      <c r="K31" s="27"/>
      <c r="L31" s="72">
        <v>0.9</v>
      </c>
      <c r="M31" s="29">
        <f t="shared" ref="M31:R44" si="6">$F31*G31</f>
        <v>2267117.9999999995</v>
      </c>
      <c r="N31" s="1">
        <f t="shared" si="6"/>
        <v>0</v>
      </c>
      <c r="O31" s="1">
        <f t="shared" si="6"/>
        <v>0</v>
      </c>
      <c r="P31" s="1">
        <f t="shared" si="6"/>
        <v>0</v>
      </c>
      <c r="Q31" s="1">
        <f t="shared" si="6"/>
        <v>0</v>
      </c>
      <c r="R31" s="30">
        <f t="shared" si="6"/>
        <v>20404061.999999996</v>
      </c>
      <c r="S31" s="31">
        <f>SUM(G31:L31)</f>
        <v>1</v>
      </c>
    </row>
    <row r="32" spans="1:19" ht="20">
      <c r="A32" s="24" t="s">
        <v>39</v>
      </c>
      <c r="B32" s="24"/>
      <c r="C32" s="170"/>
      <c r="D32" s="25">
        <v>0.02</v>
      </c>
      <c r="E32" s="173"/>
      <c r="F32" s="14">
        <f t="shared" ref="F32:F45" si="7">$E$28*$C$31*D32</f>
        <v>4772879.9999999991</v>
      </c>
      <c r="G32" s="27"/>
      <c r="H32" s="27"/>
      <c r="I32" s="27">
        <v>0.05</v>
      </c>
      <c r="J32" s="27"/>
      <c r="K32" s="27"/>
      <c r="L32" s="27">
        <v>0.95</v>
      </c>
      <c r="M32" s="29">
        <f t="shared" si="6"/>
        <v>0</v>
      </c>
      <c r="N32" s="1">
        <f t="shared" si="6"/>
        <v>0</v>
      </c>
      <c r="O32" s="1">
        <f t="shared" si="6"/>
        <v>238643.99999999997</v>
      </c>
      <c r="P32" s="1">
        <f t="shared" si="6"/>
        <v>0</v>
      </c>
      <c r="Q32" s="1">
        <f t="shared" si="6"/>
        <v>0</v>
      </c>
      <c r="R32" s="30">
        <f t="shared" si="6"/>
        <v>4534235.9999999991</v>
      </c>
      <c r="S32" s="31">
        <f t="shared" ref="S32:S49" si="8">SUM(G32:L32)</f>
        <v>1</v>
      </c>
    </row>
    <row r="33" spans="1:19" ht="20">
      <c r="A33" s="32" t="s">
        <v>40</v>
      </c>
      <c r="B33" s="24" t="s">
        <v>41</v>
      </c>
      <c r="C33" s="170"/>
      <c r="D33" s="25">
        <v>0.08</v>
      </c>
      <c r="E33" s="173"/>
      <c r="F33" s="14">
        <f t="shared" si="7"/>
        <v>19091519.999999996</v>
      </c>
      <c r="G33" s="27"/>
      <c r="H33" s="71">
        <v>0.9</v>
      </c>
      <c r="I33" s="27"/>
      <c r="J33" s="27"/>
      <c r="K33" s="27"/>
      <c r="L33" s="72">
        <v>0.1</v>
      </c>
      <c r="M33" s="29">
        <f t="shared" si="6"/>
        <v>0</v>
      </c>
      <c r="N33" s="1">
        <f t="shared" si="6"/>
        <v>17182367.999999996</v>
      </c>
      <c r="O33" s="1">
        <f t="shared" si="6"/>
        <v>0</v>
      </c>
      <c r="P33" s="1">
        <f t="shared" si="6"/>
        <v>0</v>
      </c>
      <c r="Q33" s="1">
        <f t="shared" si="6"/>
        <v>0</v>
      </c>
      <c r="R33" s="30">
        <f t="shared" si="6"/>
        <v>1909151.9999999998</v>
      </c>
      <c r="S33" s="31">
        <f t="shared" si="8"/>
        <v>1</v>
      </c>
    </row>
    <row r="34" spans="1:19" ht="20">
      <c r="A34" s="33"/>
      <c r="B34" s="24" t="s">
        <v>42</v>
      </c>
      <c r="C34" s="170"/>
      <c r="D34" s="25">
        <v>0.11</v>
      </c>
      <c r="E34" s="173"/>
      <c r="F34" s="14">
        <f t="shared" si="7"/>
        <v>26250839.999999996</v>
      </c>
      <c r="G34" s="27"/>
      <c r="H34" s="71">
        <v>0.15</v>
      </c>
      <c r="I34" s="27"/>
      <c r="J34" s="71">
        <v>0.75</v>
      </c>
      <c r="K34" s="27"/>
      <c r="L34" s="72">
        <v>0.1</v>
      </c>
      <c r="M34" s="29">
        <f t="shared" si="6"/>
        <v>0</v>
      </c>
      <c r="N34" s="1">
        <f t="shared" si="6"/>
        <v>3937625.9999999991</v>
      </c>
      <c r="O34" s="1">
        <f t="shared" si="6"/>
        <v>0</v>
      </c>
      <c r="P34" s="1">
        <f t="shared" si="6"/>
        <v>19688129.999999996</v>
      </c>
      <c r="Q34" s="1">
        <f t="shared" si="6"/>
        <v>0</v>
      </c>
      <c r="R34" s="30">
        <f t="shared" si="6"/>
        <v>2625084</v>
      </c>
      <c r="S34" s="31">
        <f t="shared" si="8"/>
        <v>1</v>
      </c>
    </row>
    <row r="35" spans="1:19" ht="20">
      <c r="A35" s="33"/>
      <c r="B35" s="24" t="s">
        <v>43</v>
      </c>
      <c r="C35" s="170"/>
      <c r="D35" s="25">
        <v>0.05</v>
      </c>
      <c r="E35" s="173"/>
      <c r="F35" s="14">
        <f t="shared" si="7"/>
        <v>11932200</v>
      </c>
      <c r="G35" s="27"/>
      <c r="H35" s="27">
        <v>0.4</v>
      </c>
      <c r="I35" s="27"/>
      <c r="J35" s="27"/>
      <c r="K35" s="27"/>
      <c r="L35" s="28">
        <v>0.6</v>
      </c>
      <c r="M35" s="29">
        <f t="shared" si="6"/>
        <v>0</v>
      </c>
      <c r="N35" s="1">
        <f t="shared" si="6"/>
        <v>4772880</v>
      </c>
      <c r="O35" s="1">
        <f t="shared" si="6"/>
        <v>0</v>
      </c>
      <c r="P35" s="1">
        <f t="shared" si="6"/>
        <v>0</v>
      </c>
      <c r="Q35" s="1">
        <f t="shared" si="6"/>
        <v>0</v>
      </c>
      <c r="R35" s="30">
        <f t="shared" si="6"/>
        <v>7159320</v>
      </c>
      <c r="S35" s="31">
        <f t="shared" si="8"/>
        <v>1</v>
      </c>
    </row>
    <row r="36" spans="1:19" ht="20">
      <c r="A36" s="34"/>
      <c r="B36" s="24" t="s">
        <v>44</v>
      </c>
      <c r="C36" s="170"/>
      <c r="D36" s="25">
        <v>4.4999999999999998E-2</v>
      </c>
      <c r="E36" s="173"/>
      <c r="F36" s="14">
        <f t="shared" si="7"/>
        <v>10738979.999999998</v>
      </c>
      <c r="G36" s="27"/>
      <c r="H36" s="27"/>
      <c r="I36" s="27"/>
      <c r="J36" s="27"/>
      <c r="K36" s="27"/>
      <c r="L36" s="28">
        <v>1</v>
      </c>
      <c r="M36" s="29">
        <f t="shared" si="6"/>
        <v>0</v>
      </c>
      <c r="N36" s="1">
        <f t="shared" si="6"/>
        <v>0</v>
      </c>
      <c r="O36" s="1">
        <f t="shared" si="6"/>
        <v>0</v>
      </c>
      <c r="P36" s="1">
        <f t="shared" si="6"/>
        <v>0</v>
      </c>
      <c r="Q36" s="1">
        <f t="shared" si="6"/>
        <v>0</v>
      </c>
      <c r="R36" s="30">
        <f t="shared" si="6"/>
        <v>10738979.999999998</v>
      </c>
      <c r="S36" s="31">
        <f t="shared" si="8"/>
        <v>1</v>
      </c>
    </row>
    <row r="37" spans="1:19" ht="20">
      <c r="A37" s="24" t="s">
        <v>45</v>
      </c>
      <c r="B37" s="35"/>
      <c r="C37" s="170"/>
      <c r="D37" s="25">
        <v>0.05</v>
      </c>
      <c r="E37" s="173"/>
      <c r="F37" s="14">
        <f t="shared" si="7"/>
        <v>11932200</v>
      </c>
      <c r="G37" s="27"/>
      <c r="H37" s="27"/>
      <c r="I37" s="27"/>
      <c r="J37" s="27">
        <v>0.2</v>
      </c>
      <c r="K37" s="27">
        <v>0.8</v>
      </c>
      <c r="L37" s="28"/>
      <c r="M37" s="29">
        <f t="shared" si="6"/>
        <v>0</v>
      </c>
      <c r="N37" s="1">
        <f t="shared" si="6"/>
        <v>0</v>
      </c>
      <c r="O37" s="1">
        <f t="shared" si="6"/>
        <v>0</v>
      </c>
      <c r="P37" s="1">
        <f t="shared" si="6"/>
        <v>2386440</v>
      </c>
      <c r="Q37" s="1">
        <f t="shared" si="6"/>
        <v>9545760</v>
      </c>
      <c r="R37" s="30">
        <f t="shared" si="6"/>
        <v>0</v>
      </c>
      <c r="S37" s="31">
        <f t="shared" si="8"/>
        <v>1</v>
      </c>
    </row>
    <row r="38" spans="1:19" ht="20">
      <c r="A38" s="32" t="s">
        <v>46</v>
      </c>
      <c r="B38" s="24" t="s">
        <v>47</v>
      </c>
      <c r="C38" s="170"/>
      <c r="D38" s="25">
        <v>9.5000000000000001E-2</v>
      </c>
      <c r="E38" s="173"/>
      <c r="F38" s="14">
        <f t="shared" si="7"/>
        <v>22671179.999999996</v>
      </c>
      <c r="G38" s="27"/>
      <c r="H38" s="27"/>
      <c r="I38" s="27"/>
      <c r="J38" s="27"/>
      <c r="K38" s="27"/>
      <c r="L38" s="28">
        <v>1</v>
      </c>
      <c r="M38" s="29">
        <f t="shared" si="6"/>
        <v>0</v>
      </c>
      <c r="N38" s="1">
        <f t="shared" si="6"/>
        <v>0</v>
      </c>
      <c r="O38" s="1">
        <f t="shared" si="6"/>
        <v>0</v>
      </c>
      <c r="P38" s="1">
        <f t="shared" si="6"/>
        <v>0</v>
      </c>
      <c r="Q38" s="1">
        <f t="shared" si="6"/>
        <v>0</v>
      </c>
      <c r="R38" s="30">
        <f t="shared" si="6"/>
        <v>22671179.999999996</v>
      </c>
      <c r="S38" s="31">
        <f t="shared" si="8"/>
        <v>1</v>
      </c>
    </row>
    <row r="39" spans="1:19" ht="20">
      <c r="A39" s="34"/>
      <c r="B39" s="24" t="s">
        <v>48</v>
      </c>
      <c r="C39" s="170"/>
      <c r="D39" s="25">
        <v>0.05</v>
      </c>
      <c r="E39" s="173"/>
      <c r="F39" s="14">
        <f t="shared" si="7"/>
        <v>11932200</v>
      </c>
      <c r="G39" s="27"/>
      <c r="H39" s="27"/>
      <c r="I39" s="27"/>
      <c r="J39" s="27"/>
      <c r="K39" s="27"/>
      <c r="L39" s="28">
        <v>1</v>
      </c>
      <c r="M39" s="29">
        <f t="shared" si="6"/>
        <v>0</v>
      </c>
      <c r="N39" s="1">
        <f t="shared" si="6"/>
        <v>0</v>
      </c>
      <c r="O39" s="1">
        <f t="shared" si="6"/>
        <v>0</v>
      </c>
      <c r="P39" s="1">
        <f t="shared" si="6"/>
        <v>0</v>
      </c>
      <c r="Q39" s="1">
        <f t="shared" si="6"/>
        <v>0</v>
      </c>
      <c r="R39" s="30">
        <f t="shared" si="6"/>
        <v>11932200</v>
      </c>
      <c r="S39" s="31">
        <f t="shared" si="8"/>
        <v>1</v>
      </c>
    </row>
    <row r="40" spans="1:19" ht="20">
      <c r="A40" s="24" t="s">
        <v>49</v>
      </c>
      <c r="B40" s="24"/>
      <c r="C40" s="170"/>
      <c r="D40" s="25">
        <v>9.5000000000000001E-2</v>
      </c>
      <c r="E40" s="173"/>
      <c r="F40" s="14">
        <f t="shared" si="7"/>
        <v>22671179.999999996</v>
      </c>
      <c r="G40" s="27"/>
      <c r="H40" s="27"/>
      <c r="I40" s="27"/>
      <c r="J40" s="27">
        <v>0.25</v>
      </c>
      <c r="K40" s="27">
        <v>0.75</v>
      </c>
      <c r="L40" s="28"/>
      <c r="M40" s="29">
        <f t="shared" si="6"/>
        <v>0</v>
      </c>
      <c r="N40" s="1">
        <f t="shared" si="6"/>
        <v>0</v>
      </c>
      <c r="O40" s="1">
        <f t="shared" si="6"/>
        <v>0</v>
      </c>
      <c r="P40" s="1">
        <f t="shared" si="6"/>
        <v>5667794.9999999991</v>
      </c>
      <c r="Q40" s="1">
        <f t="shared" si="6"/>
        <v>17003384.999999996</v>
      </c>
      <c r="R40" s="30">
        <f t="shared" si="6"/>
        <v>0</v>
      </c>
      <c r="S40" s="31">
        <f t="shared" si="8"/>
        <v>1</v>
      </c>
    </row>
    <row r="41" spans="1:19" ht="20">
      <c r="A41" s="24" t="s">
        <v>50</v>
      </c>
      <c r="B41" s="24"/>
      <c r="C41" s="170"/>
      <c r="D41" s="25">
        <v>1.4999999999999999E-2</v>
      </c>
      <c r="E41" s="173"/>
      <c r="F41" s="14">
        <f t="shared" si="7"/>
        <v>3579659.9999999995</v>
      </c>
      <c r="G41" s="27"/>
      <c r="H41" s="27"/>
      <c r="I41" s="27"/>
      <c r="J41" s="27"/>
      <c r="K41" s="27">
        <v>1</v>
      </c>
      <c r="L41" s="28"/>
      <c r="M41" s="29">
        <f t="shared" si="6"/>
        <v>0</v>
      </c>
      <c r="N41" s="1">
        <f t="shared" si="6"/>
        <v>0</v>
      </c>
      <c r="O41" s="1">
        <f t="shared" si="6"/>
        <v>0</v>
      </c>
      <c r="P41" s="1">
        <f t="shared" si="6"/>
        <v>0</v>
      </c>
      <c r="Q41" s="1">
        <f t="shared" si="6"/>
        <v>3579659.9999999995</v>
      </c>
      <c r="R41" s="30">
        <f t="shared" si="6"/>
        <v>0</v>
      </c>
      <c r="S41" s="31">
        <f t="shared" si="8"/>
        <v>1</v>
      </c>
    </row>
    <row r="42" spans="1:19" ht="60">
      <c r="A42" s="32" t="s">
        <v>51</v>
      </c>
      <c r="B42" s="24" t="s">
        <v>52</v>
      </c>
      <c r="C42" s="170"/>
      <c r="D42" s="25">
        <v>0.17</v>
      </c>
      <c r="E42" s="173"/>
      <c r="F42" s="14">
        <f t="shared" si="7"/>
        <v>40569480</v>
      </c>
      <c r="G42" s="27"/>
      <c r="H42" s="27"/>
      <c r="I42" s="27">
        <v>1</v>
      </c>
      <c r="J42" s="27"/>
      <c r="K42" s="27"/>
      <c r="L42" s="28"/>
      <c r="M42" s="29">
        <f t="shared" si="6"/>
        <v>0</v>
      </c>
      <c r="N42" s="1">
        <f t="shared" si="6"/>
        <v>0</v>
      </c>
      <c r="O42" s="1">
        <f t="shared" si="6"/>
        <v>40569480</v>
      </c>
      <c r="P42" s="1">
        <f t="shared" si="6"/>
        <v>0</v>
      </c>
      <c r="Q42" s="1">
        <f t="shared" si="6"/>
        <v>0</v>
      </c>
      <c r="R42" s="30">
        <f t="shared" si="6"/>
        <v>0</v>
      </c>
      <c r="S42" s="31">
        <f t="shared" si="8"/>
        <v>1</v>
      </c>
    </row>
    <row r="43" spans="1:19" ht="20">
      <c r="A43" s="34"/>
      <c r="B43" s="24" t="s">
        <v>53</v>
      </c>
      <c r="C43" s="170"/>
      <c r="D43" s="25">
        <v>7.4999999999999997E-2</v>
      </c>
      <c r="E43" s="173"/>
      <c r="F43" s="14">
        <f t="shared" si="7"/>
        <v>17898299.999999996</v>
      </c>
      <c r="G43" s="36">
        <v>0.99</v>
      </c>
      <c r="H43" s="36"/>
      <c r="I43" s="36"/>
      <c r="J43" s="36"/>
      <c r="K43" s="36"/>
      <c r="L43" s="37">
        <v>0.01</v>
      </c>
      <c r="M43" s="29">
        <f t="shared" si="6"/>
        <v>17719316.999999996</v>
      </c>
      <c r="N43" s="1">
        <f t="shared" si="6"/>
        <v>0</v>
      </c>
      <c r="O43" s="1">
        <f t="shared" si="6"/>
        <v>0</v>
      </c>
      <c r="P43" s="1">
        <f t="shared" si="6"/>
        <v>0</v>
      </c>
      <c r="Q43" s="1">
        <f t="shared" si="6"/>
        <v>0</v>
      </c>
      <c r="R43" s="30">
        <f t="shared" si="6"/>
        <v>178982.99999999997</v>
      </c>
      <c r="S43" s="31">
        <f t="shared" si="8"/>
        <v>1</v>
      </c>
    </row>
    <row r="44" spans="1:19" ht="20">
      <c r="A44" s="24" t="s">
        <v>54</v>
      </c>
      <c r="B44" s="24"/>
      <c r="C44" s="170"/>
      <c r="D44" s="25">
        <v>0.05</v>
      </c>
      <c r="E44" s="173"/>
      <c r="F44" s="14">
        <f t="shared" si="7"/>
        <v>11932200</v>
      </c>
      <c r="G44" s="27"/>
      <c r="H44" s="27"/>
      <c r="I44" s="27"/>
      <c r="J44" s="27"/>
      <c r="K44" s="27"/>
      <c r="L44" s="28">
        <v>1</v>
      </c>
      <c r="M44" s="29">
        <f t="shared" si="6"/>
        <v>0</v>
      </c>
      <c r="N44" s="1">
        <f t="shared" si="6"/>
        <v>0</v>
      </c>
      <c r="O44" s="1">
        <f t="shared" si="6"/>
        <v>0</v>
      </c>
      <c r="P44" s="1">
        <f t="shared" si="6"/>
        <v>0</v>
      </c>
      <c r="Q44" s="1">
        <f t="shared" si="6"/>
        <v>0</v>
      </c>
      <c r="R44" s="30">
        <f t="shared" si="6"/>
        <v>11932200</v>
      </c>
      <c r="S44" s="31">
        <f t="shared" si="8"/>
        <v>1</v>
      </c>
    </row>
    <row r="45" spans="1:19" ht="20">
      <c r="A45" s="38" t="s">
        <v>55</v>
      </c>
      <c r="B45" s="38"/>
      <c r="C45" s="171"/>
      <c r="D45" s="39"/>
      <c r="E45" s="173"/>
      <c r="F45" s="39">
        <f t="shared" si="7"/>
        <v>0</v>
      </c>
      <c r="G45" s="40"/>
      <c r="H45" s="40"/>
      <c r="I45" s="40"/>
      <c r="J45" s="40"/>
      <c r="K45" s="40"/>
      <c r="L45" s="41"/>
      <c r="M45" s="42"/>
      <c r="N45" s="10"/>
      <c r="O45" s="10"/>
      <c r="P45" s="10"/>
      <c r="Q45" s="10"/>
      <c r="R45" s="43"/>
      <c r="S45" s="44"/>
    </row>
    <row r="46" spans="1:19" ht="20">
      <c r="A46" s="24" t="s">
        <v>56</v>
      </c>
      <c r="B46" s="24"/>
      <c r="C46" s="45">
        <f>3500000/250000000</f>
        <v>1.4E-2</v>
      </c>
      <c r="D46" s="36">
        <v>1</v>
      </c>
      <c r="E46" s="26">
        <f>$E$1*C46</f>
        <v>0</v>
      </c>
      <c r="F46" s="14">
        <f>$E$28*$C$46*D46</f>
        <v>4772880</v>
      </c>
      <c r="G46" s="36"/>
      <c r="H46" s="36"/>
      <c r="I46" s="36"/>
      <c r="J46" s="36"/>
      <c r="K46" s="36"/>
      <c r="L46" s="37">
        <v>1</v>
      </c>
      <c r="M46" s="29">
        <f>$F46*G46</f>
        <v>0</v>
      </c>
      <c r="N46" s="6">
        <f t="shared" ref="N46:R49" si="9">$F46*H46</f>
        <v>0</v>
      </c>
      <c r="O46" s="6">
        <f t="shared" si="9"/>
        <v>0</v>
      </c>
      <c r="P46" s="6">
        <f t="shared" si="9"/>
        <v>0</v>
      </c>
      <c r="Q46" s="6">
        <f t="shared" si="9"/>
        <v>0</v>
      </c>
      <c r="R46" s="46">
        <f t="shared" si="9"/>
        <v>4772880</v>
      </c>
      <c r="S46" s="44"/>
    </row>
    <row r="47" spans="1:19" ht="20">
      <c r="A47" s="24" t="s">
        <v>57</v>
      </c>
      <c r="B47" s="24"/>
      <c r="C47" s="47">
        <f>(1-C46-C31)/2</f>
        <v>0.14300000000000002</v>
      </c>
      <c r="D47" s="48">
        <v>1</v>
      </c>
      <c r="E47" s="26">
        <f>$E$1*C47</f>
        <v>0</v>
      </c>
      <c r="F47" s="14">
        <f>$E$28*$C$47*D47</f>
        <v>48751560.000000007</v>
      </c>
      <c r="G47" s="49">
        <v>0.4</v>
      </c>
      <c r="H47" s="49">
        <v>0.1</v>
      </c>
      <c r="I47" s="49">
        <v>0.1</v>
      </c>
      <c r="J47" s="49">
        <v>0.1</v>
      </c>
      <c r="K47" s="49">
        <v>0.1</v>
      </c>
      <c r="L47" s="50">
        <v>0.2</v>
      </c>
      <c r="M47" s="29">
        <f>$F47*G47</f>
        <v>19500624.000000004</v>
      </c>
      <c r="N47" s="1">
        <f t="shared" si="9"/>
        <v>4875156.0000000009</v>
      </c>
      <c r="O47" s="1">
        <f t="shared" si="9"/>
        <v>4875156.0000000009</v>
      </c>
      <c r="P47" s="1">
        <f t="shared" si="9"/>
        <v>4875156.0000000009</v>
      </c>
      <c r="Q47" s="1">
        <f t="shared" si="9"/>
        <v>4875156.0000000009</v>
      </c>
      <c r="R47" s="30">
        <f t="shared" si="9"/>
        <v>9750312.0000000019</v>
      </c>
      <c r="S47" s="31">
        <f t="shared" si="8"/>
        <v>1</v>
      </c>
    </row>
    <row r="48" spans="1:19" ht="20">
      <c r="A48" s="51" t="s">
        <v>58</v>
      </c>
      <c r="B48" s="52" t="s">
        <v>59</v>
      </c>
      <c r="C48" s="174">
        <v>0.14300000000000002</v>
      </c>
      <c r="D48" s="48">
        <v>0.5</v>
      </c>
      <c r="E48" s="176">
        <f>E28*C48</f>
        <v>48751560.000000007</v>
      </c>
      <c r="F48" s="14">
        <f>$E$28*$C$48*D48</f>
        <v>24375780.000000004</v>
      </c>
      <c r="G48" s="27"/>
      <c r="H48" s="27"/>
      <c r="I48" s="27">
        <v>0.67</v>
      </c>
      <c r="J48" s="27"/>
      <c r="K48" s="27"/>
      <c r="L48" s="27">
        <v>0.33</v>
      </c>
      <c r="M48" s="29">
        <f>$F48*G48</f>
        <v>0</v>
      </c>
      <c r="N48" s="1">
        <f t="shared" si="9"/>
        <v>0</v>
      </c>
      <c r="O48" s="1">
        <f t="shared" si="9"/>
        <v>16331772.600000003</v>
      </c>
      <c r="P48" s="1">
        <f t="shared" si="9"/>
        <v>0</v>
      </c>
      <c r="Q48" s="1">
        <f t="shared" si="9"/>
        <v>0</v>
      </c>
      <c r="R48" s="30">
        <f t="shared" si="9"/>
        <v>8044007.4000000013</v>
      </c>
      <c r="S48" s="31">
        <f t="shared" si="8"/>
        <v>1</v>
      </c>
    </row>
    <row r="49" spans="1:19" ht="20.5" thickBot="1">
      <c r="A49" s="53"/>
      <c r="B49" s="51" t="s">
        <v>60</v>
      </c>
      <c r="C49" s="175"/>
      <c r="D49" s="54">
        <v>0.5</v>
      </c>
      <c r="E49" s="177"/>
      <c r="F49" s="14">
        <f>$E$28*$C$48*D49</f>
        <v>24375780.000000004</v>
      </c>
      <c r="G49" s="55">
        <v>1</v>
      </c>
      <c r="H49" s="55"/>
      <c r="I49" s="55"/>
      <c r="J49" s="55"/>
      <c r="K49" s="55"/>
      <c r="L49" s="56"/>
      <c r="M49" s="57">
        <f>$F49*G49</f>
        <v>24375780.000000004</v>
      </c>
      <c r="N49" s="58">
        <f t="shared" si="9"/>
        <v>0</v>
      </c>
      <c r="O49" s="58">
        <f t="shared" si="9"/>
        <v>0</v>
      </c>
      <c r="P49" s="58">
        <f t="shared" si="9"/>
        <v>0</v>
      </c>
      <c r="Q49" s="58">
        <f t="shared" si="9"/>
        <v>0</v>
      </c>
      <c r="R49" s="59">
        <f t="shared" si="9"/>
        <v>0</v>
      </c>
      <c r="S49" s="60">
        <f t="shared" si="8"/>
        <v>1</v>
      </c>
    </row>
    <row r="50" spans="1:19" ht="19" thickTop="1" thickBot="1">
      <c r="A50" s="61"/>
      <c r="B50" s="61"/>
      <c r="C50" s="61"/>
      <c r="D50" s="62"/>
      <c r="E50" s="62"/>
      <c r="F50" s="63">
        <f>SUM(F31:F49)</f>
        <v>340920000</v>
      </c>
      <c r="G50" s="61"/>
      <c r="H50" s="61"/>
      <c r="I50" s="61"/>
      <c r="J50" s="61"/>
      <c r="K50" s="61"/>
      <c r="L50" s="64" t="s">
        <v>61</v>
      </c>
      <c r="M50" s="65">
        <f t="shared" ref="M50:R50" si="10">SUM(M31:M49)</f>
        <v>63862839</v>
      </c>
      <c r="N50" s="66">
        <f t="shared" si="10"/>
        <v>30768029.999999996</v>
      </c>
      <c r="O50" s="66">
        <f t="shared" si="10"/>
        <v>62015052.600000001</v>
      </c>
      <c r="P50" s="66">
        <f t="shared" si="10"/>
        <v>32617520.999999996</v>
      </c>
      <c r="Q50" s="66">
        <f t="shared" si="10"/>
        <v>35003961</v>
      </c>
      <c r="R50" s="67">
        <f t="shared" si="10"/>
        <v>116652596.40000001</v>
      </c>
      <c r="S50" s="68">
        <f>SUM(M50:R50)</f>
        <v>340920000</v>
      </c>
    </row>
    <row r="51" spans="1:19">
      <c r="M51" s="69">
        <f>M50/$E$28</f>
        <v>0.18732499999999999</v>
      </c>
      <c r="N51" s="69">
        <f t="shared" ref="N51:R51" si="11">N50/$E$28</f>
        <v>9.0249999999999983E-2</v>
      </c>
      <c r="O51" s="69">
        <f t="shared" si="11"/>
        <v>0.18190500000000001</v>
      </c>
      <c r="P51" s="69">
        <f t="shared" si="11"/>
        <v>9.5674999999999982E-2</v>
      </c>
      <c r="Q51" s="69">
        <f t="shared" si="11"/>
        <v>0.102675</v>
      </c>
      <c r="R51" s="69">
        <f t="shared" si="11"/>
        <v>0.34217000000000003</v>
      </c>
      <c r="S51" s="70"/>
    </row>
  </sheetData>
  <mergeCells count="22">
    <mergeCell ref="M29:R29"/>
    <mergeCell ref="S29:S30"/>
    <mergeCell ref="C31:C45"/>
    <mergeCell ref="E31:E45"/>
    <mergeCell ref="C48:C49"/>
    <mergeCell ref="E48:E49"/>
    <mergeCell ref="S3:S4"/>
    <mergeCell ref="C5:C19"/>
    <mergeCell ref="E5:E19"/>
    <mergeCell ref="C22:C23"/>
    <mergeCell ref="E22:E23"/>
    <mergeCell ref="M3:R3"/>
    <mergeCell ref="A29:A30"/>
    <mergeCell ref="B29:B30"/>
    <mergeCell ref="C29:D30"/>
    <mergeCell ref="E29:F30"/>
    <mergeCell ref="G29:L29"/>
    <mergeCell ref="A3:A4"/>
    <mergeCell ref="B3:B4"/>
    <mergeCell ref="C3:D4"/>
    <mergeCell ref="E3:F4"/>
    <mergeCell ref="G3:L3"/>
  </mergeCells>
  <phoneticPr fontId="4"/>
  <pageMargins left="0.7" right="0.7" top="0.75" bottom="0.75" header="0.3" footer="0.3"/>
  <pageSetup paperSize="9" scale="42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59F19-A754-4D30-8D3E-91299DD38165}">
  <sheetPr>
    <pageSetUpPr fitToPage="1"/>
  </sheetPr>
  <dimension ref="B5:J27"/>
  <sheetViews>
    <sheetView topLeftCell="A14" zoomScale="85" zoomScaleNormal="85" workbookViewId="0">
      <selection activeCell="E17" sqref="E17"/>
    </sheetView>
  </sheetViews>
  <sheetFormatPr defaultRowHeight="18"/>
  <cols>
    <col min="2" max="2" width="38" customWidth="1"/>
    <col min="3" max="9" width="14.25" customWidth="1"/>
    <col min="10" max="10" width="12.75" bestFit="1" customWidth="1"/>
  </cols>
  <sheetData>
    <row r="5" spans="2:10">
      <c r="B5" s="18" t="s">
        <v>90</v>
      </c>
      <c r="C5" t="s">
        <v>94</v>
      </c>
    </row>
    <row r="6" spans="2:10">
      <c r="B6" s="7" t="s">
        <v>13</v>
      </c>
      <c r="C6" s="135" t="s">
        <v>14</v>
      </c>
      <c r="D6" s="8" t="s">
        <v>0</v>
      </c>
      <c r="E6" s="8" t="s">
        <v>1</v>
      </c>
      <c r="F6" s="8" t="s">
        <v>2</v>
      </c>
      <c r="G6" s="8" t="s">
        <v>3</v>
      </c>
      <c r="H6" s="8" t="s">
        <v>4</v>
      </c>
      <c r="I6" s="8" t="s">
        <v>5</v>
      </c>
    </row>
    <row r="7" spans="2:10">
      <c r="B7" s="103" t="s">
        <v>77</v>
      </c>
      <c r="C7" s="87">
        <v>899064</v>
      </c>
      <c r="D7" s="87">
        <f>C7</f>
        <v>899064</v>
      </c>
      <c r="E7" s="129"/>
      <c r="F7" s="87"/>
      <c r="G7" s="87"/>
      <c r="H7" s="129"/>
      <c r="I7" s="87"/>
    </row>
    <row r="8" spans="2:10">
      <c r="B8" s="103" t="s">
        <v>78</v>
      </c>
      <c r="C8" s="87">
        <v>1090704</v>
      </c>
      <c r="D8" s="105">
        <v>822222</v>
      </c>
      <c r="E8" s="129"/>
      <c r="F8" s="87"/>
      <c r="G8" s="87"/>
      <c r="H8" s="129"/>
      <c r="I8" s="87">
        <f>C8-D8</f>
        <v>268482</v>
      </c>
      <c r="J8" t="s">
        <v>84</v>
      </c>
    </row>
    <row r="9" spans="2:10">
      <c r="B9" s="104" t="s">
        <v>79</v>
      </c>
      <c r="C9" s="87">
        <f>4838820-C10</f>
        <v>3811042</v>
      </c>
      <c r="D9" s="87">
        <f>C9/6</f>
        <v>635173.66666666663</v>
      </c>
      <c r="E9" s="129"/>
      <c r="F9" s="87">
        <f>C9/6</f>
        <v>635173.66666666663</v>
      </c>
      <c r="G9" s="87">
        <f>C9/6*2</f>
        <v>1270347.3333333333</v>
      </c>
      <c r="H9" s="129"/>
      <c r="I9" s="87">
        <f>C9/6*2</f>
        <v>1270347.3333333333</v>
      </c>
      <c r="J9" t="s">
        <v>85</v>
      </c>
    </row>
    <row r="10" spans="2:10">
      <c r="B10" s="104" t="s">
        <v>80</v>
      </c>
      <c r="C10" s="87">
        <v>1027778</v>
      </c>
      <c r="D10" s="105">
        <f>C10</f>
        <v>1027778</v>
      </c>
      <c r="E10" s="129"/>
      <c r="F10" s="87"/>
      <c r="G10" s="87"/>
      <c r="H10" s="129"/>
      <c r="I10" s="87"/>
      <c r="J10" t="s">
        <v>83</v>
      </c>
    </row>
    <row r="11" spans="2:10">
      <c r="B11" s="104" t="s">
        <v>74</v>
      </c>
      <c r="C11" s="87">
        <v>2088861</v>
      </c>
      <c r="D11" s="87"/>
      <c r="E11" s="129"/>
      <c r="F11" s="87"/>
      <c r="G11" s="87"/>
      <c r="H11" s="129"/>
      <c r="I11" s="87">
        <f>C11</f>
        <v>2088861</v>
      </c>
    </row>
    <row r="12" spans="2:10">
      <c r="B12" s="104" t="s">
        <v>75</v>
      </c>
      <c r="C12" s="87">
        <v>2156320</v>
      </c>
      <c r="D12" s="87"/>
      <c r="E12" s="129"/>
      <c r="F12" s="87"/>
      <c r="G12" s="87"/>
      <c r="H12" s="129"/>
      <c r="I12" s="87">
        <f>C12</f>
        <v>2156320</v>
      </c>
    </row>
    <row r="13" spans="2:10">
      <c r="B13" s="106" t="s">
        <v>76</v>
      </c>
      <c r="C13" s="107">
        <v>945371</v>
      </c>
      <c r="D13" s="107"/>
      <c r="E13" s="130"/>
      <c r="F13" s="107"/>
      <c r="G13" s="107">
        <f>C13</f>
        <v>945371</v>
      </c>
      <c r="H13" s="130"/>
      <c r="I13" s="107"/>
    </row>
    <row r="14" spans="2:10" ht="54.5" thickBot="1">
      <c r="B14" s="116" t="s">
        <v>93</v>
      </c>
      <c r="C14" s="117">
        <v>-70000</v>
      </c>
      <c r="D14" s="117">
        <f>C14</f>
        <v>-70000</v>
      </c>
      <c r="E14" s="131"/>
      <c r="F14" s="117"/>
      <c r="G14" s="117"/>
      <c r="H14" s="131"/>
      <c r="I14" s="117"/>
    </row>
    <row r="15" spans="2:10" ht="19" thickTop="1" thickBot="1">
      <c r="B15" s="110" t="s">
        <v>15</v>
      </c>
      <c r="C15" s="113">
        <f>SUM(C7:C14)</f>
        <v>11949140</v>
      </c>
      <c r="D15" s="111">
        <f>SUM(D7:D14)</f>
        <v>3314237.6666666665</v>
      </c>
      <c r="E15" s="132">
        <f t="shared" ref="E15:I15" si="0">SUM(E7:E14)</f>
        <v>0</v>
      </c>
      <c r="F15" s="111">
        <f t="shared" si="0"/>
        <v>635173.66666666663</v>
      </c>
      <c r="G15" s="111">
        <f t="shared" si="0"/>
        <v>2215718.333333333</v>
      </c>
      <c r="H15" s="132">
        <f t="shared" si="0"/>
        <v>0</v>
      </c>
      <c r="I15" s="112">
        <f t="shared" si="0"/>
        <v>5784010.333333333</v>
      </c>
    </row>
    <row r="16" spans="2:10" ht="18.5" thickTop="1">
      <c r="B16" s="108" t="s">
        <v>81</v>
      </c>
      <c r="C16" s="109">
        <v>12370000</v>
      </c>
      <c r="D16" s="109">
        <v>3483333.3333333335</v>
      </c>
      <c r="E16" s="133">
        <v>0</v>
      </c>
      <c r="F16" s="109">
        <v>670000</v>
      </c>
      <c r="G16" s="109">
        <v>2340000</v>
      </c>
      <c r="H16" s="133">
        <v>0</v>
      </c>
      <c r="I16" s="109">
        <v>5876666.666666667</v>
      </c>
    </row>
    <row r="17" spans="2:9">
      <c r="C17" s="12"/>
      <c r="D17" s="114">
        <f>D15/D16</f>
        <v>0.95145578947368414</v>
      </c>
      <c r="E17" s="115" t="s">
        <v>82</v>
      </c>
      <c r="F17" s="114">
        <f t="shared" ref="F17:I17" si="1">F15/F16</f>
        <v>0.94802039800995019</v>
      </c>
      <c r="G17" s="114">
        <f t="shared" si="1"/>
        <v>0.94688817663817648</v>
      </c>
      <c r="H17" s="115" t="s">
        <v>82</v>
      </c>
      <c r="I17" s="114">
        <f t="shared" si="1"/>
        <v>0.98423318207600674</v>
      </c>
    </row>
    <row r="18" spans="2:9">
      <c r="C18" s="12"/>
      <c r="D18" s="11"/>
      <c r="E18" s="11"/>
      <c r="F18" s="11"/>
      <c r="G18" s="11"/>
      <c r="H18" s="11"/>
      <c r="I18" s="11"/>
    </row>
    <row r="19" spans="2:9">
      <c r="B19" s="18" t="s">
        <v>91</v>
      </c>
    </row>
    <row r="20" spans="2:9">
      <c r="B20" t="s">
        <v>86</v>
      </c>
    </row>
    <row r="21" spans="2:9">
      <c r="B21" s="3"/>
      <c r="C21" s="8" t="s">
        <v>15</v>
      </c>
      <c r="D21" s="8" t="s">
        <v>0</v>
      </c>
      <c r="E21" s="8" t="s">
        <v>1</v>
      </c>
      <c r="F21" s="8" t="s">
        <v>2</v>
      </c>
      <c r="G21" s="8" t="s">
        <v>3</v>
      </c>
      <c r="H21" s="8" t="s">
        <v>4</v>
      </c>
      <c r="I21" s="8" t="s">
        <v>5</v>
      </c>
    </row>
    <row r="22" spans="2:9">
      <c r="B22" s="3" t="s">
        <v>89</v>
      </c>
      <c r="C22" s="13">
        <f>SUM(D22:I22)</f>
        <v>44232276.700000003</v>
      </c>
      <c r="D22" s="13">
        <f>配分額!D15</f>
        <v>3483802</v>
      </c>
      <c r="E22" s="125"/>
      <c r="F22" s="13">
        <f>配分額!F15</f>
        <v>16461052.600000001</v>
      </c>
      <c r="G22" s="13">
        <f>配分額!G15+配分額!H15</f>
        <v>11248541.999999998</v>
      </c>
      <c r="H22" s="125"/>
      <c r="I22" s="13">
        <f>配分額!I15</f>
        <v>13038880.100000001</v>
      </c>
    </row>
    <row r="23" spans="2:9" ht="18.5" thickBot="1">
      <c r="B23" s="118" t="s">
        <v>87</v>
      </c>
      <c r="C23" s="119"/>
      <c r="D23" s="120">
        <f>D22/$C$22</f>
        <v>7.8761534786655013E-2</v>
      </c>
      <c r="E23" s="126"/>
      <c r="F23" s="120">
        <f t="shared" ref="F23:I23" si="2">F22/$C$22</f>
        <v>0.3721502447555452</v>
      </c>
      <c r="G23" s="120">
        <f t="shared" si="2"/>
        <v>0.25430619536705867</v>
      </c>
      <c r="H23" s="126"/>
      <c r="I23" s="120">
        <f t="shared" si="2"/>
        <v>0.29478202509074103</v>
      </c>
    </row>
    <row r="24" spans="2:9" ht="19" thickTop="1" thickBot="1">
      <c r="B24" s="121" t="s">
        <v>88</v>
      </c>
      <c r="C24" s="111">
        <f>SUM(D24:I24)</f>
        <v>2739999.9999999995</v>
      </c>
      <c r="D24" s="113">
        <f>2740000*D23</f>
        <v>215806.60531543475</v>
      </c>
      <c r="E24" s="127"/>
      <c r="F24" s="113">
        <f t="shared" ref="F24:I24" si="3">2740000*F23</f>
        <v>1019691.6706301939</v>
      </c>
      <c r="G24" s="113">
        <f t="shared" si="3"/>
        <v>696798.97530574072</v>
      </c>
      <c r="H24" s="127"/>
      <c r="I24" s="122">
        <f t="shared" si="3"/>
        <v>807702.7487486304</v>
      </c>
    </row>
    <row r="25" spans="2:9" ht="19" thickTop="1" thickBot="1">
      <c r="I25" s="102"/>
    </row>
    <row r="26" spans="2:9" ht="19" thickTop="1" thickBot="1">
      <c r="B26" s="121" t="s">
        <v>92</v>
      </c>
      <c r="C26" s="123">
        <f>C15+C24</f>
        <v>14689140</v>
      </c>
      <c r="D26" s="123">
        <f>D15+D24</f>
        <v>3530044.2719821013</v>
      </c>
      <c r="E26" s="128"/>
      <c r="F26" s="123">
        <f>F15+F24</f>
        <v>1654865.3372968605</v>
      </c>
      <c r="G26" s="123">
        <f>G15+G24</f>
        <v>2912517.3086390737</v>
      </c>
      <c r="H26" s="128"/>
      <c r="I26" s="124">
        <f>I15+I24</f>
        <v>6591713.0820819633</v>
      </c>
    </row>
    <row r="27" spans="2:9" ht="18.5" thickTop="1"/>
  </sheetData>
  <phoneticPr fontId="4"/>
  <pageMargins left="0.7" right="0.7" top="0.75" bottom="0.75" header="0.3" footer="0.3"/>
  <pageSetup paperSize="8" orientation="landscape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6E232-FD4B-46B4-86C7-43123F64BCCE}">
  <sheetPr>
    <pageSetUpPr fitToPage="1"/>
  </sheetPr>
  <dimension ref="A1:J31"/>
  <sheetViews>
    <sheetView tabSelected="1" topLeftCell="C20" zoomScale="85" zoomScaleNormal="85" workbookViewId="0">
      <selection activeCell="L20" sqref="L20"/>
    </sheetView>
  </sheetViews>
  <sheetFormatPr defaultRowHeight="18"/>
  <cols>
    <col min="1" max="2" width="12" customWidth="1"/>
    <col min="3" max="10" width="16.83203125" customWidth="1"/>
  </cols>
  <sheetData>
    <row r="1" spans="1:10" ht="40" customHeight="1">
      <c r="A1" s="136" t="s">
        <v>107</v>
      </c>
    </row>
    <row r="2" spans="1:10" ht="40" customHeight="1">
      <c r="A2" s="160" t="s">
        <v>115</v>
      </c>
    </row>
    <row r="3" spans="1:10" ht="20">
      <c r="A3" s="99"/>
      <c r="B3" s="99"/>
      <c r="C3" s="100" t="s">
        <v>0</v>
      </c>
      <c r="D3" s="100" t="s">
        <v>1</v>
      </c>
      <c r="E3" s="100" t="s">
        <v>2</v>
      </c>
      <c r="F3" s="100" t="s">
        <v>3</v>
      </c>
      <c r="G3" s="100" t="s">
        <v>4</v>
      </c>
      <c r="H3" s="100" t="s">
        <v>5</v>
      </c>
      <c r="I3" s="100" t="s">
        <v>104</v>
      </c>
    </row>
    <row r="4" spans="1:10">
      <c r="A4" s="79" t="s">
        <v>105</v>
      </c>
      <c r="B4" s="80"/>
      <c r="C4" s="77">
        <v>18248892.973822638</v>
      </c>
      <c r="D4" s="77">
        <v>1292989.0999999964</v>
      </c>
      <c r="E4" s="77">
        <v>15720820.399177957</v>
      </c>
      <c r="F4" s="77">
        <v>5312415.1215460682</v>
      </c>
      <c r="G4" s="77">
        <v>4935082.2078338275</v>
      </c>
      <c r="H4" s="77">
        <v>18848940.897619519</v>
      </c>
      <c r="I4" s="77">
        <f>SUM(C4:H4)</f>
        <v>64359140.700000003</v>
      </c>
    </row>
    <row r="5" spans="1:10">
      <c r="A5" s="79"/>
      <c r="B5" s="134" t="s">
        <v>98</v>
      </c>
      <c r="C5" s="156">
        <v>18240000</v>
      </c>
      <c r="D5" s="156">
        <v>1293000</v>
      </c>
      <c r="E5" s="156">
        <v>15721000</v>
      </c>
      <c r="F5" s="156">
        <v>5312000</v>
      </c>
      <c r="G5" s="156">
        <v>4935000</v>
      </c>
      <c r="H5" s="156">
        <v>18849000</v>
      </c>
      <c r="I5" s="156">
        <f>SUM(C5:H5)</f>
        <v>64350000</v>
      </c>
    </row>
    <row r="6" spans="1:10">
      <c r="A6" s="79"/>
      <c r="B6" s="134" t="s">
        <v>99</v>
      </c>
      <c r="C6" s="156">
        <v>20064000</v>
      </c>
      <c r="D6" s="156">
        <v>1422300</v>
      </c>
      <c r="E6" s="156">
        <v>17293100</v>
      </c>
      <c r="F6" s="156">
        <v>5843200.0000000009</v>
      </c>
      <c r="G6" s="156">
        <v>5428500</v>
      </c>
      <c r="H6" s="156">
        <v>20733900</v>
      </c>
      <c r="I6" s="156">
        <f>SUM(C6:H6)</f>
        <v>70785000</v>
      </c>
    </row>
    <row r="7" spans="1:10">
      <c r="C7" s="157">
        <f>+C6/$I$6</f>
        <v>0.28344988344988348</v>
      </c>
      <c r="D7" s="157">
        <f t="shared" ref="D7:H7" si="0">+D6/$I$6</f>
        <v>2.0093240093240095E-2</v>
      </c>
      <c r="E7" s="157">
        <f t="shared" si="0"/>
        <v>0.24430458430458429</v>
      </c>
      <c r="F7" s="157">
        <f t="shared" si="0"/>
        <v>8.2548562548562562E-2</v>
      </c>
      <c r="G7" s="157">
        <f t="shared" si="0"/>
        <v>7.6689976689976694E-2</v>
      </c>
      <c r="H7" s="157">
        <f t="shared" si="0"/>
        <v>0.29291375291375293</v>
      </c>
      <c r="I7" s="157">
        <f>SUM(C7:H7)</f>
        <v>1</v>
      </c>
    </row>
    <row r="9" spans="1:10">
      <c r="C9" t="s">
        <v>100</v>
      </c>
    </row>
    <row r="10" spans="1:10" ht="20">
      <c r="C10" s="153"/>
      <c r="D10" s="154"/>
      <c r="E10" s="154"/>
      <c r="F10" s="155" t="s">
        <v>111</v>
      </c>
      <c r="G10" s="158" t="s">
        <v>102</v>
      </c>
      <c r="H10" s="100" t="s">
        <v>5</v>
      </c>
      <c r="I10" s="100" t="s">
        <v>104</v>
      </c>
      <c r="J10" s="148" t="s">
        <v>109</v>
      </c>
    </row>
    <row r="11" spans="1:10">
      <c r="A11" s="79"/>
      <c r="B11" s="142" t="s">
        <v>101</v>
      </c>
      <c r="C11" s="159"/>
      <c r="D11" s="150"/>
      <c r="E11" s="150"/>
      <c r="F11" s="150"/>
      <c r="G11" s="146">
        <f>+SUM(C5:G5)</f>
        <v>45501000</v>
      </c>
      <c r="H11" s="146">
        <f>+H5</f>
        <v>18849000</v>
      </c>
      <c r="I11" s="146">
        <f>SUM(C11:H11)</f>
        <v>64350000</v>
      </c>
      <c r="J11" s="118"/>
    </row>
    <row r="12" spans="1:10">
      <c r="A12" s="79"/>
      <c r="B12" s="142" t="s">
        <v>99</v>
      </c>
      <c r="C12" s="139"/>
      <c r="D12" s="140"/>
      <c r="E12" s="140"/>
      <c r="F12" s="140"/>
      <c r="G12" s="141">
        <f>+SUM(C6:G6)</f>
        <v>50051100</v>
      </c>
      <c r="H12" s="141">
        <f>+H6</f>
        <v>20733900</v>
      </c>
      <c r="I12" s="141">
        <f>SUM(C12:H12)</f>
        <v>70785000</v>
      </c>
      <c r="J12" s="151"/>
    </row>
    <row r="13" spans="1:10">
      <c r="B13" s="137"/>
      <c r="C13" s="137"/>
      <c r="D13" s="137"/>
      <c r="E13" s="137"/>
      <c r="F13" s="143" t="s">
        <v>112</v>
      </c>
      <c r="G13" s="147">
        <f>+G12/$I$12</f>
        <v>0.70708624708624712</v>
      </c>
      <c r="H13" s="147">
        <f>+H12/$I$12</f>
        <v>0.29291375291375293</v>
      </c>
      <c r="I13" s="147">
        <f>SUM(C13:H13)</f>
        <v>1</v>
      </c>
      <c r="J13" s="152">
        <v>45719</v>
      </c>
    </row>
    <row r="15" spans="1:10">
      <c r="A15" s="137"/>
      <c r="B15" s="137"/>
      <c r="C15" s="137"/>
      <c r="D15" s="137"/>
      <c r="E15" s="137"/>
      <c r="F15" s="137"/>
      <c r="G15" s="137"/>
      <c r="H15" s="137"/>
      <c r="I15" s="137"/>
    </row>
    <row r="16" spans="1:10" ht="20">
      <c r="A16" s="137"/>
      <c r="B16" s="137"/>
      <c r="C16" s="153"/>
      <c r="D16" s="154"/>
      <c r="E16" s="154"/>
      <c r="F16" s="155" t="s">
        <v>110</v>
      </c>
      <c r="G16" s="138" t="s">
        <v>102</v>
      </c>
      <c r="H16" s="138" t="s">
        <v>5</v>
      </c>
      <c r="I16" s="138" t="s">
        <v>104</v>
      </c>
      <c r="J16" s="148" t="s">
        <v>109</v>
      </c>
    </row>
    <row r="17" spans="1:10">
      <c r="A17" s="79"/>
      <c r="B17" s="142" t="s">
        <v>101</v>
      </c>
      <c r="C17" s="144"/>
      <c r="D17" s="145"/>
      <c r="E17" s="145"/>
      <c r="F17" s="145"/>
      <c r="G17" s="146">
        <f>+I17*G19</f>
        <v>31446000</v>
      </c>
      <c r="H17" s="146">
        <f>+I17*H19</f>
        <v>20964000</v>
      </c>
      <c r="I17" s="146">
        <v>52410000</v>
      </c>
      <c r="J17" s="118"/>
    </row>
    <row r="18" spans="1:10">
      <c r="A18" s="79"/>
      <c r="B18" s="142" t="s">
        <v>99</v>
      </c>
      <c r="C18" s="139"/>
      <c r="D18" s="140"/>
      <c r="E18" s="140"/>
      <c r="F18" s="140"/>
      <c r="G18" s="141">
        <f>+G17*1.1</f>
        <v>34590600</v>
      </c>
      <c r="H18" s="141">
        <f>+H17*1.1</f>
        <v>23060400</v>
      </c>
      <c r="I18" s="141">
        <f>SUM(C18:H18)</f>
        <v>57651000</v>
      </c>
      <c r="J18" s="151"/>
    </row>
    <row r="19" spans="1:10">
      <c r="A19" s="137"/>
      <c r="B19" s="137"/>
      <c r="C19" s="137"/>
      <c r="D19" s="137"/>
      <c r="E19" s="137"/>
      <c r="F19" s="143" t="s">
        <v>108</v>
      </c>
      <c r="G19" s="147">
        <v>0.6</v>
      </c>
      <c r="H19" s="147">
        <v>0.4</v>
      </c>
      <c r="I19" s="147">
        <f>SUM(C19:H19)</f>
        <v>1</v>
      </c>
      <c r="J19" s="152">
        <v>45562</v>
      </c>
    </row>
    <row r="20" spans="1:10">
      <c r="A20" s="137"/>
      <c r="B20" s="137"/>
      <c r="C20" s="137"/>
      <c r="D20" s="137"/>
      <c r="E20" s="137"/>
      <c r="F20" s="137"/>
      <c r="G20" s="137"/>
      <c r="H20" s="137"/>
      <c r="I20" s="137"/>
    </row>
    <row r="21" spans="1:10">
      <c r="A21" s="137"/>
      <c r="B21" s="137"/>
      <c r="C21" s="137"/>
      <c r="D21" s="137"/>
      <c r="E21" s="137"/>
      <c r="F21" s="137"/>
      <c r="G21" s="137"/>
      <c r="H21" s="137"/>
      <c r="I21" s="137"/>
    </row>
    <row r="22" spans="1:10" ht="20">
      <c r="A22" s="137"/>
      <c r="B22" s="137"/>
      <c r="C22" s="153"/>
      <c r="D22" s="154"/>
      <c r="E22" s="154"/>
      <c r="F22" s="155" t="s">
        <v>103</v>
      </c>
      <c r="G22" s="149" t="s">
        <v>102</v>
      </c>
      <c r="H22" s="138" t="s">
        <v>5</v>
      </c>
      <c r="I22" s="138" t="s">
        <v>104</v>
      </c>
      <c r="J22" s="148" t="s">
        <v>109</v>
      </c>
    </row>
    <row r="23" spans="1:10">
      <c r="A23" s="79"/>
      <c r="B23" s="142" t="s">
        <v>101</v>
      </c>
      <c r="C23" s="144"/>
      <c r="D23" s="150"/>
      <c r="E23" s="150"/>
      <c r="F23" s="150"/>
      <c r="G23" s="146">
        <f>+I23*G25</f>
        <v>29802000</v>
      </c>
      <c r="H23" s="146">
        <f>+I23*H25</f>
        <v>19868000</v>
      </c>
      <c r="I23" s="146">
        <v>49670000</v>
      </c>
      <c r="J23" s="118"/>
    </row>
    <row r="24" spans="1:10">
      <c r="A24" s="79"/>
      <c r="B24" s="142" t="s">
        <v>99</v>
      </c>
      <c r="C24" s="139"/>
      <c r="D24" s="140"/>
      <c r="E24" s="140"/>
      <c r="F24" s="140"/>
      <c r="G24" s="141">
        <f>+G23*1.1</f>
        <v>32782200.000000004</v>
      </c>
      <c r="H24" s="141">
        <f>+H23*1.1</f>
        <v>21854800</v>
      </c>
      <c r="I24" s="141">
        <f>SUM(C24:H24)</f>
        <v>54637000</v>
      </c>
      <c r="J24" s="151"/>
    </row>
    <row r="25" spans="1:10">
      <c r="A25" s="137"/>
      <c r="B25" s="137"/>
      <c r="C25" s="137"/>
      <c r="D25" s="137"/>
      <c r="E25" s="137"/>
      <c r="F25" s="143" t="s">
        <v>106</v>
      </c>
      <c r="G25" s="147">
        <v>0.6</v>
      </c>
      <c r="H25" s="147">
        <v>0.4</v>
      </c>
      <c r="I25" s="147">
        <f>SUM(C25:H25)</f>
        <v>1</v>
      </c>
      <c r="J25" s="152">
        <v>45383</v>
      </c>
    </row>
    <row r="27" spans="1:10" ht="40" customHeight="1">
      <c r="A27" s="160" t="s">
        <v>116</v>
      </c>
    </row>
    <row r="28" spans="1:10" ht="20">
      <c r="A28" s="137"/>
      <c r="B28" s="137"/>
      <c r="C28" s="153"/>
      <c r="D28" s="154"/>
      <c r="E28" s="154"/>
      <c r="F28" s="155" t="s">
        <v>113</v>
      </c>
      <c r="G28" s="149" t="s">
        <v>102</v>
      </c>
      <c r="H28" s="138" t="s">
        <v>5</v>
      </c>
      <c r="I28" s="138" t="s">
        <v>104</v>
      </c>
      <c r="J28" s="148" t="s">
        <v>109</v>
      </c>
    </row>
    <row r="29" spans="1:10">
      <c r="A29" s="79"/>
      <c r="B29" s="142" t="s">
        <v>101</v>
      </c>
      <c r="C29" s="144"/>
      <c r="D29" s="150"/>
      <c r="E29" s="150"/>
      <c r="F29" s="150"/>
      <c r="G29" s="146">
        <f>+I29*G31</f>
        <v>306000</v>
      </c>
      <c r="H29" s="146">
        <f>+I29*H31</f>
        <v>9894000</v>
      </c>
      <c r="I29" s="146">
        <f>+I30/1.1</f>
        <v>10200000</v>
      </c>
      <c r="J29" s="118"/>
    </row>
    <row r="30" spans="1:10">
      <c r="A30" s="79"/>
      <c r="B30" s="142" t="s">
        <v>99</v>
      </c>
      <c r="C30" s="139"/>
      <c r="D30" s="140"/>
      <c r="E30" s="140"/>
      <c r="F30" s="140"/>
      <c r="G30" s="141">
        <f>+G29*1.1</f>
        <v>336600</v>
      </c>
      <c r="H30" s="141">
        <f>+H29*1.1</f>
        <v>10883400</v>
      </c>
      <c r="I30" s="141">
        <v>11220000</v>
      </c>
      <c r="J30" s="151"/>
    </row>
    <row r="31" spans="1:10">
      <c r="A31" s="137"/>
      <c r="B31" s="137"/>
      <c r="C31" s="137"/>
      <c r="D31" s="137"/>
      <c r="E31" s="137"/>
      <c r="F31" s="143" t="s">
        <v>114</v>
      </c>
      <c r="G31" s="147">
        <v>0.03</v>
      </c>
      <c r="H31" s="147">
        <v>0.97</v>
      </c>
      <c r="I31" s="147">
        <f>SUM(C31:H31)</f>
        <v>1</v>
      </c>
      <c r="J31" s="152">
        <v>45680</v>
      </c>
    </row>
  </sheetData>
  <phoneticPr fontId="4"/>
  <pageMargins left="0.7" right="0.7" top="0.75" bottom="0.75" header="0.3" footer="0.3"/>
  <pageSetup paperSize="9" scale="75" orientation="landscape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配分額</vt:lpstr>
      <vt:lpstr>別添1工種変更</vt:lpstr>
      <vt:lpstr>別添2　R6増額変更内訳</vt:lpstr>
      <vt:lpstr>本田_計算用</vt:lpstr>
      <vt:lpstr>配分額!Print_Area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浜野恒二</dc:creator>
  <cp:lastModifiedBy>本田志保</cp:lastModifiedBy>
  <cp:lastPrinted>2025-03-19T04:56:33Z</cp:lastPrinted>
  <dcterms:created xsi:type="dcterms:W3CDTF">2025-03-11T12:02:24Z</dcterms:created>
  <dcterms:modified xsi:type="dcterms:W3CDTF">2025-03-19T06:57:11Z</dcterms:modified>
</cp:coreProperties>
</file>