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prec.inst\kikaku\00_営業\02_プロジェクト\2024_R06\2024-007野毛山計画R６\01_契約時関連書類（※やりとり等あれば）\"/>
    </mc:Choice>
  </mc:AlternateContent>
  <xr:revisionPtr revIDLastSave="0" documentId="13_ncr:1_{F80E0F98-0056-472A-B1C7-BEB52AB35D4C}" xr6:coauthVersionLast="47" xr6:coauthVersionMax="47" xr10:uidLastSave="{00000000-0000-0000-0000-000000000000}"/>
  <bookViews>
    <workbookView xWindow="-14680" yWindow="550" windowWidth="12690" windowHeight="11250" firstSheet="4" activeTab="4" xr2:uid="{0C132661-C34D-4F0D-B5E4-3FE95A74BE10}"/>
  </bookViews>
  <sheets>
    <sheet name="参考見積書（鑑）_0202" sheetId="18" state="hidden" r:id="rId1"/>
    <sheet name="参考見積書（建築）_0202" sheetId="17" state="hidden" r:id="rId2"/>
    <sheet name="参考見積書（造園）_0202" sheetId="11" state="hidden" r:id="rId3"/>
    <sheet name="鏡_0205" sheetId="22" r:id="rId4"/>
    <sheet name="※修正不要  横浜市様式 (造園)_0205" sheetId="24" r:id="rId5"/>
    <sheet name="※修正不要  横浜市様式 (建築)_0205" sheetId="23" r:id="rId6"/>
    <sheet name="鏡" sheetId="16" state="hidden" r:id="rId7"/>
    <sheet name="※修正不要  横浜市様式 (建築)" sheetId="12" state="hidden" r:id="rId8"/>
    <sheet name="※修正不要  横浜市様式 (造園)" sheetId="15" state="hidden" r:id="rId9"/>
    <sheet name="参考見積書（鑑）_0205" sheetId="19" state="hidden" r:id="rId10"/>
    <sheet name="参考見積書（建築）_0205" sheetId="20" state="hidden" r:id="rId11"/>
    <sheet name="参考見積書（造園）_0205" sheetId="21" state="hidden" r:id="rId12"/>
    <sheet name="参考見積書（鑑）" sheetId="9" state="hidden" r:id="rId13"/>
    <sheet name="参考見積書（建築）" sheetId="8" state="hidden" r:id="rId14"/>
    <sheet name="参考見積書（造園）変更箇所反映" sheetId="7" state="hidden" r:id="rId15"/>
    <sheet name="CLA→" sheetId="4" state="hidden" r:id="rId16"/>
    <sheet name="造園基本計画" sheetId="2" state="hidden" r:id="rId17"/>
    <sheet name="造園基本計画_別表" sheetId="3" state="hidden" r:id="rId18"/>
    <sheet name="参考御見積書➀" sheetId="1" state="hidden" r:id="rId19"/>
  </sheets>
  <externalReferences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</externalReferences>
  <definedNames>
    <definedName name="_">#REF!</definedName>
    <definedName name="_0">#REF!</definedName>
    <definedName name="_12Print_Area">#REF!</definedName>
    <definedName name="_3_00_Print_Area">#REF!</definedName>
    <definedName name="_6_0Print_Area">#REF!</definedName>
    <definedName name="_9Print_Area">#REF!</definedName>
    <definedName name="_A" localSheetId="6">#REF!</definedName>
    <definedName name="_A" localSheetId="3">#REF!</definedName>
    <definedName name="_A" localSheetId="12">#REF!</definedName>
    <definedName name="_A" localSheetId="0">#REF!</definedName>
    <definedName name="_A" localSheetId="9">#REF!</definedName>
    <definedName name="_A" localSheetId="13">#REF!</definedName>
    <definedName name="_A" localSheetId="1">#REF!</definedName>
    <definedName name="_A" localSheetId="10">#REF!</definedName>
    <definedName name="_A" localSheetId="2">#REF!</definedName>
    <definedName name="_A" localSheetId="11">#REF!</definedName>
    <definedName name="_A" localSheetId="14">#REF!</definedName>
    <definedName name="_A" localSheetId="18">#REF!</definedName>
    <definedName name="_A">#REF!</definedName>
    <definedName name="_B" localSheetId="6">#REF!</definedName>
    <definedName name="_B" localSheetId="3">#REF!</definedName>
    <definedName name="_B" localSheetId="12">#REF!</definedName>
    <definedName name="_B" localSheetId="0">#REF!</definedName>
    <definedName name="_B" localSheetId="9">#REF!</definedName>
    <definedName name="_B" localSheetId="13">#REF!</definedName>
    <definedName name="_B" localSheetId="1">#REF!</definedName>
    <definedName name="_B" localSheetId="10">#REF!</definedName>
    <definedName name="_B" localSheetId="2">#REF!</definedName>
    <definedName name="_B" localSheetId="11">#REF!</definedName>
    <definedName name="_B" localSheetId="14">#REF!</definedName>
    <definedName name="_B" localSheetId="18">#REF!</definedName>
    <definedName name="_B">#REF!</definedName>
    <definedName name="_B60">#REF!</definedName>
    <definedName name="_C" localSheetId="6">#REF!</definedName>
    <definedName name="_C" localSheetId="3">#REF!</definedName>
    <definedName name="_C" localSheetId="12">#REF!</definedName>
    <definedName name="_C" localSheetId="0">#REF!</definedName>
    <definedName name="_C" localSheetId="9">#REF!</definedName>
    <definedName name="_C" localSheetId="13">#REF!</definedName>
    <definedName name="_C" localSheetId="1">#REF!</definedName>
    <definedName name="_C" localSheetId="10">#REF!</definedName>
    <definedName name="_C" localSheetId="2">#REF!</definedName>
    <definedName name="_C" localSheetId="11">#REF!</definedName>
    <definedName name="_C" localSheetId="14">#REF!</definedName>
    <definedName name="_C" localSheetId="18">#REF!</definedName>
    <definedName name="_C">#REF!</definedName>
    <definedName name="_C_?__">#REF!</definedName>
    <definedName name="_C___?__">#REF!</definedName>
    <definedName name="_C範囲_複写先__">#REF!</definedName>
    <definedName name="_D">#REF!</definedName>
    <definedName name="_E">#REF!</definedName>
    <definedName name="_E60">#REF!</definedName>
    <definedName name="_ESC_3_">#REF!</definedName>
    <definedName name="_F">#REF!</definedName>
    <definedName name="_Fill" localSheetId="6" hidden="1">#REF!</definedName>
    <definedName name="_Fill" localSheetId="3" hidden="1">#REF!</definedName>
    <definedName name="_Fill" hidden="1">'[1]#REF'!#REF!</definedName>
    <definedName name="_FS_R">#REF!</definedName>
    <definedName name="_G">#REF!</definedName>
    <definedName name="_GOTO_A1_">#REF!</definedName>
    <definedName name="_H">#REF!</definedName>
    <definedName name="_I">#REF!</definedName>
    <definedName name="_J">#REF!</definedName>
    <definedName name="_K">#REF!</definedName>
    <definedName name="_Key1" hidden="1">'[1]#REF'!#REF!</definedName>
    <definedName name="_Key2" hidden="1">'[1]#REF'!$N$642:$N$1308</definedName>
    <definedName name="_L">#REF!</definedName>
    <definedName name="_M">#REF!</definedName>
    <definedName name="_M_?__">#REF!</definedName>
    <definedName name="_M範囲_移動先__">#REF!</definedName>
    <definedName name="_O">#REF!</definedName>
    <definedName name="_Order1" hidden="1">0</definedName>
    <definedName name="_Order2" hidden="1">255</definedName>
    <definedName name="_P" localSheetId="12">#REF!</definedName>
    <definedName name="_P" localSheetId="0">#REF!</definedName>
    <definedName name="_P" localSheetId="9">#REF!</definedName>
    <definedName name="_P" localSheetId="13">#REF!</definedName>
    <definedName name="_P" localSheetId="1">#REF!</definedName>
    <definedName name="_P" localSheetId="10">#REF!</definedName>
    <definedName name="_P" localSheetId="2">#REF!</definedName>
    <definedName name="_P" localSheetId="11">#REF!</definedName>
    <definedName name="_P" localSheetId="14">#REF!</definedName>
    <definedName name="_P" localSheetId="18">#REF!</definedName>
    <definedName name="_P">#REF!</definedName>
    <definedName name="_Parse_In" hidden="1">#REF!</definedName>
    <definedName name="_Parse_Out" hidden="1">#REF!</definedName>
    <definedName name="_PPR_BS__?__AGP">#REF!</definedName>
    <definedName name="_Q">#REF!</definedName>
    <definedName name="_QYY">#REF!</definedName>
    <definedName name="_R">#REF!</definedName>
    <definedName name="_RE_?__">#REF!</definedName>
    <definedName name="_Regression_Int">1</definedName>
    <definedName name="_RE範囲__QUIT_">#REF!</definedName>
    <definedName name="_RF__?____?__">#REF!</definedName>
    <definedName name="_RLC_?__">#REF!</definedName>
    <definedName name="_RLL_?__">#REF!</definedName>
    <definedName name="_RLR_?__">#REF!</definedName>
    <definedName name="_RNLR_?__">#REF!</definedName>
    <definedName name="_S">#REF!</definedName>
    <definedName name="_Sort" hidden="1">'[1]#REF'!$A$642:$N$1308</definedName>
    <definedName name="_T">#REF!</definedName>
    <definedName name="_V">#REF!</definedName>
    <definedName name="_W">#REF!</definedName>
    <definedName name="_WCS">#REF!</definedName>
    <definedName name="_WD_?___QUIT_">#REF!</definedName>
    <definedName name="_WI_?___QUIT_">#REF!</definedName>
    <definedName name="_WXC範囲_複写先">#REF!</definedName>
    <definedName name="_WXE_?____?__Q_">#REF!</definedName>
    <definedName name="_WXEA範囲_Q_">#REF!</definedName>
    <definedName name="_WXLA_?____?__Q">#REF!</definedName>
    <definedName name="_WXLB_?____?__Q">#REF!</definedName>
    <definedName name="_WXLS_?____?__Q">#REF!</definedName>
    <definedName name="_WXLU_?____?__Q">#REF!</definedName>
    <definedName name="_WXM範囲_移動先">#REF!</definedName>
    <definedName name="_X">#REF!</definedName>
    <definedName name="_Y">#REF!</definedName>
    <definedName name="_Z">#REF!</definedName>
    <definedName name="_移動">#REF!</definedName>
    <definedName name="\a">#REF!</definedName>
    <definedName name="\b">#REF!</definedName>
    <definedName name="\c">#REF!</definedName>
    <definedName name="\d">#REF!</definedName>
    <definedName name="\e">#REF!</definedName>
    <definedName name="\f">#REF!</definedName>
    <definedName name="\g">#REF!</definedName>
    <definedName name="\h">#REF!</definedName>
    <definedName name="\i">#REF!</definedName>
    <definedName name="\k">#REF!</definedName>
    <definedName name="\l">#REF!</definedName>
    <definedName name="\m">#REF!</definedName>
    <definedName name="\n">#REF!</definedName>
    <definedName name="\o">#REF!</definedName>
    <definedName name="\p">#REF!</definedName>
    <definedName name="\s">#REF!</definedName>
    <definedName name="\w">#REF!</definedName>
    <definedName name="\x">#N/A</definedName>
    <definedName name="\z">#REF!</definedName>
    <definedName name="a" localSheetId="6">#REF!</definedName>
    <definedName name="a" localSheetId="3">#REF!</definedName>
    <definedName name="a">#REF!</definedName>
    <definedName name="aa" localSheetId="6">#REF!</definedName>
    <definedName name="aa" localSheetId="3">#REF!</definedName>
    <definedName name="aa">#REF!</definedName>
    <definedName name="B60_C61">#REF!</definedName>
    <definedName name="E46__F47">#REF!</definedName>
    <definedName name="E60__F61">#REF!</definedName>
    <definedName name="HAISENNKOU" localSheetId="6">'[2]配線工・2PNCT-5C'!#REF!</definedName>
    <definedName name="HAISENNKOU" localSheetId="3">'[2]配線工・2PNCT-5C'!#REF!</definedName>
    <definedName name="HAISENNKOU">'[2]配線工・2PNCT-5C'!#REF!</definedName>
    <definedName name="hani">#REF!,#REF!,#REF!,#REF!,#REF!</definedName>
    <definedName name="memori_1" localSheetId="6">[3]見積もり!#REF!</definedName>
    <definedName name="memori_1" localSheetId="3">[3]見積もり!#REF!</definedName>
    <definedName name="memori_1" localSheetId="12">[3]見積もり!#REF!</definedName>
    <definedName name="memori_1" localSheetId="0">[3]見積もり!#REF!</definedName>
    <definedName name="memori_1" localSheetId="9">[3]見積もり!#REF!</definedName>
    <definedName name="memori_1" localSheetId="13">[3]見積もり!#REF!</definedName>
    <definedName name="memori_1" localSheetId="1">[3]見積もり!#REF!</definedName>
    <definedName name="memori_1" localSheetId="10">[3]見積もり!#REF!</definedName>
    <definedName name="memori_1" localSheetId="2">[3]見積もり!#REF!</definedName>
    <definedName name="memori_1" localSheetId="11">[3]見積もり!#REF!</definedName>
    <definedName name="memori_1" localSheetId="14">[3]見積もり!#REF!</definedName>
    <definedName name="memori_1" localSheetId="18">[3]見積もり!#REF!</definedName>
    <definedName name="memori_1">[3]見積もり!#REF!</definedName>
    <definedName name="_xlnm.Print_Area" localSheetId="6">鏡!$A$1:$J$31</definedName>
    <definedName name="_xlnm.Print_Area" localSheetId="3">鏡_0205!$A$1:$J$31</definedName>
    <definedName name="_xlnm.Print_Area" localSheetId="12">'参考見積書（鑑）'!$A$1:$L$48</definedName>
    <definedName name="_xlnm.Print_Area" localSheetId="0">'参考見積書（鑑）_0202'!$A$1:$L$47</definedName>
    <definedName name="_xlnm.Print_Area" localSheetId="9">'参考見積書（鑑）_0205'!$A$1:$L$48</definedName>
    <definedName name="_xlnm.Print_Area" localSheetId="13">'参考見積書（建築）'!$A$29:$L$84</definedName>
    <definedName name="_xlnm.Print_Area" localSheetId="1">'参考見積書（建築）_0202'!$A$29:$L$84</definedName>
    <definedName name="_xlnm.Print_Area" localSheetId="10">'参考見積書（建築）_0205'!$A$29:$L$84</definedName>
    <definedName name="_xlnm.Print_Area" localSheetId="2">'参考見積書（造園）_0202'!$A$1:$L$95</definedName>
    <definedName name="_xlnm.Print_Area" localSheetId="11">'参考見積書（造園）_0205'!$A$33:$L$91</definedName>
    <definedName name="_xlnm.Print_Area" localSheetId="14">'参考見積書（造園）変更箇所反映'!$A$33:$L$92</definedName>
    <definedName name="_xlnm.Print_Area" localSheetId="18">参考御見積書➀!$A$1:$L$91</definedName>
    <definedName name="_xlnm.Print_Area" localSheetId="16">造園基本計画!$A$1:$L$44</definedName>
    <definedName name="_xlnm.Print_Area" localSheetId="17">造園基本計画_別表!$A$1:$J$45</definedName>
    <definedName name="_xlnm.Print_Area">#REF!</definedName>
    <definedName name="Print_Area_MI" localSheetId="6">#REF!</definedName>
    <definedName name="Print_Area_MI" localSheetId="3">#REF!</definedName>
    <definedName name="PRINT_AREA_MI">#REF!</definedName>
    <definedName name="SON_OF_A_BITCH">#REF!</definedName>
    <definedName name="SON_OF_A_GUN">#REF!</definedName>
    <definedName name="おわり">#REF!</definedName>
    <definedName name="くるま代" localSheetId="6">#REF!</definedName>
    <definedName name="くるま代" localSheetId="3">#REF!</definedName>
    <definedName name="くるま代">#REF!</definedName>
    <definedName name="コア調査人件費">#REF!</definedName>
    <definedName name="コア調査労務費">#REF!</definedName>
    <definedName name="ｾﾙ幅を変更するﾏ">#REF!</definedName>
    <definedName name="その1">#REF!</definedName>
    <definedName name="その10">#REF!</definedName>
    <definedName name="その11">#REF!</definedName>
    <definedName name="その2">#REF!</definedName>
    <definedName name="その3">#REF!</definedName>
    <definedName name="その4">#REF!</definedName>
    <definedName name="その5">#REF!</definedName>
    <definedName name="その6">#REF!</definedName>
    <definedName name="その7">#REF!</definedName>
    <definedName name="その8">#REF!</definedName>
    <definedName name="その9">#REF!</definedName>
    <definedName name="その他印刷">#REF!</definedName>
    <definedName name="ﾃｷｽﾄ１２">#REF!</definedName>
    <definedName name="ライトバン運転">#REF!</definedName>
    <definedName name="ﾜｰｸｼｰﾄを元の名">#REF!</definedName>
    <definedName name="移動先">#REF!</definedName>
    <definedName name="一般管理費等">#REF!</definedName>
    <definedName name="印刷範囲" localSheetId="12">#REF!</definedName>
    <definedName name="印刷範囲" localSheetId="0">#REF!</definedName>
    <definedName name="印刷範囲" localSheetId="9">#REF!</definedName>
    <definedName name="印刷範囲" localSheetId="13">#REF!</definedName>
    <definedName name="印刷範囲" localSheetId="1">#REF!</definedName>
    <definedName name="印刷範囲" localSheetId="10">#REF!</definedName>
    <definedName name="印刷範囲" localSheetId="2">#REF!</definedName>
    <definedName name="印刷範囲" localSheetId="11">#REF!</definedName>
    <definedName name="印刷範囲" localSheetId="14">#REF!</definedName>
    <definedName name="印刷範囲" localSheetId="18">#REF!</definedName>
    <definedName name="印刷範囲" localSheetId="16">#REF!</definedName>
    <definedName name="印刷範囲" localSheetId="17">#REF!</definedName>
    <definedName name="印刷範囲">#REF!</definedName>
    <definedName name="横線の線引き">#REF!</definedName>
    <definedName name="格子線の線引き">#REF!</definedName>
    <definedName name="掛線削除">#REF!</definedName>
    <definedName name="技師" localSheetId="12">#REF!</definedName>
    <definedName name="技師" localSheetId="0">#REF!</definedName>
    <definedName name="技師" localSheetId="9">#REF!</definedName>
    <definedName name="技師" localSheetId="13">#REF!</definedName>
    <definedName name="技師" localSheetId="1">#REF!</definedName>
    <definedName name="技師" localSheetId="10">#REF!</definedName>
    <definedName name="技師" localSheetId="2">#REF!</definedName>
    <definedName name="技師" localSheetId="11">#REF!</definedName>
    <definedName name="技師" localSheetId="14">#REF!</definedName>
    <definedName name="技師" localSheetId="18">#REF!</definedName>
    <definedName name="技師">#REF!</definedName>
    <definedName name="技師A" localSheetId="12">#REF!</definedName>
    <definedName name="技師A" localSheetId="0">#REF!</definedName>
    <definedName name="技師A" localSheetId="9">#REF!</definedName>
    <definedName name="技師A" localSheetId="13">#REF!</definedName>
    <definedName name="技師A" localSheetId="1">#REF!</definedName>
    <definedName name="技師A" localSheetId="10">#REF!</definedName>
    <definedName name="技師A" localSheetId="2">#REF!</definedName>
    <definedName name="技師A" localSheetId="11">#REF!</definedName>
    <definedName name="技師A" localSheetId="14">#REF!</definedName>
    <definedName name="技師A" localSheetId="18">#REF!</definedName>
    <definedName name="技師A">#REF!</definedName>
    <definedName name="技師B" localSheetId="12">#REF!</definedName>
    <definedName name="技師B" localSheetId="0">#REF!</definedName>
    <definedName name="技師B" localSheetId="9">#REF!</definedName>
    <definedName name="技師B" localSheetId="13">#REF!</definedName>
    <definedName name="技師B" localSheetId="1">#REF!</definedName>
    <definedName name="技師B" localSheetId="10">#REF!</definedName>
    <definedName name="技師B" localSheetId="2">#REF!</definedName>
    <definedName name="技師B" localSheetId="11">#REF!</definedName>
    <definedName name="技師B" localSheetId="14">#REF!</definedName>
    <definedName name="技師B" localSheetId="18">#REF!</definedName>
    <definedName name="技師B">#REF!</definedName>
    <definedName name="技師C" localSheetId="12">#REF!</definedName>
    <definedName name="技師C" localSheetId="0">#REF!</definedName>
    <definedName name="技師C" localSheetId="9">#REF!</definedName>
    <definedName name="技師C" localSheetId="13">#REF!</definedName>
    <definedName name="技師C" localSheetId="1">#REF!</definedName>
    <definedName name="技師C" localSheetId="10">#REF!</definedName>
    <definedName name="技師C" localSheetId="2">#REF!</definedName>
    <definedName name="技師C" localSheetId="11">#REF!</definedName>
    <definedName name="技師C" localSheetId="14">#REF!</definedName>
    <definedName name="技師C" localSheetId="18">#REF!</definedName>
    <definedName name="技師C">#REF!</definedName>
    <definedName name="技師長" localSheetId="12">#REF!</definedName>
    <definedName name="技師長" localSheetId="0">#REF!</definedName>
    <definedName name="技師長" localSheetId="9">#REF!</definedName>
    <definedName name="技師長" localSheetId="13">#REF!</definedName>
    <definedName name="技師長" localSheetId="1">#REF!</definedName>
    <definedName name="技師長" localSheetId="10">#REF!</definedName>
    <definedName name="技師長" localSheetId="2">#REF!</definedName>
    <definedName name="技師長" localSheetId="11">#REF!</definedName>
    <definedName name="技師長" localSheetId="14">#REF!</definedName>
    <definedName name="技師長" localSheetId="18">#REF!</definedName>
    <definedName name="技師長">#REF!</definedName>
    <definedName name="技師補" localSheetId="12">#REF!</definedName>
    <definedName name="技師補" localSheetId="0">#REF!</definedName>
    <definedName name="技師補" localSheetId="9">#REF!</definedName>
    <definedName name="技師補" localSheetId="13">#REF!</definedName>
    <definedName name="技師補" localSheetId="1">#REF!</definedName>
    <definedName name="技師補" localSheetId="10">#REF!</definedName>
    <definedName name="技師補" localSheetId="2">#REF!</definedName>
    <definedName name="技師補" localSheetId="11">#REF!</definedName>
    <definedName name="技師補" localSheetId="14">#REF!</definedName>
    <definedName name="技師補" localSheetId="18">#REF!</definedName>
    <definedName name="技師補">#REF!</definedName>
    <definedName name="技術員" localSheetId="12">#REF!</definedName>
    <definedName name="技術員" localSheetId="0">#REF!</definedName>
    <definedName name="技術員" localSheetId="9">#REF!</definedName>
    <definedName name="技術員" localSheetId="13">#REF!</definedName>
    <definedName name="技術員" localSheetId="1">#REF!</definedName>
    <definedName name="技術員" localSheetId="10">#REF!</definedName>
    <definedName name="技術員" localSheetId="2">#REF!</definedName>
    <definedName name="技術員" localSheetId="11">#REF!</definedName>
    <definedName name="技術員" localSheetId="14">#REF!</definedName>
    <definedName name="技術員" localSheetId="18">#REF!</definedName>
    <definedName name="技術員">#REF!</definedName>
    <definedName name="給水ポンプ運転費">#REF!</definedName>
    <definedName name="共通仮設費">#REF!</definedName>
    <definedName name="強制的に終了す">#REF!</definedName>
    <definedName name="業務項目1">#REF!</definedName>
    <definedName name="業務項目10">#REF!</definedName>
    <definedName name="業務項目15">#REF!</definedName>
    <definedName name="業務項目2">#REF!</definedName>
    <definedName name="業務項目3">#REF!</definedName>
    <definedName name="業務項目4">#REF!</definedName>
    <definedName name="業務項目5">#REF!</definedName>
    <definedName name="業務項目6">#REF!</definedName>
    <definedName name="業務項目7">#REF!</definedName>
    <definedName name="業務項目8">#REF!</definedName>
    <definedName name="業務項目9">#REF!</definedName>
    <definedName name="金額体裁">#REF!</definedName>
    <definedName name="金額変換">#REF!</definedName>
    <definedName name="係数">[4]見積!$H$3</definedName>
    <definedName name="傾斜地足場" localSheetId="6">#REF!</definedName>
    <definedName name="傾斜地足場" localSheetId="3">#REF!</definedName>
    <definedName name="傾斜地足場">#REF!</definedName>
    <definedName name="契">[4]見積!$H$31</definedName>
    <definedName name="景観">[4]見積!$H$33</definedName>
    <definedName name="経費">[4]見積!$H$27</definedName>
    <definedName name="経費環境">[4]見積!$H$11</definedName>
    <definedName name="経費計" localSheetId="6">#REF!</definedName>
    <definedName name="経費計" localSheetId="3">#REF!</definedName>
    <definedName name="経費計" localSheetId="12">#REF!</definedName>
    <definedName name="経費計" localSheetId="0">#REF!</definedName>
    <definedName name="経費計" localSheetId="9">#REF!</definedName>
    <definedName name="経費計" localSheetId="13">#REF!</definedName>
    <definedName name="経費計" localSheetId="1">#REF!</definedName>
    <definedName name="経費計" localSheetId="10">#REF!</definedName>
    <definedName name="経費計" localSheetId="2">#REF!</definedName>
    <definedName name="経費計" localSheetId="11">#REF!</definedName>
    <definedName name="経費計" localSheetId="14">#REF!</definedName>
    <definedName name="経費計" localSheetId="18">#REF!</definedName>
    <definedName name="経費計" localSheetId="16">#REF!</definedName>
    <definedName name="経費計" localSheetId="17">#REF!</definedName>
    <definedName name="経費計">#REF!</definedName>
    <definedName name="罫線データ一体">#REF!</definedName>
    <definedName name="計" localSheetId="6">#REF!</definedName>
    <definedName name="計" localSheetId="3">#REF!</definedName>
    <definedName name="計" localSheetId="12">#REF!</definedName>
    <definedName name="計" localSheetId="0">#REF!</definedName>
    <definedName name="計" localSheetId="9">#REF!</definedName>
    <definedName name="計" localSheetId="13">#REF!</definedName>
    <definedName name="計" localSheetId="1">#REF!</definedName>
    <definedName name="計" localSheetId="10">#REF!</definedName>
    <definedName name="計" localSheetId="2">#REF!</definedName>
    <definedName name="計" localSheetId="11">#REF!</definedName>
    <definedName name="計" localSheetId="14">#REF!</definedName>
    <definedName name="計" localSheetId="18">#REF!</definedName>
    <definedName name="計">#REF!</definedName>
    <definedName name="件名" localSheetId="6">#REF!</definedName>
    <definedName name="件名" localSheetId="3">#REF!</definedName>
    <definedName name="件名" localSheetId="12">#REF!</definedName>
    <definedName name="件名" localSheetId="0">#REF!</definedName>
    <definedName name="件名" localSheetId="9">#REF!</definedName>
    <definedName name="件名" localSheetId="13">#REF!</definedName>
    <definedName name="件名" localSheetId="1">#REF!</definedName>
    <definedName name="件名" localSheetId="10">#REF!</definedName>
    <definedName name="件名" localSheetId="2">#REF!</definedName>
    <definedName name="件名" localSheetId="11">#REF!</definedName>
    <definedName name="件名" localSheetId="14">#REF!</definedName>
    <definedName name="件名" localSheetId="18">#REF!</definedName>
    <definedName name="件名">#REF!</definedName>
    <definedName name="現場管理費">#REF!</definedName>
    <definedName name="固定">#REF!</definedName>
    <definedName name="交通費" localSheetId="12">#REF!</definedName>
    <definedName name="交通費" localSheetId="0">#REF!</definedName>
    <definedName name="交通費" localSheetId="9">#REF!</definedName>
    <definedName name="交通費" localSheetId="13">#REF!</definedName>
    <definedName name="交通費" localSheetId="1">#REF!</definedName>
    <definedName name="交通費" localSheetId="10">#REF!</definedName>
    <definedName name="交通費" localSheetId="2">#REF!</definedName>
    <definedName name="交通費" localSheetId="11">#REF!</definedName>
    <definedName name="交通費" localSheetId="14">#REF!</definedName>
    <definedName name="交通費" localSheetId="18">#REF!</definedName>
    <definedName name="交通費">#REF!</definedName>
    <definedName name="交通費往復" localSheetId="6">#REF!</definedName>
    <definedName name="交通費往復" localSheetId="3">#REF!</definedName>
    <definedName name="交通費往復" localSheetId="12">#REF!</definedName>
    <definedName name="交通費往復" localSheetId="0">#REF!</definedName>
    <definedName name="交通費往復" localSheetId="9">#REF!</definedName>
    <definedName name="交通費往復" localSheetId="13">#REF!</definedName>
    <definedName name="交通費往復" localSheetId="1">#REF!</definedName>
    <definedName name="交通費往復" localSheetId="10">#REF!</definedName>
    <definedName name="交通費往復" localSheetId="2">#REF!</definedName>
    <definedName name="交通費往復" localSheetId="11">#REF!</definedName>
    <definedName name="交通費往復" localSheetId="14">#REF!</definedName>
    <definedName name="交通費往復" localSheetId="18">#REF!</definedName>
    <definedName name="交通費往復">#REF!</definedName>
    <definedName name="孔内傾斜">#REF!</definedName>
    <definedName name="孔内傾斜計">#REF!</definedName>
    <definedName name="孔内傾斜計設置">#REF!</definedName>
    <definedName name="工期印刷">#REF!</definedName>
    <definedName name="工場">#REF!</definedName>
    <definedName name="硬岩">#REF!</definedName>
    <definedName name="行き先" localSheetId="6">#REF!</definedName>
    <definedName name="行き先" localSheetId="3">#REF!</definedName>
    <definedName name="行き先" localSheetId="12">#REF!</definedName>
    <definedName name="行き先" localSheetId="0">#REF!</definedName>
    <definedName name="行き先" localSheetId="9">#REF!</definedName>
    <definedName name="行き先" localSheetId="13">#REF!</definedName>
    <definedName name="行き先" localSheetId="1">#REF!</definedName>
    <definedName name="行き先" localSheetId="10">#REF!</definedName>
    <definedName name="行き先" localSheetId="2">#REF!</definedName>
    <definedName name="行き先" localSheetId="11">#REF!</definedName>
    <definedName name="行き先" localSheetId="14">#REF!</definedName>
    <definedName name="行き先" localSheetId="18">#REF!</definedName>
    <definedName name="行き先">#REF!</definedName>
    <definedName name="行列削除">#REF!</definedName>
    <definedName name="行列挿入">#REF!</definedName>
    <definedName name="合計" localSheetId="12">#REF!</definedName>
    <definedName name="合計" localSheetId="0">#REF!</definedName>
    <definedName name="合計" localSheetId="9">#REF!</definedName>
    <definedName name="合計" localSheetId="13">#REF!</definedName>
    <definedName name="合計" localSheetId="1">#REF!</definedName>
    <definedName name="合計" localSheetId="10">#REF!</definedName>
    <definedName name="合計" localSheetId="2">#REF!</definedName>
    <definedName name="合計" localSheetId="11">#REF!</definedName>
    <definedName name="合計" localSheetId="14">#REF!</definedName>
    <definedName name="合計" localSheetId="18">#REF!</definedName>
    <definedName name="合計">#REF!</definedName>
    <definedName name="合計です" localSheetId="12">#REF!</definedName>
    <definedName name="合計です" localSheetId="0">#REF!</definedName>
    <definedName name="合計です" localSheetId="9">#REF!</definedName>
    <definedName name="合計です" localSheetId="13">#REF!</definedName>
    <definedName name="合計です" localSheetId="1">#REF!</definedName>
    <definedName name="合計です" localSheetId="10">#REF!</definedName>
    <definedName name="合計です" localSheetId="2">#REF!</definedName>
    <definedName name="合計です" localSheetId="11">#REF!</definedName>
    <definedName name="合計です" localSheetId="14">#REF!</definedName>
    <definedName name="合計です" localSheetId="18">#REF!</definedName>
    <definedName name="合計です">#REF!</definedName>
    <definedName name="材料費" localSheetId="12">#REF!</definedName>
    <definedName name="材料費" localSheetId="0">#REF!</definedName>
    <definedName name="材料費" localSheetId="9">#REF!</definedName>
    <definedName name="材料費" localSheetId="13">#REF!</definedName>
    <definedName name="材料費" localSheetId="1">#REF!</definedName>
    <definedName name="材料費" localSheetId="10">#REF!</definedName>
    <definedName name="材料費" localSheetId="2">#REF!</definedName>
    <definedName name="材料費" localSheetId="11">#REF!</definedName>
    <definedName name="材料費" localSheetId="14">#REF!</definedName>
    <definedName name="材料費" localSheetId="18">#REF!</definedName>
    <definedName name="材料費">#REF!</definedName>
    <definedName name="指定範囲をｾﾝﾀｰ">#REF!</definedName>
    <definedName name="指定範囲を印刷">#REF!</definedName>
    <definedName name="指定範囲を右詰">#REF!</definedName>
    <definedName name="指定範囲を左詰">#REF!</definedName>
    <definedName name="写真代" localSheetId="12">#REF!</definedName>
    <definedName name="写真代" localSheetId="0">#REF!</definedName>
    <definedName name="写真代" localSheetId="9">#REF!</definedName>
    <definedName name="写真代" localSheetId="13">#REF!</definedName>
    <definedName name="写真代" localSheetId="1">#REF!</definedName>
    <definedName name="写真代" localSheetId="10">#REF!</definedName>
    <definedName name="写真代" localSheetId="2">#REF!</definedName>
    <definedName name="写真代" localSheetId="11">#REF!</definedName>
    <definedName name="写真代" localSheetId="14">#REF!</definedName>
    <definedName name="写真代" localSheetId="18">#REF!</definedName>
    <definedName name="写真代">#REF!</definedName>
    <definedName name="写真代単価" localSheetId="12">#REF!</definedName>
    <definedName name="写真代単価" localSheetId="0">#REF!</definedName>
    <definedName name="写真代単価" localSheetId="9">#REF!</definedName>
    <definedName name="写真代単価" localSheetId="13">#REF!</definedName>
    <definedName name="写真代単価" localSheetId="1">#REF!</definedName>
    <definedName name="写真代単価" localSheetId="10">#REF!</definedName>
    <definedName name="写真代単価" localSheetId="2">#REF!</definedName>
    <definedName name="写真代単価" localSheetId="11">#REF!</definedName>
    <definedName name="写真代単価" localSheetId="14">#REF!</definedName>
    <definedName name="写真代単価" localSheetId="18">#REF!</definedName>
    <definedName name="写真代単価">#REF!</definedName>
    <definedName name="車借り上げ代" localSheetId="12">#REF!</definedName>
    <definedName name="車借り上げ代" localSheetId="0">#REF!</definedName>
    <definedName name="車借り上げ代" localSheetId="9">#REF!</definedName>
    <definedName name="車借り上げ代" localSheetId="13">#REF!</definedName>
    <definedName name="車借り上げ代" localSheetId="1">#REF!</definedName>
    <definedName name="車借り上げ代" localSheetId="10">#REF!</definedName>
    <definedName name="車借り上げ代" localSheetId="2">#REF!</definedName>
    <definedName name="車借り上げ代" localSheetId="11">#REF!</definedName>
    <definedName name="車借り上げ代" localSheetId="14">#REF!</definedName>
    <definedName name="車借り上げ代" localSheetId="18">#REF!</definedName>
    <definedName name="車借り上げ代">#REF!</definedName>
    <definedName name="車代" localSheetId="6">#REF!</definedName>
    <definedName name="車代" localSheetId="3">#REF!</definedName>
    <definedName name="車代" localSheetId="12">#REF!</definedName>
    <definedName name="車代" localSheetId="0">#REF!</definedName>
    <definedName name="車代" localSheetId="9">#REF!</definedName>
    <definedName name="車代" localSheetId="13">#REF!</definedName>
    <definedName name="車代" localSheetId="1">#REF!</definedName>
    <definedName name="車代" localSheetId="10">#REF!</definedName>
    <definedName name="車代" localSheetId="2">#REF!</definedName>
    <definedName name="車代" localSheetId="11">#REF!</definedName>
    <definedName name="車代" localSheetId="14">#REF!</definedName>
    <definedName name="車代" localSheetId="18">#REF!</definedName>
    <definedName name="車代">#REF!</definedName>
    <definedName name="車代２">#REF!</definedName>
    <definedName name="主任技師" localSheetId="12">#REF!</definedName>
    <definedName name="主任技師" localSheetId="0">#REF!</definedName>
    <definedName name="主任技師" localSheetId="9">#REF!</definedName>
    <definedName name="主任技師" localSheetId="13">#REF!</definedName>
    <definedName name="主任技師" localSheetId="1">#REF!</definedName>
    <definedName name="主任技師" localSheetId="10">#REF!</definedName>
    <definedName name="主任技師" localSheetId="2">#REF!</definedName>
    <definedName name="主任技師" localSheetId="11">#REF!</definedName>
    <definedName name="主任技師" localSheetId="14">#REF!</definedName>
    <definedName name="主任技師" localSheetId="18">#REF!</definedName>
    <definedName name="主任技師">#REF!</definedName>
    <definedName name="縦線の線引き">#REF!</definedName>
    <definedName name="宿泊" localSheetId="6">#REF!</definedName>
    <definedName name="宿泊" localSheetId="3">#REF!</definedName>
    <definedName name="宿泊" localSheetId="12">#REF!</definedName>
    <definedName name="宿泊" localSheetId="0">#REF!</definedName>
    <definedName name="宿泊" localSheetId="9">#REF!</definedName>
    <definedName name="宿泊" localSheetId="13">#REF!</definedName>
    <definedName name="宿泊" localSheetId="1">#REF!</definedName>
    <definedName name="宿泊" localSheetId="10">#REF!</definedName>
    <definedName name="宿泊" localSheetId="2">#REF!</definedName>
    <definedName name="宿泊" localSheetId="11">#REF!</definedName>
    <definedName name="宿泊" localSheetId="14">#REF!</definedName>
    <definedName name="宿泊" localSheetId="18">#REF!</definedName>
    <definedName name="宿泊">#REF!</definedName>
    <definedName name="宿泊２">#REF!</definedName>
    <definedName name="準備及び後片付け">#REF!</definedName>
    <definedName name="諸経費">#REF!</definedName>
    <definedName name="諸経費率">#REF!</definedName>
    <definedName name="助手" localSheetId="12">#REF!</definedName>
    <definedName name="助手" localSheetId="0">#REF!</definedName>
    <definedName name="助手" localSheetId="9">#REF!</definedName>
    <definedName name="助手" localSheetId="13">#REF!</definedName>
    <definedName name="助手" localSheetId="1">#REF!</definedName>
    <definedName name="助手" localSheetId="10">#REF!</definedName>
    <definedName name="助手" localSheetId="2">#REF!</definedName>
    <definedName name="助手" localSheetId="11">#REF!</definedName>
    <definedName name="助手" localSheetId="14">#REF!</definedName>
    <definedName name="助手" localSheetId="18">#REF!</definedName>
    <definedName name="助手">#REF!</definedName>
    <definedName name="小計">[5]見積!$H$27</definedName>
    <definedName name="小数点以下表示">#REF!</definedName>
    <definedName name="消去">#REF!</definedName>
    <definedName name="消去範囲">#REF!</definedName>
    <definedName name="消費税" localSheetId="6">#REF!</definedName>
    <definedName name="消費税" localSheetId="3">#REF!</definedName>
    <definedName name="消費税" localSheetId="12">#REF!</definedName>
    <definedName name="消費税" localSheetId="0">#REF!</definedName>
    <definedName name="消費税" localSheetId="9">#REF!</definedName>
    <definedName name="消費税" localSheetId="13">#REF!</definedName>
    <definedName name="消費税" localSheetId="1">#REF!</definedName>
    <definedName name="消費税" localSheetId="10">#REF!</definedName>
    <definedName name="消費税" localSheetId="2">#REF!</definedName>
    <definedName name="消費税" localSheetId="11">#REF!</definedName>
    <definedName name="消費税" localSheetId="14">#REF!</definedName>
    <definedName name="消費税" localSheetId="18">#REF!</definedName>
    <definedName name="消費税" localSheetId="16">#REF!</definedName>
    <definedName name="消費税" localSheetId="17">#REF!</definedName>
    <definedName name="消費税">#REF!</definedName>
    <definedName name="消費税です" localSheetId="6">#REF!</definedName>
    <definedName name="消費税です" localSheetId="3">#REF!</definedName>
    <definedName name="消費税です" localSheetId="12">#REF!</definedName>
    <definedName name="消費税です" localSheetId="0">#REF!</definedName>
    <definedName name="消費税です" localSheetId="9">#REF!</definedName>
    <definedName name="消費税です" localSheetId="13">#REF!</definedName>
    <definedName name="消費税です" localSheetId="1">#REF!</definedName>
    <definedName name="消費税です" localSheetId="10">#REF!</definedName>
    <definedName name="消費税です" localSheetId="2">#REF!</definedName>
    <definedName name="消費税です" localSheetId="11">#REF!</definedName>
    <definedName name="消費税です" localSheetId="14">#REF!</definedName>
    <definedName name="消費税です" localSheetId="18">#REF!</definedName>
    <definedName name="消費税です">#REF!</definedName>
    <definedName name="条件">[6]初期条件!$A$11:$H$71</definedName>
    <definedName name="職位" localSheetId="6">#REF!</definedName>
    <definedName name="職位" localSheetId="3">#REF!</definedName>
    <definedName name="職位" localSheetId="12">#REF!</definedName>
    <definedName name="職位" localSheetId="0">#REF!</definedName>
    <definedName name="職位" localSheetId="9">#REF!</definedName>
    <definedName name="職位" localSheetId="13">#REF!</definedName>
    <definedName name="職位" localSheetId="1">#REF!</definedName>
    <definedName name="職位" localSheetId="10">#REF!</definedName>
    <definedName name="職位" localSheetId="2">#REF!</definedName>
    <definedName name="職位" localSheetId="11">#REF!</definedName>
    <definedName name="職位" localSheetId="14">#REF!</definedName>
    <definedName name="職位" localSheetId="18">#REF!</definedName>
    <definedName name="職位">#REF!</definedName>
    <definedName name="数量印刷">#REF!</definedName>
    <definedName name="税金">[7]見積!$H$33</definedName>
    <definedName name="積算" localSheetId="6">#REF!</definedName>
    <definedName name="積算" localSheetId="3">#REF!</definedName>
    <definedName name="積算">#REF!</definedName>
    <definedName name="設計" localSheetId="6">#REF!</definedName>
    <definedName name="設計" localSheetId="3">#REF!</definedName>
    <definedName name="設計">#REF!</definedName>
    <definedName name="設計書" localSheetId="6">#REF!</definedName>
    <definedName name="設計書" localSheetId="3">#REF!</definedName>
    <definedName name="設計書">#REF!</definedName>
    <definedName name="設計書印刷">#REF!</definedName>
    <definedName name="設置工" localSheetId="6">[2]接地工!#REF!</definedName>
    <definedName name="設置工" localSheetId="3">[2]接地工!#REF!</definedName>
    <definedName name="設置工">[2]接地工!#REF!</definedName>
    <definedName name="総額" localSheetId="6">#REF!</definedName>
    <definedName name="総額" localSheetId="3">#REF!</definedName>
    <definedName name="総額">#REF!</definedName>
    <definedName name="測定技師" localSheetId="6">#REF!</definedName>
    <definedName name="測定技師" localSheetId="3">#REF!</definedName>
    <definedName name="測定技師" localSheetId="12">#REF!</definedName>
    <definedName name="測定技師" localSheetId="0">#REF!</definedName>
    <definedName name="測定技師" localSheetId="9">#REF!</definedName>
    <definedName name="測定技師" localSheetId="13">#REF!</definedName>
    <definedName name="測定技師" localSheetId="1">#REF!</definedName>
    <definedName name="測定技師" localSheetId="10">#REF!</definedName>
    <definedName name="測定技師" localSheetId="2">#REF!</definedName>
    <definedName name="測定技師" localSheetId="11">#REF!</definedName>
    <definedName name="測定技師" localSheetId="14">#REF!</definedName>
    <definedName name="測定技師" localSheetId="18">#REF!</definedName>
    <definedName name="測定技師">#REF!</definedName>
    <definedName name="測定技師補" localSheetId="6">#REF!</definedName>
    <definedName name="測定技師補" localSheetId="3">#REF!</definedName>
    <definedName name="測定技師補" localSheetId="12">#REF!</definedName>
    <definedName name="測定技師補" localSheetId="0">#REF!</definedName>
    <definedName name="測定技師補" localSheetId="9">#REF!</definedName>
    <definedName name="測定技師補" localSheetId="13">#REF!</definedName>
    <definedName name="測定技師補" localSheetId="1">#REF!</definedName>
    <definedName name="測定技師補" localSheetId="10">#REF!</definedName>
    <definedName name="測定技師補" localSheetId="2">#REF!</definedName>
    <definedName name="測定技師補" localSheetId="11">#REF!</definedName>
    <definedName name="測定技師補" localSheetId="14">#REF!</definedName>
    <definedName name="測定技師補" localSheetId="18">#REF!</definedName>
    <definedName name="測定技師補">#REF!</definedName>
    <definedName name="測定助手" localSheetId="12">#REF!</definedName>
    <definedName name="測定助手" localSheetId="0">#REF!</definedName>
    <definedName name="測定助手" localSheetId="9">#REF!</definedName>
    <definedName name="測定助手" localSheetId="13">#REF!</definedName>
    <definedName name="測定助手" localSheetId="1">#REF!</definedName>
    <definedName name="測定助手" localSheetId="10">#REF!</definedName>
    <definedName name="測定助手" localSheetId="2">#REF!</definedName>
    <definedName name="測定助手" localSheetId="11">#REF!</definedName>
    <definedName name="測定助手" localSheetId="14">#REF!</definedName>
    <definedName name="測定助手" localSheetId="18">#REF!</definedName>
    <definedName name="測定助手">#REF!</definedName>
    <definedName name="測量">[8]日額!$A$24:$D$34</definedName>
    <definedName name="測量印刷">#REF!</definedName>
    <definedName name="打合せ協議" localSheetId="6">#REF!</definedName>
    <definedName name="打合せ協議" localSheetId="3">#REF!</definedName>
    <definedName name="打合せ協議">#REF!</definedName>
    <definedName name="対象額区分" localSheetId="6">#REF!</definedName>
    <definedName name="対象額区分" localSheetId="3">#REF!</definedName>
    <definedName name="対象額区分">#REF!</definedName>
    <definedName name="対象者分類" localSheetId="6">#REF!</definedName>
    <definedName name="対象者分類" localSheetId="3">#REF!</definedName>
    <definedName name="対象者分類">#REF!</definedName>
    <definedName name="脱出マクロ">#REF!</definedName>
    <definedName name="単価">#REF!</definedName>
    <definedName name="調査">#REF!</definedName>
    <definedName name="直人">[7]見積!$H$3</definedName>
    <definedName name="直人合計" localSheetId="6">#REF!</definedName>
    <definedName name="直人合計" localSheetId="3">#REF!</definedName>
    <definedName name="直人合計" localSheetId="12">#REF!</definedName>
    <definedName name="直人合計" localSheetId="0">#REF!</definedName>
    <definedName name="直人合計" localSheetId="9">#REF!</definedName>
    <definedName name="直人合計" localSheetId="13">#REF!</definedName>
    <definedName name="直人合計" localSheetId="1">#REF!</definedName>
    <definedName name="直人合計" localSheetId="10">#REF!</definedName>
    <definedName name="直人合計" localSheetId="2">#REF!</definedName>
    <definedName name="直人合計" localSheetId="11">#REF!</definedName>
    <definedName name="直人合計" localSheetId="14">#REF!</definedName>
    <definedName name="直人合計" localSheetId="18">#REF!</definedName>
    <definedName name="直人合計" localSheetId="16">#REF!</definedName>
    <definedName name="直人合計" localSheetId="17">#REF!</definedName>
    <definedName name="直人合計">#REF!</definedName>
    <definedName name="直接">[7]見積!$H$11</definedName>
    <definedName name="登録マクロ">#REF!</definedName>
    <definedName name="内訳" localSheetId="6">[9]内訳書!#REF!</definedName>
    <definedName name="内訳" localSheetId="3">[9]内訳書!#REF!</definedName>
    <definedName name="内訳">[9]内訳書!#REF!</definedName>
    <definedName name="内訳書" localSheetId="6">#REF!</definedName>
    <definedName name="内訳書" localSheetId="3">#REF!</definedName>
    <definedName name="内訳書">#REF!</definedName>
    <definedName name="内容" localSheetId="6">[10]初期入力シート!#REF!</definedName>
    <definedName name="内容" localSheetId="3">[10]初期入力シート!#REF!</definedName>
    <definedName name="内容">[11]初期入力シート!#REF!</definedName>
    <definedName name="軟岩Ⅰ" localSheetId="6">#REF!</definedName>
    <definedName name="軟岩Ⅰ" localSheetId="3">#REF!</definedName>
    <definedName name="軟岩Ⅰ">#REF!</definedName>
    <definedName name="軟岩Ⅱ" localSheetId="6">#REF!</definedName>
    <definedName name="軟岩Ⅱ" localSheetId="3">#REF!</definedName>
    <definedName name="軟岩Ⅱ">#REF!</definedName>
    <definedName name="日額対象" localSheetId="6">#REF!</definedName>
    <definedName name="日額対象" localSheetId="3">#REF!</definedName>
    <definedName name="日額対象">#REF!</definedName>
    <definedName name="日当" localSheetId="6">#REF!</definedName>
    <definedName name="日当" localSheetId="3">#REF!</definedName>
    <definedName name="日当" localSheetId="12">#REF!</definedName>
    <definedName name="日当" localSheetId="0">#REF!</definedName>
    <definedName name="日当" localSheetId="9">#REF!</definedName>
    <definedName name="日当" localSheetId="13">#REF!</definedName>
    <definedName name="日当" localSheetId="1">#REF!</definedName>
    <definedName name="日当" localSheetId="10">#REF!</definedName>
    <definedName name="日当" localSheetId="2">#REF!</definedName>
    <definedName name="日当" localSheetId="11">#REF!</definedName>
    <definedName name="日当" localSheetId="14">#REF!</definedName>
    <definedName name="日当" localSheetId="18">#REF!</definedName>
    <definedName name="日当" localSheetId="16">#REF!</definedName>
    <definedName name="日当" localSheetId="17">#REF!</definedName>
    <definedName name="日当">#REF!</definedName>
    <definedName name="日当２">#REF!</definedName>
    <definedName name="範囲">#REF!</definedName>
    <definedName name="表紙金額">#REF!</definedName>
    <definedName name="複写">#REF!</definedName>
    <definedName name="複写先">#REF!</definedName>
    <definedName name="文字消去">#REF!</definedName>
    <definedName name="変更工期印刷">#REF!</definedName>
    <definedName name="変更消去">#REF!</definedName>
    <definedName name="変更数量印刷">#REF!</definedName>
    <definedName name="変更設計書印刷">#REF!</definedName>
    <definedName name="変更単価表印刷">#REF!</definedName>
    <definedName name="連続複写">#REF!</definedName>
    <definedName name="労務">#REF!</definedName>
    <definedName name="枠線の線引き">#REF!</definedName>
    <definedName name="礫混り土砂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24" l="1"/>
  <c r="E27" i="24"/>
  <c r="E21" i="23"/>
  <c r="E20" i="23"/>
  <c r="E22" i="24"/>
  <c r="E23" i="24" s="1"/>
  <c r="G43" i="2"/>
  <c r="E22" i="23" l="1"/>
  <c r="E27" i="21"/>
  <c r="E21" i="24"/>
  <c r="E20" i="24"/>
  <c r="E12" i="24"/>
  <c r="E11" i="24"/>
  <c r="E10" i="24"/>
  <c r="E9" i="24"/>
  <c r="E8" i="24"/>
  <c r="E7" i="24"/>
  <c r="E6" i="24"/>
  <c r="E5" i="24"/>
  <c r="E6" i="23" a="1"/>
  <c r="E6" i="23" s="1"/>
  <c r="E12" i="23" s="1"/>
  <c r="E18" i="23" s="1"/>
  <c r="E15" i="24"/>
  <c r="E14" i="24"/>
  <c r="E16" i="24" s="1"/>
  <c r="E19" i="24" s="1"/>
  <c r="E19" i="23"/>
  <c r="E16" i="23"/>
  <c r="E15" i="23"/>
  <c r="E14" i="23"/>
  <c r="M22" i="2"/>
  <c r="M23" i="2" s="1"/>
  <c r="E19" i="2"/>
  <c r="D44" i="3"/>
  <c r="E18" i="24" l="1"/>
  <c r="E28" i="24"/>
  <c r="E29" i="24" s="1"/>
  <c r="E24" i="24"/>
  <c r="E25" i="24" s="1"/>
  <c r="E23" i="23"/>
  <c r="E24" i="23" s="1"/>
  <c r="M24" i="2"/>
  <c r="E30" i="24" l="1"/>
  <c r="M25" i="2"/>
  <c r="M26" i="2" s="1"/>
  <c r="I16" i="3" l="1"/>
  <c r="H53" i="20"/>
  <c r="H47" i="20"/>
  <c r="H52" i="20"/>
  <c r="H50" i="20"/>
  <c r="M50" i="20" s="1"/>
  <c r="E22" i="21"/>
  <c r="E21" i="21"/>
  <c r="G67" i="21"/>
  <c r="F67" i="21"/>
  <c r="E80" i="21"/>
  <c r="G88" i="21"/>
  <c r="G87" i="21"/>
  <c r="G85" i="21" s="1"/>
  <c r="G91" i="21" s="1"/>
  <c r="E23" i="21" s="1"/>
  <c r="E33" i="19" s="1"/>
  <c r="D80" i="21"/>
  <c r="D81" i="21" s="1"/>
  <c r="M79" i="21"/>
  <c r="J79" i="21"/>
  <c r="M78" i="21"/>
  <c r="J78" i="21"/>
  <c r="M77" i="21"/>
  <c r="J77" i="21"/>
  <c r="M76" i="21"/>
  <c r="J76" i="21"/>
  <c r="H75" i="21"/>
  <c r="G75" i="21"/>
  <c r="F75" i="21"/>
  <c r="E75" i="21"/>
  <c r="M74" i="21"/>
  <c r="J74" i="21"/>
  <c r="J73" i="21"/>
  <c r="J72" i="21"/>
  <c r="I71" i="21"/>
  <c r="H71" i="21"/>
  <c r="G71" i="21"/>
  <c r="F71" i="21"/>
  <c r="M70" i="21"/>
  <c r="J70" i="21"/>
  <c r="M69" i="21"/>
  <c r="J69" i="21"/>
  <c r="M68" i="21"/>
  <c r="J68" i="21"/>
  <c r="I67" i="21"/>
  <c r="H67" i="21"/>
  <c r="M66" i="21"/>
  <c r="J66" i="21"/>
  <c r="M65" i="21"/>
  <c r="J65" i="21"/>
  <c r="M64" i="21"/>
  <c r="J64" i="21"/>
  <c r="M63" i="21"/>
  <c r="J63" i="21"/>
  <c r="M62" i="21"/>
  <c r="J62" i="21"/>
  <c r="H61" i="21"/>
  <c r="H47" i="21" s="1"/>
  <c r="G61" i="21"/>
  <c r="F61" i="21"/>
  <c r="E61" i="21"/>
  <c r="M60" i="21"/>
  <c r="J60" i="21"/>
  <c r="M59" i="21"/>
  <c r="J59" i="21"/>
  <c r="M58" i="21"/>
  <c r="J58" i="21"/>
  <c r="M57" i="21"/>
  <c r="J57" i="21"/>
  <c r="M56" i="21"/>
  <c r="J56" i="21"/>
  <c r="M55" i="21"/>
  <c r="J55" i="21"/>
  <c r="M54" i="21"/>
  <c r="J54" i="21"/>
  <c r="H53" i="21"/>
  <c r="G53" i="21"/>
  <c r="F53" i="21"/>
  <c r="E53" i="21"/>
  <c r="M53" i="21" s="1"/>
  <c r="M52" i="21"/>
  <c r="J52" i="21"/>
  <c r="M51" i="21"/>
  <c r="J51" i="21"/>
  <c r="M50" i="21"/>
  <c r="J50" i="21"/>
  <c r="M49" i="21"/>
  <c r="J49" i="21"/>
  <c r="H48" i="21"/>
  <c r="G48" i="21"/>
  <c r="F48" i="21"/>
  <c r="F47" i="21" s="1"/>
  <c r="E48" i="21"/>
  <c r="J48" i="21" s="1"/>
  <c r="G47" i="21"/>
  <c r="J46" i="21"/>
  <c r="J45" i="21"/>
  <c r="H44" i="21"/>
  <c r="G44" i="21"/>
  <c r="M44" i="21"/>
  <c r="M43" i="21"/>
  <c r="J43" i="21"/>
  <c r="M42" i="21"/>
  <c r="J42" i="21"/>
  <c r="M41" i="21"/>
  <c r="J41" i="21"/>
  <c r="M40" i="21"/>
  <c r="J40" i="21"/>
  <c r="M39" i="21"/>
  <c r="J39" i="21"/>
  <c r="H38" i="21"/>
  <c r="G38" i="21"/>
  <c r="G37" i="21" s="1"/>
  <c r="G80" i="21" s="1"/>
  <c r="G81" i="21" s="1"/>
  <c r="F38" i="21"/>
  <c r="M38" i="21" s="1"/>
  <c r="E38" i="21"/>
  <c r="I37" i="21"/>
  <c r="E37" i="21"/>
  <c r="G80" i="20"/>
  <c r="G79" i="20"/>
  <c r="G78" i="20"/>
  <c r="G84" i="20" s="1"/>
  <c r="I74" i="20"/>
  <c r="E74" i="20"/>
  <c r="D74" i="20"/>
  <c r="I73" i="20"/>
  <c r="G73" i="20"/>
  <c r="G74" i="20" s="1"/>
  <c r="F73" i="20"/>
  <c r="F74" i="20" s="1"/>
  <c r="E73" i="20"/>
  <c r="D73" i="20"/>
  <c r="M72" i="20"/>
  <c r="J72" i="20"/>
  <c r="M71" i="20"/>
  <c r="J71" i="20"/>
  <c r="M70" i="20"/>
  <c r="J70" i="20"/>
  <c r="M69" i="20"/>
  <c r="J69" i="20"/>
  <c r="M68" i="20"/>
  <c r="J68" i="20"/>
  <c r="M67" i="20"/>
  <c r="J67" i="20"/>
  <c r="M66" i="20"/>
  <c r="J66" i="20"/>
  <c r="M65" i="20"/>
  <c r="J65" i="20"/>
  <c r="M64" i="20"/>
  <c r="J64" i="20"/>
  <c r="M63" i="20"/>
  <c r="J63" i="20"/>
  <c r="M62" i="20"/>
  <c r="J62" i="20"/>
  <c r="M61" i="20"/>
  <c r="J61" i="20"/>
  <c r="M60" i="20"/>
  <c r="J60" i="20"/>
  <c r="M59" i="20"/>
  <c r="J59" i="20"/>
  <c r="M58" i="20"/>
  <c r="J58" i="20"/>
  <c r="M57" i="20"/>
  <c r="J57" i="20"/>
  <c r="M56" i="20"/>
  <c r="J56" i="20"/>
  <c r="M55" i="20"/>
  <c r="J55" i="20"/>
  <c r="M54" i="20"/>
  <c r="J54" i="20"/>
  <c r="M53" i="20"/>
  <c r="J53" i="20"/>
  <c r="M52" i="20"/>
  <c r="J52" i="20"/>
  <c r="M51" i="20"/>
  <c r="J51" i="20"/>
  <c r="M49" i="20"/>
  <c r="J49" i="20"/>
  <c r="M47" i="20"/>
  <c r="J47" i="20"/>
  <c r="M45" i="20"/>
  <c r="J45" i="20"/>
  <c r="M44" i="20"/>
  <c r="J44" i="20"/>
  <c r="M43" i="20"/>
  <c r="J43" i="20"/>
  <c r="M42" i="20"/>
  <c r="J42" i="20"/>
  <c r="M41" i="20"/>
  <c r="J41" i="20"/>
  <c r="M40" i="20"/>
  <c r="J40" i="20"/>
  <c r="M39" i="20"/>
  <c r="J39" i="20"/>
  <c r="M37" i="20"/>
  <c r="J37" i="20"/>
  <c r="M36" i="20"/>
  <c r="J36" i="20"/>
  <c r="M35" i="20"/>
  <c r="J35" i="20"/>
  <c r="M34" i="20"/>
  <c r="J34" i="20"/>
  <c r="M33" i="20"/>
  <c r="J33" i="20"/>
  <c r="J50" i="20" l="1"/>
  <c r="H48" i="20"/>
  <c r="J48" i="20" s="1"/>
  <c r="M48" i="20"/>
  <c r="M61" i="21"/>
  <c r="J71" i="21"/>
  <c r="I80" i="21"/>
  <c r="I81" i="21" s="1"/>
  <c r="J38" i="21"/>
  <c r="H37" i="21"/>
  <c r="M67" i="21"/>
  <c r="M75" i="21"/>
  <c r="H80" i="21"/>
  <c r="H81" i="21" s="1"/>
  <c r="M48" i="21"/>
  <c r="J44" i="21"/>
  <c r="E47" i="21"/>
  <c r="J53" i="21"/>
  <c r="J61" i="21"/>
  <c r="J67" i="21"/>
  <c r="J75" i="21"/>
  <c r="F37" i="21"/>
  <c r="F80" i="21" s="1"/>
  <c r="F81" i="21" s="1"/>
  <c r="M71" i="21"/>
  <c r="H46" i="20" l="1"/>
  <c r="J46" i="20" s="1"/>
  <c r="E21" i="20" s="1"/>
  <c r="E23" i="20" s="1"/>
  <c r="E24" i="20" s="1"/>
  <c r="E25" i="20" s="1"/>
  <c r="E26" i="20" s="1"/>
  <c r="E32" i="19"/>
  <c r="M37" i="21"/>
  <c r="M47" i="21"/>
  <c r="J47" i="21"/>
  <c r="J37" i="21"/>
  <c r="H38" i="20" l="1"/>
  <c r="M46" i="20"/>
  <c r="H73" i="20"/>
  <c r="M38" i="20"/>
  <c r="J38" i="20"/>
  <c r="E20" i="19" s="1"/>
  <c r="E22" i="19" s="1"/>
  <c r="E23" i="19" s="1"/>
  <c r="E24" i="19" s="1"/>
  <c r="E25" i="19" s="1"/>
  <c r="E44" i="19" s="1"/>
  <c r="E27" i="20"/>
  <c r="E28" i="20"/>
  <c r="C6" i="20" s="1"/>
  <c r="E6" i="20"/>
  <c r="E81" i="21"/>
  <c r="J80" i="21"/>
  <c r="J81" i="21"/>
  <c r="E27" i="19" l="1"/>
  <c r="E26" i="19"/>
  <c r="H74" i="20"/>
  <c r="J73" i="20"/>
  <c r="J74" i="20"/>
  <c r="E25" i="21"/>
  <c r="E31" i="19"/>
  <c r="E24" i="21"/>
  <c r="E26" i="21" l="1"/>
  <c r="E28" i="21" s="1"/>
  <c r="E29" i="21" s="1"/>
  <c r="E34" i="19"/>
  <c r="E35" i="19"/>
  <c r="E36" i="19" l="1"/>
  <c r="E31" i="21"/>
  <c r="C6" i="21" s="1"/>
  <c r="E30" i="21"/>
  <c r="E6" i="21"/>
  <c r="E37" i="19" l="1"/>
  <c r="E38" i="19" s="1"/>
  <c r="E39" i="19" s="1"/>
  <c r="E41" i="19" l="1"/>
  <c r="E40" i="19"/>
  <c r="E6" i="19" s="1"/>
  <c r="E45" i="19"/>
  <c r="E46" i="19" s="1"/>
  <c r="E47" i="19" l="1"/>
  <c r="E48" i="19" s="1"/>
  <c r="C6" i="19" s="1"/>
  <c r="H44" i="3" l="1"/>
  <c r="I43" i="3"/>
  <c r="I42" i="3"/>
  <c r="J69" i="7"/>
  <c r="H46" i="8"/>
  <c r="H48" i="8"/>
  <c r="H53" i="17"/>
  <c r="H50" i="17"/>
  <c r="H47" i="17"/>
  <c r="E32" i="18" l="1"/>
  <c r="G80" i="17"/>
  <c r="G79" i="17"/>
  <c r="G78" i="17"/>
  <c r="G84" i="17" s="1"/>
  <c r="F74" i="17"/>
  <c r="I73" i="17"/>
  <c r="I74" i="17" s="1"/>
  <c r="G73" i="17"/>
  <c r="G74" i="17" s="1"/>
  <c r="F73" i="17"/>
  <c r="E73" i="17"/>
  <c r="E74" i="17" s="1"/>
  <c r="D73" i="17"/>
  <c r="D74" i="17" s="1"/>
  <c r="M72" i="17"/>
  <c r="J72" i="17"/>
  <c r="M71" i="17"/>
  <c r="J71" i="17"/>
  <c r="M70" i="17"/>
  <c r="J70" i="17"/>
  <c r="M69" i="17"/>
  <c r="J69" i="17"/>
  <c r="M68" i="17"/>
  <c r="J68" i="17"/>
  <c r="M67" i="17"/>
  <c r="J67" i="17"/>
  <c r="M66" i="17"/>
  <c r="J66" i="17"/>
  <c r="M65" i="17"/>
  <c r="J65" i="17"/>
  <c r="M64" i="17"/>
  <c r="J64" i="17"/>
  <c r="M63" i="17"/>
  <c r="J63" i="17"/>
  <c r="M62" i="17"/>
  <c r="J62" i="17"/>
  <c r="M61" i="17"/>
  <c r="J61" i="17"/>
  <c r="M60" i="17"/>
  <c r="J60" i="17"/>
  <c r="M59" i="17"/>
  <c r="J59" i="17"/>
  <c r="M58" i="17"/>
  <c r="J58" i="17"/>
  <c r="M57" i="17"/>
  <c r="J57" i="17"/>
  <c r="M56" i="17"/>
  <c r="J56" i="17"/>
  <c r="M55" i="17"/>
  <c r="J55" i="17"/>
  <c r="M54" i="17"/>
  <c r="J54" i="17"/>
  <c r="J53" i="17"/>
  <c r="H52" i="17"/>
  <c r="M52" i="17" s="1"/>
  <c r="M51" i="17"/>
  <c r="J51" i="17"/>
  <c r="J50" i="17"/>
  <c r="M49" i="17"/>
  <c r="J49" i="17"/>
  <c r="M47" i="17"/>
  <c r="J47" i="17"/>
  <c r="M45" i="17"/>
  <c r="J45" i="17"/>
  <c r="M44" i="17"/>
  <c r="J44" i="17"/>
  <c r="M43" i="17"/>
  <c r="J43" i="17"/>
  <c r="M42" i="17"/>
  <c r="J42" i="17"/>
  <c r="M41" i="17"/>
  <c r="J41" i="17"/>
  <c r="M40" i="17"/>
  <c r="J40" i="17"/>
  <c r="M39" i="17"/>
  <c r="J39" i="17"/>
  <c r="M37" i="17"/>
  <c r="J37" i="17"/>
  <c r="M36" i="17"/>
  <c r="J36" i="17"/>
  <c r="M35" i="17"/>
  <c r="J35" i="17"/>
  <c r="M34" i="17"/>
  <c r="J34" i="17"/>
  <c r="M33" i="17"/>
  <c r="J33" i="17"/>
  <c r="M53" i="17" l="1"/>
  <c r="H48" i="17"/>
  <c r="M48" i="17" s="1"/>
  <c r="M50" i="17"/>
  <c r="J52" i="17"/>
  <c r="E14" i="12"/>
  <c r="H46" i="17" l="1"/>
  <c r="M46" i="17" s="1"/>
  <c r="J48" i="17"/>
  <c r="J46" i="17"/>
  <c r="E21" i="17" s="1"/>
  <c r="E20" i="18" s="1"/>
  <c r="E22" i="18" s="1"/>
  <c r="H38" i="17" l="1"/>
  <c r="E23" i="18"/>
  <c r="E24" i="18" s="1"/>
  <c r="E25" i="18" s="1"/>
  <c r="E26" i="18" s="1"/>
  <c r="E23" i="17"/>
  <c r="E24" i="17" s="1"/>
  <c r="E25" i="17" s="1"/>
  <c r="E26" i="17" s="1"/>
  <c r="H73" i="17"/>
  <c r="J38" i="17"/>
  <c r="M38" i="17"/>
  <c r="E48" i="7"/>
  <c r="F38" i="7"/>
  <c r="G38" i="7"/>
  <c r="H38" i="7"/>
  <c r="E38" i="7"/>
  <c r="E37" i="7" s="1"/>
  <c r="M39" i="7"/>
  <c r="M40" i="7"/>
  <c r="M41" i="7"/>
  <c r="M42" i="7"/>
  <c r="E53" i="7"/>
  <c r="D81" i="7"/>
  <c r="J45" i="7"/>
  <c r="J46" i="7"/>
  <c r="G44" i="7"/>
  <c r="H44" i="7"/>
  <c r="F44" i="7"/>
  <c r="E15" i="12"/>
  <c r="J39" i="7"/>
  <c r="J40" i="7"/>
  <c r="J41" i="7"/>
  <c r="J35" i="8"/>
  <c r="M35" i="8"/>
  <c r="J36" i="8"/>
  <c r="M36" i="8"/>
  <c r="J37" i="8"/>
  <c r="M37" i="8"/>
  <c r="M58" i="8"/>
  <c r="J58" i="8"/>
  <c r="M57" i="8"/>
  <c r="J57" i="8"/>
  <c r="M56" i="8"/>
  <c r="J56" i="8"/>
  <c r="M45" i="8"/>
  <c r="J45" i="8"/>
  <c r="M44" i="8"/>
  <c r="J44" i="8"/>
  <c r="M43" i="8"/>
  <c r="J43" i="8"/>
  <c r="M42" i="8"/>
  <c r="J42" i="8"/>
  <c r="M41" i="8"/>
  <c r="J41" i="8"/>
  <c r="M49" i="8"/>
  <c r="M50" i="8"/>
  <c r="M51" i="8"/>
  <c r="J49" i="8"/>
  <c r="J50" i="8"/>
  <c r="J51" i="8"/>
  <c r="J52" i="8"/>
  <c r="D73" i="8"/>
  <c r="D74" i="8" s="1"/>
  <c r="E43" i="18" l="1"/>
  <c r="E27" i="18"/>
  <c r="E28" i="17"/>
  <c r="C6" i="17" s="1"/>
  <c r="E27" i="17"/>
  <c r="E6" i="17"/>
  <c r="H74" i="17"/>
  <c r="J74" i="17"/>
  <c r="J73" i="17"/>
  <c r="J38" i="7"/>
  <c r="M38" i="7"/>
  <c r="H38" i="8"/>
  <c r="H73" i="8" s="1"/>
  <c r="H74" i="8" s="1"/>
  <c r="I73" i="8"/>
  <c r="I74" i="8" s="1"/>
  <c r="E73" i="8"/>
  <c r="E74" i="8" s="1"/>
  <c r="G73" i="8"/>
  <c r="G74" i="8" s="1"/>
  <c r="F73" i="8"/>
  <c r="F74" i="8" s="1"/>
  <c r="E19" i="12" l="1"/>
  <c r="H76" i="7" l="1"/>
  <c r="G76" i="7"/>
  <c r="F76" i="7"/>
  <c r="E76" i="7"/>
  <c r="I72" i="7"/>
  <c r="G72" i="7"/>
  <c r="H72" i="7"/>
  <c r="F72" i="7"/>
  <c r="H67" i="7"/>
  <c r="G67" i="7"/>
  <c r="I67" i="7"/>
  <c r="F67" i="7"/>
  <c r="H61" i="7"/>
  <c r="G61" i="7"/>
  <c r="F61" i="7"/>
  <c r="E61" i="7"/>
  <c r="H53" i="7"/>
  <c r="G53" i="7"/>
  <c r="F53" i="7"/>
  <c r="H48" i="7"/>
  <c r="G48" i="7"/>
  <c r="F48" i="7"/>
  <c r="H37" i="7"/>
  <c r="G37" i="7"/>
  <c r="I37" i="7"/>
  <c r="F37" i="7"/>
  <c r="M53" i="8"/>
  <c r="H73" i="11"/>
  <c r="H69" i="11" s="1"/>
  <c r="G73" i="11"/>
  <c r="M73" i="11" s="1"/>
  <c r="G76" i="11"/>
  <c r="M59" i="11"/>
  <c r="G91" i="11"/>
  <c r="G90" i="11"/>
  <c r="G89" i="11"/>
  <c r="G88" i="11"/>
  <c r="D83" i="11"/>
  <c r="D84" i="11" s="1"/>
  <c r="M82" i="11"/>
  <c r="J82" i="11"/>
  <c r="M81" i="11"/>
  <c r="J81" i="11"/>
  <c r="M80" i="11"/>
  <c r="J80" i="11"/>
  <c r="M79" i="11"/>
  <c r="J79" i="11"/>
  <c r="H78" i="11"/>
  <c r="G78" i="11"/>
  <c r="F78" i="11"/>
  <c r="E78" i="11"/>
  <c r="M77" i="11"/>
  <c r="J77" i="11"/>
  <c r="I76" i="11"/>
  <c r="I74" i="11" s="1"/>
  <c r="H76" i="11"/>
  <c r="J75" i="11"/>
  <c r="H75" i="11"/>
  <c r="F75" i="11"/>
  <c r="G74" i="11"/>
  <c r="F74" i="11"/>
  <c r="M72" i="11"/>
  <c r="J72" i="11"/>
  <c r="M71" i="11"/>
  <c r="J71" i="11"/>
  <c r="M70" i="11"/>
  <c r="J70" i="11"/>
  <c r="I69" i="11"/>
  <c r="F69" i="11"/>
  <c r="M68" i="11"/>
  <c r="J68" i="11"/>
  <c r="M67" i="11"/>
  <c r="J67" i="11"/>
  <c r="M66" i="11"/>
  <c r="J66" i="11"/>
  <c r="M65" i="11"/>
  <c r="J65" i="11"/>
  <c r="M64" i="11"/>
  <c r="J64" i="11"/>
  <c r="H63" i="11"/>
  <c r="G63" i="11"/>
  <c r="F63" i="11"/>
  <c r="E63" i="11"/>
  <c r="M62" i="11"/>
  <c r="J62" i="11"/>
  <c r="M61" i="11"/>
  <c r="M60" i="11"/>
  <c r="J59" i="11"/>
  <c r="J58" i="11"/>
  <c r="M56" i="11"/>
  <c r="J56" i="11"/>
  <c r="M55" i="11"/>
  <c r="J55" i="11"/>
  <c r="M54" i="11"/>
  <c r="J54" i="11"/>
  <c r="M53" i="11"/>
  <c r="J53" i="11"/>
  <c r="M52" i="11"/>
  <c r="J52" i="11"/>
  <c r="G51" i="11"/>
  <c r="F51" i="11"/>
  <c r="E51" i="11"/>
  <c r="M50" i="11"/>
  <c r="J50" i="11"/>
  <c r="M49" i="11"/>
  <c r="J49" i="11"/>
  <c r="M48" i="11"/>
  <c r="J48" i="11"/>
  <c r="M47" i="11"/>
  <c r="J47" i="11"/>
  <c r="H46" i="11"/>
  <c r="G46" i="11"/>
  <c r="F46" i="11"/>
  <c r="E46" i="11"/>
  <c r="M44" i="11"/>
  <c r="J44" i="11"/>
  <c r="M43" i="11"/>
  <c r="J43" i="11"/>
  <c r="M42" i="11"/>
  <c r="J42" i="11"/>
  <c r="J41" i="11"/>
  <c r="J40" i="11"/>
  <c r="H39" i="11"/>
  <c r="H38" i="11" s="1"/>
  <c r="G39" i="11"/>
  <c r="G38" i="11" s="1"/>
  <c r="F39" i="11"/>
  <c r="F38" i="11" s="1"/>
  <c r="E39" i="11"/>
  <c r="I38" i="11"/>
  <c r="G80" i="8"/>
  <c r="G79" i="8"/>
  <c r="G78" i="8"/>
  <c r="M72" i="8"/>
  <c r="J72" i="8"/>
  <c r="M71" i="8"/>
  <c r="J71" i="8"/>
  <c r="M70" i="8"/>
  <c r="J70" i="8"/>
  <c r="M69" i="8"/>
  <c r="J69" i="8"/>
  <c r="M67" i="8"/>
  <c r="J67" i="8"/>
  <c r="M65" i="8"/>
  <c r="J65" i="8"/>
  <c r="M64" i="8"/>
  <c r="J64" i="8"/>
  <c r="M63" i="8"/>
  <c r="J63" i="8"/>
  <c r="M62" i="8"/>
  <c r="J62" i="8"/>
  <c r="M60" i="8"/>
  <c r="J60" i="8"/>
  <c r="M59" i="8"/>
  <c r="J59" i="8"/>
  <c r="M54" i="8"/>
  <c r="J54" i="8"/>
  <c r="M48" i="8"/>
  <c r="M47" i="8"/>
  <c r="J48" i="7" l="1"/>
  <c r="G47" i="7"/>
  <c r="F47" i="7"/>
  <c r="F81" i="7" s="1"/>
  <c r="J53" i="7"/>
  <c r="E47" i="7"/>
  <c r="H47" i="7"/>
  <c r="G45" i="11"/>
  <c r="G69" i="11"/>
  <c r="J69" i="11" s="1"/>
  <c r="G95" i="11"/>
  <c r="E25" i="11" s="1"/>
  <c r="J73" i="11"/>
  <c r="J76" i="11"/>
  <c r="J60" i="11"/>
  <c r="J39" i="11"/>
  <c r="H74" i="11"/>
  <c r="M74" i="11" s="1"/>
  <c r="E38" i="11"/>
  <c r="M38" i="11" s="1"/>
  <c r="J78" i="11"/>
  <c r="E45" i="11"/>
  <c r="E83" i="11" s="1"/>
  <c r="E84" i="11" s="1"/>
  <c r="I83" i="11"/>
  <c r="I84" i="11" s="1"/>
  <c r="M78" i="11"/>
  <c r="J46" i="11"/>
  <c r="M46" i="11"/>
  <c r="M69" i="11"/>
  <c r="G83" i="11"/>
  <c r="G84" i="11" s="1"/>
  <c r="M63" i="11"/>
  <c r="J38" i="11"/>
  <c r="M39" i="11"/>
  <c r="F45" i="11"/>
  <c r="M58" i="11"/>
  <c r="J61" i="11"/>
  <c r="J63" i="11"/>
  <c r="J34" i="8"/>
  <c r="J48" i="8"/>
  <c r="J66" i="8"/>
  <c r="M52" i="8"/>
  <c r="G84" i="8"/>
  <c r="M34" i="8"/>
  <c r="J39" i="8"/>
  <c r="M33" i="8"/>
  <c r="M39" i="8"/>
  <c r="J68" i="8"/>
  <c r="M61" i="8"/>
  <c r="M66" i="8"/>
  <c r="M55" i="8"/>
  <c r="M68" i="8"/>
  <c r="J47" i="8"/>
  <c r="J53" i="8"/>
  <c r="J55" i="8"/>
  <c r="J61" i="8"/>
  <c r="E81" i="7" l="1"/>
  <c r="J47" i="7"/>
  <c r="J74" i="11"/>
  <c r="F83" i="11"/>
  <c r="M57" i="11"/>
  <c r="J57" i="11"/>
  <c r="H51" i="11"/>
  <c r="J33" i="8"/>
  <c r="M46" i="8"/>
  <c r="J46" i="8"/>
  <c r="E21" i="8" l="1"/>
  <c r="F84" i="11"/>
  <c r="H45" i="11"/>
  <c r="H83" i="11" s="1"/>
  <c r="M51" i="11"/>
  <c r="J51" i="11"/>
  <c r="M40" i="8"/>
  <c r="J40" i="8"/>
  <c r="E23" i="8" l="1"/>
  <c r="E24" i="8" s="1"/>
  <c r="E21" i="12" s="1"/>
  <c r="J45" i="11"/>
  <c r="M45" i="11"/>
  <c r="M38" i="8"/>
  <c r="J38" i="8"/>
  <c r="E25" i="8" l="1"/>
  <c r="E20" i="9"/>
  <c r="E6" i="12"/>
  <c r="H84" i="11"/>
  <c r="J84" i="11"/>
  <c r="E24" i="11" s="1"/>
  <c r="E31" i="18" s="1"/>
  <c r="J83" i="11"/>
  <c r="J74" i="8"/>
  <c r="J73" i="8"/>
  <c r="E34" i="18" l="1"/>
  <c r="E33" i="18"/>
  <c r="E22" i="9"/>
  <c r="E20" i="12" s="1"/>
  <c r="E27" i="11"/>
  <c r="E26" i="11"/>
  <c r="E35" i="18" l="1"/>
  <c r="E36" i="18" s="1"/>
  <c r="E37" i="18" s="1"/>
  <c r="E38" i="18" s="1"/>
  <c r="E23" i="9"/>
  <c r="E28" i="11"/>
  <c r="E29" i="11" s="1"/>
  <c r="E26" i="8"/>
  <c r="E40" i="18" l="1"/>
  <c r="E39" i="18"/>
  <c r="E6" i="18" s="1"/>
  <c r="E44" i="18"/>
  <c r="E45" i="18" s="1"/>
  <c r="E46" i="18" s="1"/>
  <c r="E47" i="18" s="1"/>
  <c r="C6" i="18" s="1"/>
  <c r="E24" i="9"/>
  <c r="E25" i="9" s="1"/>
  <c r="E22" i="12" s="1"/>
  <c r="E27" i="15" s="1"/>
  <c r="E30" i="11"/>
  <c r="E31" i="11" s="1"/>
  <c r="E28" i="8"/>
  <c r="C6" i="8" s="1"/>
  <c r="E6" i="8"/>
  <c r="E27" i="8"/>
  <c r="E23" i="12" l="1"/>
  <c r="E24" i="12" s="1"/>
  <c r="E44" i="9"/>
  <c r="E27" i="9"/>
  <c r="E26" i="9"/>
  <c r="E33" i="11"/>
  <c r="C7" i="11" s="1"/>
  <c r="E32" i="11"/>
  <c r="E7" i="11"/>
  <c r="G89" i="7" l="1"/>
  <c r="E15" i="15" s="1"/>
  <c r="G88" i="7"/>
  <c r="G86" i="7" s="1"/>
  <c r="E14" i="15" s="1"/>
  <c r="D82" i="7"/>
  <c r="M80" i="7"/>
  <c r="J80" i="7"/>
  <c r="E11" i="15" s="1"/>
  <c r="M79" i="7"/>
  <c r="J79" i="7"/>
  <c r="M78" i="7"/>
  <c r="J78" i="7"/>
  <c r="M77" i="7"/>
  <c r="J77" i="7"/>
  <c r="M75" i="7"/>
  <c r="J75" i="7"/>
  <c r="E9" i="15" s="1"/>
  <c r="J74" i="7"/>
  <c r="M71" i="7"/>
  <c r="J71" i="7"/>
  <c r="M70" i="7"/>
  <c r="J70" i="7"/>
  <c r="M69" i="7"/>
  <c r="M68" i="7"/>
  <c r="J68" i="7"/>
  <c r="M66" i="7"/>
  <c r="J66" i="7"/>
  <c r="M65" i="7"/>
  <c r="J65" i="7"/>
  <c r="M64" i="7"/>
  <c r="J64" i="7"/>
  <c r="M63" i="7"/>
  <c r="J63" i="7"/>
  <c r="M62" i="7"/>
  <c r="J62" i="7"/>
  <c r="M60" i="7"/>
  <c r="J60" i="7"/>
  <c r="M58" i="7"/>
  <c r="J58" i="7"/>
  <c r="M57" i="7"/>
  <c r="J57" i="7"/>
  <c r="M56" i="7"/>
  <c r="J56" i="7"/>
  <c r="M55" i="7"/>
  <c r="J55" i="7"/>
  <c r="M54" i="7"/>
  <c r="J54" i="7"/>
  <c r="M52" i="7"/>
  <c r="J52" i="7"/>
  <c r="M51" i="7"/>
  <c r="J51" i="7"/>
  <c r="M50" i="7"/>
  <c r="J50" i="7"/>
  <c r="M49" i="7"/>
  <c r="J49" i="7"/>
  <c r="M44" i="7"/>
  <c r="J44" i="7"/>
  <c r="M43" i="7"/>
  <c r="J43" i="7"/>
  <c r="J42" i="7"/>
  <c r="E22" i="7" l="1"/>
  <c r="E32" i="9" s="1"/>
  <c r="E16" i="12"/>
  <c r="J73" i="7"/>
  <c r="M67" i="7"/>
  <c r="I81" i="7"/>
  <c r="I82" i="7" s="1"/>
  <c r="M76" i="7"/>
  <c r="M72" i="7"/>
  <c r="G92" i="7"/>
  <c r="M61" i="7"/>
  <c r="M48" i="7"/>
  <c r="E82" i="7"/>
  <c r="J76" i="7"/>
  <c r="E10" i="15" s="1"/>
  <c r="G81" i="7"/>
  <c r="H81" i="7"/>
  <c r="H82" i="7" s="1"/>
  <c r="M53" i="7"/>
  <c r="J59" i="7"/>
  <c r="J61" i="7"/>
  <c r="M59" i="7"/>
  <c r="J67" i="7"/>
  <c r="E7" i="15" s="1"/>
  <c r="G82" i="7" l="1"/>
  <c r="J82" i="7"/>
  <c r="E21" i="7" s="1"/>
  <c r="E31" i="9" s="1"/>
  <c r="J81" i="7"/>
  <c r="E23" i="7"/>
  <c r="E33" i="9" s="1"/>
  <c r="E16" i="15"/>
  <c r="E19" i="15" s="1"/>
  <c r="J72" i="7"/>
  <c r="E8" i="15" s="1"/>
  <c r="M47" i="7"/>
  <c r="M37" i="7"/>
  <c r="J37" i="7"/>
  <c r="E5" i="15" s="1"/>
  <c r="E6" i="15"/>
  <c r="E35" i="9" l="1"/>
  <c r="E34" i="9"/>
  <c r="E25" i="7"/>
  <c r="E24" i="7"/>
  <c r="E12" i="15"/>
  <c r="F82" i="7"/>
  <c r="E20" i="15" l="1"/>
  <c r="E18" i="15"/>
  <c r="E12" i="12"/>
  <c r="E18" i="12" s="1"/>
  <c r="E36" i="9" l="1"/>
  <c r="E37" i="9" s="1"/>
  <c r="E38" i="9" s="1"/>
  <c r="E26" i="7"/>
  <c r="E21" i="15" s="1"/>
  <c r="E39" i="9" l="1"/>
  <c r="E45" i="9" s="1"/>
  <c r="E46" i="9" s="1"/>
  <c r="E27" i="7"/>
  <c r="E22" i="15" s="1"/>
  <c r="E47" i="9" l="1"/>
  <c r="E48" i="9" s="1"/>
  <c r="C6" i="9" s="1"/>
  <c r="E23" i="15"/>
  <c r="E28" i="7"/>
  <c r="E29" i="7" s="1"/>
  <c r="E40" i="9"/>
  <c r="E6" i="9" s="1"/>
  <c r="E41" i="9"/>
  <c r="E28" i="15" l="1"/>
  <c r="E29" i="15" s="1"/>
  <c r="E24" i="15"/>
  <c r="E25" i="15" s="1"/>
  <c r="E6" i="7"/>
  <c r="E31" i="7"/>
  <c r="C6" i="7" s="1"/>
  <c r="E30" i="7"/>
  <c r="G71" i="1"/>
  <c r="H71" i="1"/>
  <c r="I71" i="1"/>
  <c r="F71" i="1"/>
  <c r="J72" i="1"/>
  <c r="J73" i="1"/>
  <c r="G73" i="1"/>
  <c r="I73" i="1"/>
  <c r="H73" i="1"/>
  <c r="H72" i="1"/>
  <c r="F72" i="1"/>
  <c r="J37" i="1"/>
  <c r="J38" i="1"/>
  <c r="F36" i="1"/>
  <c r="H36" i="1"/>
  <c r="H56" i="1"/>
  <c r="J56" i="1" s="1"/>
  <c r="J55" i="1"/>
  <c r="H55" i="1"/>
  <c r="E30" i="15" l="1"/>
  <c r="E31" i="15" s="1"/>
  <c r="H58" i="1"/>
  <c r="J58" i="1" s="1"/>
  <c r="H57" i="1" l="1"/>
  <c r="J57" i="1" s="1"/>
  <c r="H54" i="1" l="1"/>
  <c r="H48" i="1" s="1"/>
  <c r="M58" i="1" l="1"/>
  <c r="F35" i="1" l="1"/>
  <c r="G35" i="1"/>
  <c r="H35" i="1"/>
  <c r="I35" i="1"/>
  <c r="G88" i="1"/>
  <c r="F60" i="1" l="1"/>
  <c r="G60" i="1"/>
  <c r="H60" i="1"/>
  <c r="E60" i="1"/>
  <c r="F43" i="1"/>
  <c r="G43" i="1"/>
  <c r="H43" i="1"/>
  <c r="E43" i="1"/>
  <c r="F66" i="1"/>
  <c r="G66" i="1"/>
  <c r="H66" i="1"/>
  <c r="I66" i="1"/>
  <c r="E66" i="1"/>
  <c r="M36" i="1"/>
  <c r="M39" i="1"/>
  <c r="M40" i="1"/>
  <c r="M41" i="1"/>
  <c r="M44" i="1"/>
  <c r="M45" i="1"/>
  <c r="M46" i="1"/>
  <c r="M47" i="1"/>
  <c r="M49" i="1"/>
  <c r="M50" i="1"/>
  <c r="M51" i="1"/>
  <c r="M52" i="1"/>
  <c r="M53" i="1"/>
  <c r="M59" i="1"/>
  <c r="M61" i="1"/>
  <c r="M62" i="1"/>
  <c r="M63" i="1"/>
  <c r="M64" i="1"/>
  <c r="M65" i="1"/>
  <c r="M67" i="1"/>
  <c r="M68" i="1"/>
  <c r="M69" i="1"/>
  <c r="M70" i="1"/>
  <c r="M71" i="1"/>
  <c r="M74" i="1"/>
  <c r="M76" i="1"/>
  <c r="M77" i="1"/>
  <c r="M78" i="1"/>
  <c r="M79" i="1"/>
  <c r="M35" i="1"/>
  <c r="D80" i="1"/>
  <c r="F75" i="1"/>
  <c r="G75" i="1"/>
  <c r="H75" i="1"/>
  <c r="E75" i="1"/>
  <c r="D81" i="1" l="1"/>
  <c r="H42" i="1"/>
  <c r="H80" i="1" s="1"/>
  <c r="H81" i="1" s="1"/>
  <c r="M75" i="1"/>
  <c r="M60" i="1"/>
  <c r="M43" i="1"/>
  <c r="M66" i="1"/>
  <c r="G41" i="3"/>
  <c r="F41" i="3"/>
  <c r="I41" i="3" s="1"/>
  <c r="F40" i="3"/>
  <c r="E40" i="3"/>
  <c r="E44" i="3" s="1"/>
  <c r="H32" i="3"/>
  <c r="G32" i="3"/>
  <c r="F32" i="3"/>
  <c r="E32" i="3"/>
  <c r="D32" i="3"/>
  <c r="C32" i="3"/>
  <c r="I31" i="3"/>
  <c r="I30" i="3"/>
  <c r="I29" i="3"/>
  <c r="I28" i="3"/>
  <c r="I27" i="3"/>
  <c r="I26" i="3"/>
  <c r="I25" i="3"/>
  <c r="I24" i="3"/>
  <c r="H16" i="3"/>
  <c r="G16" i="3"/>
  <c r="F16" i="3"/>
  <c r="E16" i="3"/>
  <c r="D16" i="3"/>
  <c r="C16" i="3"/>
  <c r="I15" i="3"/>
  <c r="I14" i="3"/>
  <c r="I13" i="3"/>
  <c r="K13" i="3" s="1"/>
  <c r="I12" i="3"/>
  <c r="K12" i="3" s="1"/>
  <c r="I11" i="3"/>
  <c r="K11" i="3" s="1"/>
  <c r="I10" i="3"/>
  <c r="K10" i="3" s="1"/>
  <c r="I9" i="3"/>
  <c r="K9" i="3" s="1"/>
  <c r="I8" i="3"/>
  <c r="K8" i="3" s="1"/>
  <c r="I7" i="3"/>
  <c r="K7" i="3" s="1"/>
  <c r="H35" i="2"/>
  <c r="H34" i="2" s="1"/>
  <c r="G33" i="2" s="1"/>
  <c r="M27" i="2"/>
  <c r="F44" i="3" l="1"/>
  <c r="G44" i="3"/>
  <c r="I44" i="3" s="1"/>
  <c r="I32" i="3"/>
  <c r="I40" i="3"/>
  <c r="M7" i="3"/>
  <c r="M9" i="3" s="1"/>
  <c r="K32" i="3"/>
  <c r="E20" i="2" l="1"/>
  <c r="E33" i="2"/>
  <c r="I33" i="2" s="1"/>
  <c r="E23" i="2" l="1"/>
  <c r="L22" i="2"/>
  <c r="G86" i="1"/>
  <c r="G87" i="1"/>
  <c r="J66" i="1"/>
  <c r="J67" i="1"/>
  <c r="J68" i="1"/>
  <c r="J69" i="1"/>
  <c r="J70" i="1"/>
  <c r="J71" i="1"/>
  <c r="J74" i="1"/>
  <c r="J75" i="1"/>
  <c r="J76" i="1"/>
  <c r="J77" i="1"/>
  <c r="J78" i="1"/>
  <c r="J79" i="1"/>
  <c r="J65" i="1"/>
  <c r="J49" i="1"/>
  <c r="J50" i="1"/>
  <c r="J51" i="1"/>
  <c r="J52" i="1"/>
  <c r="J53" i="1"/>
  <c r="J59" i="1"/>
  <c r="J60" i="1"/>
  <c r="J61" i="1"/>
  <c r="J62" i="1"/>
  <c r="J63" i="1"/>
  <c r="J64" i="1"/>
  <c r="J47" i="1"/>
  <c r="L23" i="2" l="1"/>
  <c r="L24" i="2"/>
  <c r="G85" i="1"/>
  <c r="J46" i="1"/>
  <c r="J45" i="1"/>
  <c r="J44" i="1"/>
  <c r="J41" i="1"/>
  <c r="J40" i="1"/>
  <c r="J39" i="1"/>
  <c r="L25" i="2" l="1"/>
  <c r="L26" i="2" s="1"/>
  <c r="G91" i="1"/>
  <c r="J36" i="1"/>
  <c r="J43" i="1"/>
  <c r="J35" i="1"/>
  <c r="E22" i="1" l="1"/>
  <c r="G44" i="2" l="1"/>
  <c r="E21" i="2" s="1"/>
  <c r="E22" i="2" s="1"/>
  <c r="E24" i="2" l="1"/>
  <c r="E25" i="2" s="1"/>
  <c r="E26" i="2" l="1"/>
  <c r="E27" i="2" s="1"/>
  <c r="I80" i="1"/>
  <c r="I81" i="1" s="1"/>
  <c r="E48" i="1"/>
  <c r="J54" i="1"/>
  <c r="M54" i="1"/>
  <c r="G48" i="1"/>
  <c r="G42" i="1" s="1"/>
  <c r="G80" i="1" s="1"/>
  <c r="G81" i="1" s="1"/>
  <c r="F48" i="1"/>
  <c r="F42" i="1" s="1"/>
  <c r="F80" i="1" s="1"/>
  <c r="F81" i="1" s="1"/>
  <c r="M56" i="1"/>
  <c r="M57" i="1"/>
  <c r="M55" i="1"/>
  <c r="E29" i="2" l="1"/>
  <c r="C6" i="2" s="1"/>
  <c r="E6" i="2"/>
  <c r="E28" i="2"/>
  <c r="M48" i="1"/>
  <c r="E42" i="1"/>
  <c r="J48" i="1"/>
  <c r="E80" i="1" l="1"/>
  <c r="J42" i="1"/>
  <c r="M42" i="1"/>
  <c r="J81" i="1" l="1"/>
  <c r="E21" i="1" s="1"/>
  <c r="E81" i="1"/>
  <c r="J80" i="1"/>
  <c r="E23" i="1" l="1"/>
  <c r="E24" i="1"/>
  <c r="E25" i="1" l="1"/>
  <c r="E26" i="1" l="1"/>
  <c r="E27" i="1" s="1"/>
  <c r="E28" i="1" s="1"/>
  <c r="E30" i="1" l="1"/>
  <c r="C6" i="1" s="1"/>
  <c r="E29" i="1"/>
  <c r="E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<sst xmlns="http://schemas.openxmlformats.org/spreadsheetml/2006/main" count="1686" uniqueCount="314">
  <si>
    <t>参　考　御　見　積　書</t>
    <rPh sb="0" eb="1">
      <t>サン</t>
    </rPh>
    <rPh sb="2" eb="3">
      <t>コウ</t>
    </rPh>
    <rPh sb="4" eb="5">
      <t>オ</t>
    </rPh>
    <rPh sb="6" eb="7">
      <t>ケン</t>
    </rPh>
    <rPh sb="8" eb="9">
      <t>セキ</t>
    </rPh>
    <rPh sb="10" eb="11">
      <t>ショ</t>
    </rPh>
    <phoneticPr fontId="3"/>
  </si>
  <si>
    <t>見積管理No</t>
    <rPh sb="0" eb="2">
      <t>ミツモリ</t>
    </rPh>
    <rPh sb="2" eb="4">
      <t>カンリ</t>
    </rPh>
    <phoneticPr fontId="3"/>
  </si>
  <si>
    <t>（消費税額</t>
    <rPh sb="1" eb="4">
      <t>ショウヒゼイ</t>
    </rPh>
    <rPh sb="4" eb="5">
      <t>ガク</t>
    </rPh>
    <phoneticPr fontId="3"/>
  </si>
  <si>
    <t>別途）</t>
    <rPh sb="0" eb="2">
      <t>ベット</t>
    </rPh>
    <phoneticPr fontId="3"/>
  </si>
  <si>
    <t>山田　芽衣</t>
    <rPh sb="0" eb="2">
      <t>ヤマダ</t>
    </rPh>
    <rPh sb="3" eb="5">
      <t>メイ</t>
    </rPh>
    <phoneticPr fontId="3"/>
  </si>
  <si>
    <t>企画開発部</t>
    <rPh sb="0" eb="2">
      <t>キカク</t>
    </rPh>
    <rPh sb="2" eb="5">
      <t>カイハツブ</t>
    </rPh>
    <phoneticPr fontId="3"/>
  </si>
  <si>
    <t>　業務名</t>
    <rPh sb="1" eb="3">
      <t>ギョウム</t>
    </rPh>
    <rPh sb="3" eb="4">
      <t>メイ</t>
    </rPh>
    <phoneticPr fontId="3"/>
  </si>
  <si>
    <t>上記の通り御見積致します。</t>
    <phoneticPr fontId="3"/>
  </si>
  <si>
    <t>※見積条件及び支払い条件</t>
    <phoneticPr fontId="3"/>
  </si>
  <si>
    <t>株式会社プレック研究所　横浜事務所</t>
    <phoneticPr fontId="4"/>
  </si>
  <si>
    <t>事務所長　　宮元　亮祐</t>
    <rPh sb="0" eb="2">
      <t>ジム</t>
    </rPh>
    <rPh sb="2" eb="4">
      <t>ショチョウ</t>
    </rPh>
    <rPh sb="6" eb="8">
      <t>ミヤモト</t>
    </rPh>
    <rPh sb="9" eb="10">
      <t>リョウ</t>
    </rPh>
    <rPh sb="10" eb="11">
      <t>スケ</t>
    </rPh>
    <phoneticPr fontId="3"/>
  </si>
  <si>
    <t>内訳書</t>
    <rPh sb="0" eb="3">
      <t>ウチワケショ</t>
    </rPh>
    <phoneticPr fontId="3"/>
  </si>
  <si>
    <t>名称</t>
    <rPh sb="0" eb="2">
      <t>メイショウ</t>
    </rPh>
    <phoneticPr fontId="3"/>
  </si>
  <si>
    <t>金額</t>
    <phoneticPr fontId="3"/>
  </si>
  <si>
    <t>摘要</t>
    <rPh sb="0" eb="2">
      <t>テキヨウ</t>
    </rPh>
    <phoneticPr fontId="3"/>
  </si>
  <si>
    <t>直接人件費</t>
    <rPh sb="0" eb="2">
      <t>チョクセツ</t>
    </rPh>
    <rPh sb="2" eb="5">
      <t>ジンケンヒ</t>
    </rPh>
    <phoneticPr fontId="3"/>
  </si>
  <si>
    <t>直接人件費明細書　参照</t>
    <rPh sb="0" eb="2">
      <t>チョクセツ</t>
    </rPh>
    <rPh sb="2" eb="5">
      <t>ジンケンヒ</t>
    </rPh>
    <rPh sb="5" eb="8">
      <t>メイサイショ</t>
    </rPh>
    <rPh sb="9" eb="11">
      <t>サンショウ</t>
    </rPh>
    <phoneticPr fontId="3"/>
  </si>
  <si>
    <t>直接経費</t>
    <rPh sb="0" eb="2">
      <t>チョクセツ</t>
    </rPh>
    <rPh sb="2" eb="4">
      <t>ケイヒ</t>
    </rPh>
    <phoneticPr fontId="3"/>
  </si>
  <si>
    <t>直接経費明細書　参照</t>
    <rPh sb="0" eb="2">
      <t>チョクセツ</t>
    </rPh>
    <rPh sb="2" eb="4">
      <t>ケイヒ</t>
    </rPh>
    <rPh sb="4" eb="7">
      <t>メイサイショ</t>
    </rPh>
    <rPh sb="8" eb="10">
      <t>サンショウ</t>
    </rPh>
    <phoneticPr fontId="3"/>
  </si>
  <si>
    <t>直接原価</t>
    <phoneticPr fontId="3"/>
  </si>
  <si>
    <t>（直接人件費）＋（直接経費）</t>
    <rPh sb="1" eb="3">
      <t>チョクセツ</t>
    </rPh>
    <rPh sb="3" eb="6">
      <t>ジンケンヒ</t>
    </rPh>
    <rPh sb="9" eb="11">
      <t>チョクセツ</t>
    </rPh>
    <rPh sb="11" eb="13">
      <t>ケイヒ</t>
    </rPh>
    <phoneticPr fontId="3"/>
  </si>
  <si>
    <t>その他原価</t>
    <rPh sb="2" eb="3">
      <t>タ</t>
    </rPh>
    <rPh sb="3" eb="5">
      <t>ゲンカ</t>
    </rPh>
    <phoneticPr fontId="3"/>
  </si>
  <si>
    <t>（直接人件費）×α／（1-α）　　　※α＝35％</t>
    <rPh sb="1" eb="3">
      <t>チョクセツ</t>
    </rPh>
    <rPh sb="3" eb="6">
      <t>ジンケンヒ</t>
    </rPh>
    <phoneticPr fontId="3"/>
  </si>
  <si>
    <t>業務原価</t>
    <phoneticPr fontId="3"/>
  </si>
  <si>
    <t>（直接原価）＋（その他原価）</t>
    <rPh sb="1" eb="3">
      <t>チョクセツ</t>
    </rPh>
    <rPh sb="3" eb="5">
      <t>ゲンカ</t>
    </rPh>
    <rPh sb="10" eb="11">
      <t>タ</t>
    </rPh>
    <rPh sb="11" eb="13">
      <t>ゲンカ</t>
    </rPh>
    <phoneticPr fontId="3"/>
  </si>
  <si>
    <t>一般管理費等</t>
    <rPh sb="0" eb="2">
      <t>イッパン</t>
    </rPh>
    <rPh sb="2" eb="5">
      <t>カンリヒ</t>
    </rPh>
    <rPh sb="5" eb="6">
      <t>トウ</t>
    </rPh>
    <phoneticPr fontId="3"/>
  </si>
  <si>
    <t>（業務原価）×β／（1ーβ）　　※β＝35％</t>
    <rPh sb="1" eb="3">
      <t>ギョウム</t>
    </rPh>
    <rPh sb="3" eb="5">
      <t>ゲンカ</t>
    </rPh>
    <phoneticPr fontId="3"/>
  </si>
  <si>
    <t>業務価格</t>
    <rPh sb="0" eb="2">
      <t>ギョウム</t>
    </rPh>
    <rPh sb="2" eb="4">
      <t>カカク</t>
    </rPh>
    <phoneticPr fontId="3"/>
  </si>
  <si>
    <t>（業務原価）＋（一般管理費等）</t>
    <phoneticPr fontId="3"/>
  </si>
  <si>
    <t>業務価格　改め（端数整理）</t>
    <rPh sb="0" eb="2">
      <t>ギョウム</t>
    </rPh>
    <rPh sb="2" eb="4">
      <t>カカク</t>
    </rPh>
    <rPh sb="5" eb="6">
      <t>アラタ</t>
    </rPh>
    <rPh sb="8" eb="10">
      <t>ハスウ</t>
    </rPh>
    <rPh sb="10" eb="12">
      <t>セイリ</t>
    </rPh>
    <phoneticPr fontId="3"/>
  </si>
  <si>
    <t>万円止め</t>
    <rPh sb="0" eb="2">
      <t>マンエン</t>
    </rPh>
    <rPh sb="2" eb="3">
      <t>ド</t>
    </rPh>
    <phoneticPr fontId="3"/>
  </si>
  <si>
    <t>消費税（10％）</t>
    <rPh sb="0" eb="3">
      <t>ショウヒゼイ</t>
    </rPh>
    <phoneticPr fontId="3"/>
  </si>
  <si>
    <t>見積金額（税込み）</t>
    <rPh sb="0" eb="2">
      <t>ミツモリ</t>
    </rPh>
    <rPh sb="2" eb="3">
      <t>キン</t>
    </rPh>
    <rPh sb="3" eb="4">
      <t>ガク</t>
    </rPh>
    <rPh sb="5" eb="7">
      <t>ゼイコ</t>
    </rPh>
    <phoneticPr fontId="3"/>
  </si>
  <si>
    <t>業務項目</t>
    <rPh sb="0" eb="2">
      <t>ギョウム</t>
    </rPh>
    <rPh sb="2" eb="4">
      <t>コウモク</t>
    </rPh>
    <phoneticPr fontId="3"/>
  </si>
  <si>
    <t>技師長</t>
    <rPh sb="0" eb="3">
      <t>ギシチョウ</t>
    </rPh>
    <phoneticPr fontId="3"/>
  </si>
  <si>
    <t>主任技師</t>
  </si>
  <si>
    <t>技師A</t>
  </si>
  <si>
    <t>技師B</t>
  </si>
  <si>
    <t>技師C</t>
  </si>
  <si>
    <t>技術員</t>
  </si>
  <si>
    <t>合計</t>
    <rPh sb="0" eb="2">
      <t>ゴウケイ</t>
    </rPh>
    <phoneticPr fontId="3"/>
  </si>
  <si>
    <t>（令和5年度単価）</t>
    <rPh sb="1" eb="3">
      <t>レイワ</t>
    </rPh>
    <rPh sb="4" eb="6">
      <t>ネンド</t>
    </rPh>
    <rPh sb="6" eb="8">
      <t>タンカ</t>
    </rPh>
    <phoneticPr fontId="3"/>
  </si>
  <si>
    <t>（人工数）</t>
    <rPh sb="1" eb="2">
      <t>ニン</t>
    </rPh>
    <rPh sb="2" eb="3">
      <t>コウ</t>
    </rPh>
    <rPh sb="3" eb="4">
      <t>スウ</t>
    </rPh>
    <phoneticPr fontId="3"/>
  </si>
  <si>
    <t>人工計</t>
    <rPh sb="0" eb="1">
      <t>ニン</t>
    </rPh>
    <rPh sb="1" eb="2">
      <t>ク</t>
    </rPh>
    <rPh sb="2" eb="3">
      <t>ケイ</t>
    </rPh>
    <phoneticPr fontId="3"/>
  </si>
  <si>
    <t>（金額）</t>
    <rPh sb="1" eb="2">
      <t>キン</t>
    </rPh>
    <rPh sb="2" eb="3">
      <t>ガク</t>
    </rPh>
    <phoneticPr fontId="3"/>
  </si>
  <si>
    <t>金額計</t>
    <rPh sb="0" eb="2">
      <t>キンガク</t>
    </rPh>
    <rPh sb="2" eb="3">
      <t>ケイ</t>
    </rPh>
    <phoneticPr fontId="3"/>
  </si>
  <si>
    <t>項目</t>
    <rPh sb="0" eb="2">
      <t>コウモク</t>
    </rPh>
    <phoneticPr fontId="3"/>
  </si>
  <si>
    <t>単位</t>
    <rPh sb="0" eb="2">
      <t>タンイ</t>
    </rPh>
    <phoneticPr fontId="3"/>
  </si>
  <si>
    <t>数量</t>
    <rPh sb="0" eb="2">
      <t>スウリョウ</t>
    </rPh>
    <phoneticPr fontId="3"/>
  </si>
  <si>
    <t>単価</t>
    <rPh sb="0" eb="2">
      <t>タンカ</t>
    </rPh>
    <phoneticPr fontId="3"/>
  </si>
  <si>
    <t>2023-888-1</t>
    <phoneticPr fontId="2"/>
  </si>
  <si>
    <t>本見積は、電子メール受領時（令和6年1月16日）の特記仕様書に基づき積算した見積です。
本見積は、令和5年度の横浜市設計業務委託等技術者単価を適用しています。</t>
    <rPh sb="44" eb="47">
      <t>ホンミツモリ</t>
    </rPh>
    <rPh sb="49" eb="51">
      <t>レイワ</t>
    </rPh>
    <rPh sb="55" eb="58">
      <t>ヨコハマシ</t>
    </rPh>
    <phoneticPr fontId="4"/>
  </si>
  <si>
    <t>　見積金額</t>
    <rPh sb="1" eb="3">
      <t>ミツモ</t>
    </rPh>
    <rPh sb="3" eb="5">
      <t>キンガク</t>
    </rPh>
    <phoneticPr fontId="3"/>
  </si>
  <si>
    <t>直接人件費明細書</t>
    <rPh sb="5" eb="8">
      <t>メイサイショ</t>
    </rPh>
    <phoneticPr fontId="3"/>
  </si>
  <si>
    <t>直接経費明細書</t>
    <rPh sb="0" eb="2">
      <t>チョクセツ</t>
    </rPh>
    <rPh sb="2" eb="4">
      <t>ケイヒ</t>
    </rPh>
    <rPh sb="4" eb="7">
      <t>メイサイショ</t>
    </rPh>
    <phoneticPr fontId="3"/>
  </si>
  <si>
    <t>TEL 045（260）7540（代）〒231-0007</t>
    <phoneticPr fontId="3"/>
  </si>
  <si>
    <t>神奈川県横浜市中区弁天通二丁目25番地</t>
    <rPh sb="0" eb="17">
      <t>ヨコハマジムショ</t>
    </rPh>
    <rPh sb="17" eb="19">
      <t>バンチ</t>
    </rPh>
    <phoneticPr fontId="2"/>
  </si>
  <si>
    <t>見積有効期限</t>
    <rPh sb="0" eb="2">
      <t>ミツモリ</t>
    </rPh>
    <rPh sb="2" eb="4">
      <t>ユウコウ</t>
    </rPh>
    <rPh sb="4" eb="6">
      <t>キゲン</t>
    </rPh>
    <phoneticPr fontId="2"/>
  </si>
  <si>
    <t>見積担当者</t>
    <rPh sb="0" eb="2">
      <t>ミツモリ</t>
    </rPh>
    <rPh sb="2" eb="5">
      <t>タントウシャ</t>
    </rPh>
    <phoneticPr fontId="2"/>
  </si>
  <si>
    <t>担当者部署</t>
    <rPh sb="0" eb="3">
      <t>タントウシャ</t>
    </rPh>
    <rPh sb="3" eb="5">
      <t>ブショ</t>
    </rPh>
    <phoneticPr fontId="2"/>
  </si>
  <si>
    <t>担当者連絡先</t>
    <rPh sb="0" eb="3">
      <t>タントウシャ</t>
    </rPh>
    <rPh sb="3" eb="6">
      <t>レンラクサキ</t>
    </rPh>
    <phoneticPr fontId="2"/>
  </si>
  <si>
    <t>野毛山動物園再整備基本計画策定業務委託</t>
    <phoneticPr fontId="2"/>
  </si>
  <si>
    <t xml:space="preserve"> 横浜市 契約事務受任者　殿</t>
    <rPh sb="1" eb="4">
      <t>ヨコハマシ</t>
    </rPh>
    <rPh sb="5" eb="12">
      <t>ケイヤクジムジュニンシャ</t>
    </rPh>
    <rPh sb="13" eb="14">
      <t>ドノ</t>
    </rPh>
    <phoneticPr fontId="2"/>
  </si>
  <si>
    <t>（tel）03-5226-1102</t>
    <phoneticPr fontId="3"/>
  </si>
  <si>
    <t>(fax)03-5226-1113</t>
    <phoneticPr fontId="3"/>
  </si>
  <si>
    <t>①</t>
    <phoneticPr fontId="2"/>
  </si>
  <si>
    <t>与条件の確認及び調査</t>
    <phoneticPr fontId="2"/>
  </si>
  <si>
    <t>計画内容の検討</t>
    <phoneticPr fontId="2"/>
  </si>
  <si>
    <t>②</t>
  </si>
  <si>
    <t>　1．現況調査、敷地条件の整理</t>
    <phoneticPr fontId="2"/>
  </si>
  <si>
    <t>上位計画及び各種関連資料の収集</t>
    <phoneticPr fontId="2"/>
  </si>
  <si>
    <t>　2．前提条件の整理</t>
    <phoneticPr fontId="2"/>
  </si>
  <si>
    <t>　３．類似する公園やその他関係資料の収集</t>
    <phoneticPr fontId="2"/>
  </si>
  <si>
    <t>　４．動物園区域全体のインフラ設備の現地調査</t>
    <phoneticPr fontId="2"/>
  </si>
  <si>
    <t>　1．利用者数の検討と設定</t>
    <phoneticPr fontId="2"/>
  </si>
  <si>
    <t>　　　a.教育普及プログラムの検討</t>
    <phoneticPr fontId="2"/>
  </si>
  <si>
    <t>　　　b.来園者サービスの検討</t>
    <phoneticPr fontId="2"/>
  </si>
  <si>
    <t>　　　c.公園施設の利活用方法の検討</t>
    <phoneticPr fontId="2"/>
  </si>
  <si>
    <t>　　　d.利用者数の検討と設定</t>
    <rPh sb="5" eb="9">
      <t>リヨウシャスウ</t>
    </rPh>
    <phoneticPr fontId="2"/>
  </si>
  <si>
    <t>　　　a.動物展示計画</t>
    <phoneticPr fontId="2"/>
  </si>
  <si>
    <t>　　　b.動線計画</t>
    <phoneticPr fontId="2"/>
  </si>
  <si>
    <t>　　　c.施設の配置計画</t>
    <phoneticPr fontId="2"/>
  </si>
  <si>
    <t>　　　d.供給設備計画</t>
    <phoneticPr fontId="2"/>
  </si>
  <si>
    <t>　　　e.施設の整備改修計画</t>
    <phoneticPr fontId="2"/>
  </si>
  <si>
    <t>　　　f.各建築物の設計条件</t>
    <phoneticPr fontId="2"/>
  </si>
  <si>
    <t>　２．各種計画及び各建築物の設計条件の検討</t>
    <rPh sb="3" eb="7">
      <t>カクシュケイカク</t>
    </rPh>
    <rPh sb="7" eb="8">
      <t>オヨ</t>
    </rPh>
    <rPh sb="9" eb="13">
      <t>カクケンチクブツ</t>
    </rPh>
    <rPh sb="14" eb="18">
      <t>セッケイジョウケン</t>
    </rPh>
    <rPh sb="19" eb="21">
      <t>ケントウ</t>
    </rPh>
    <phoneticPr fontId="2"/>
  </si>
  <si>
    <t>　3．動物園への誘導、賑わいづくりのための
　　  施設の整備計画の検討</t>
    <rPh sb="34" eb="36">
      <t>ケントウ</t>
    </rPh>
    <phoneticPr fontId="2"/>
  </si>
  <si>
    <t>　４．計画内容の合理性・経済性を説明するた
　　　めの複数案による比較検討</t>
    <rPh sb="3" eb="5">
      <t>ケイカク</t>
    </rPh>
    <rPh sb="5" eb="7">
      <t>ナイヨウ</t>
    </rPh>
    <rPh sb="8" eb="10">
      <t>ゴウリ</t>
    </rPh>
    <rPh sb="10" eb="11">
      <t>セイ</t>
    </rPh>
    <rPh sb="12" eb="14">
      <t>ケイザイ</t>
    </rPh>
    <rPh sb="14" eb="15">
      <t>セイ</t>
    </rPh>
    <rPh sb="16" eb="18">
      <t>セツメイ</t>
    </rPh>
    <rPh sb="27" eb="29">
      <t>フクスウ</t>
    </rPh>
    <rPh sb="29" eb="30">
      <t>アン</t>
    </rPh>
    <rPh sb="33" eb="37">
      <t>ヒカクケントウ</t>
    </rPh>
    <phoneticPr fontId="2"/>
  </si>
  <si>
    <t>　　　a.比較検討</t>
    <rPh sb="5" eb="9">
      <t>ヒカクケントウ</t>
    </rPh>
    <phoneticPr fontId="2"/>
  </si>
  <si>
    <t>　　　b.環境配慮の内容の検討</t>
    <rPh sb="13" eb="15">
      <t>ケントウ</t>
    </rPh>
    <phoneticPr fontId="2"/>
  </si>
  <si>
    <t>　　　c.事業手法の妥当性の検討</t>
    <phoneticPr fontId="2"/>
  </si>
  <si>
    <t>　5．工程計画の作成</t>
    <rPh sb="3" eb="7">
      <t>コウテイケイカク</t>
    </rPh>
    <rPh sb="8" eb="10">
      <t>サクセイ</t>
    </rPh>
    <phoneticPr fontId="2"/>
  </si>
  <si>
    <t>　６．関連法令手続きの整理</t>
    <rPh sb="3" eb="7">
      <t>カンレンホウレイ</t>
    </rPh>
    <rPh sb="7" eb="9">
      <t>テツヅ</t>
    </rPh>
    <rPh sb="11" eb="13">
      <t>セイリ</t>
    </rPh>
    <phoneticPr fontId="2"/>
  </si>
  <si>
    <t>③</t>
    <phoneticPr fontId="2"/>
  </si>
  <si>
    <t>図面等の作成</t>
    <rPh sb="0" eb="3">
      <t>ズメントウ</t>
    </rPh>
    <rPh sb="4" eb="6">
      <t>サクセイ</t>
    </rPh>
    <phoneticPr fontId="2"/>
  </si>
  <si>
    <t>　1．基本計画平面図</t>
    <phoneticPr fontId="2"/>
  </si>
  <si>
    <t>　２．基本計画公表用資料</t>
    <phoneticPr fontId="2"/>
  </si>
  <si>
    <t>A3 用紙2 面程度</t>
    <phoneticPr fontId="2"/>
  </si>
  <si>
    <t>　３．主要断面図、パースの作成</t>
    <phoneticPr fontId="2"/>
  </si>
  <si>
    <t>計10 枚程度</t>
    <phoneticPr fontId="2"/>
  </si>
  <si>
    <t>　４．その他</t>
    <phoneticPr fontId="2"/>
  </si>
  <si>
    <t>④</t>
  </si>
  <si>
    <t>概算工事費、維持管理費の算出</t>
    <phoneticPr fontId="2"/>
  </si>
  <si>
    <t>⑤</t>
    <phoneticPr fontId="2"/>
  </si>
  <si>
    <t>基本計画説明書の作成</t>
    <phoneticPr fontId="2"/>
  </si>
  <si>
    <t>⑥</t>
  </si>
  <si>
    <t>打合せ・協議</t>
    <phoneticPr fontId="2"/>
  </si>
  <si>
    <t>⑦</t>
    <phoneticPr fontId="2"/>
  </si>
  <si>
    <t>報告書の作成</t>
    <rPh sb="0" eb="3">
      <t>ホウコクショ</t>
    </rPh>
    <rPh sb="4" eb="6">
      <t>サクセイ</t>
    </rPh>
    <phoneticPr fontId="2"/>
  </si>
  <si>
    <t>　１．着手時</t>
    <rPh sb="3" eb="6">
      <t>チャクシュジ</t>
    </rPh>
    <phoneticPr fontId="2"/>
  </si>
  <si>
    <t>　2．中間</t>
    <rPh sb="3" eb="5">
      <t>チュウカン</t>
    </rPh>
    <phoneticPr fontId="2"/>
  </si>
  <si>
    <t>　3．完了時</t>
    <rPh sb="3" eb="6">
      <t>カンリョウジ</t>
    </rPh>
    <phoneticPr fontId="2"/>
  </si>
  <si>
    <t>旅費交通費</t>
    <rPh sb="0" eb="5">
      <t>リョヒコウツウヒ</t>
    </rPh>
    <phoneticPr fontId="2"/>
  </si>
  <si>
    <t>　２．打合せ・協議</t>
    <rPh sb="3" eb="5">
      <t>ウチアワ</t>
    </rPh>
    <rPh sb="7" eb="9">
      <t>キョウギ</t>
    </rPh>
    <phoneticPr fontId="2"/>
  </si>
  <si>
    <t>成果品作成費</t>
    <rPh sb="0" eb="6">
      <t>セイカヒンサクセイヒ</t>
    </rPh>
    <phoneticPr fontId="2"/>
  </si>
  <si>
    <t>　1．基本計画説明書</t>
    <rPh sb="3" eb="10">
      <t>キホンケイカクセツメイショ</t>
    </rPh>
    <phoneticPr fontId="2"/>
  </si>
  <si>
    <t>　2．報告書</t>
    <rPh sb="3" eb="6">
      <t>ホウコクショ</t>
    </rPh>
    <phoneticPr fontId="2"/>
  </si>
  <si>
    <t>レザック製本 5 部</t>
    <phoneticPr fontId="2"/>
  </si>
  <si>
    <t>明細-２　直接経費明細書　参照</t>
    <rPh sb="0" eb="2">
      <t>メイサイ</t>
    </rPh>
    <rPh sb="5" eb="7">
      <t>チョクセツ</t>
    </rPh>
    <rPh sb="7" eb="9">
      <t>ケイヒ</t>
    </rPh>
    <rPh sb="9" eb="12">
      <t>メイサイショ</t>
    </rPh>
    <rPh sb="13" eb="15">
      <t>サンショウ</t>
    </rPh>
    <phoneticPr fontId="3"/>
  </si>
  <si>
    <t>消費税</t>
    <rPh sb="0" eb="3">
      <t>ショウヒゼイ</t>
    </rPh>
    <phoneticPr fontId="3"/>
  </si>
  <si>
    <t>明細-１　造園基本計画　直接人件費</t>
    <rPh sb="0" eb="2">
      <t>メイサイ</t>
    </rPh>
    <rPh sb="5" eb="7">
      <t>ゾウエン</t>
    </rPh>
    <rPh sb="7" eb="9">
      <t>キホン</t>
    </rPh>
    <rPh sb="9" eb="11">
      <t>ケイカク</t>
    </rPh>
    <rPh sb="12" eb="14">
      <t>チョクセツ</t>
    </rPh>
    <rPh sb="14" eb="17">
      <t>ジンケンヒ</t>
    </rPh>
    <phoneticPr fontId="3"/>
  </si>
  <si>
    <t>×</t>
  </si>
  <si>
    <t>＝</t>
  </si>
  <si>
    <t>＝</t>
    <phoneticPr fontId="3"/>
  </si>
  <si>
    <t>　　面積による補正係数（a）   a＝（対象面積/基準面積（10.0ha））</t>
    <phoneticPr fontId="3"/>
  </si>
  <si>
    <t>a</t>
    <phoneticPr fontId="3"/>
  </si>
  <si>
    <t>　　地形による補正係数（b）</t>
    <rPh sb="2" eb="4">
      <t>チケイ</t>
    </rPh>
    <rPh sb="7" eb="9">
      <t>ホセイ</t>
    </rPh>
    <rPh sb="9" eb="11">
      <t>ケイスウ</t>
    </rPh>
    <phoneticPr fontId="3"/>
  </si>
  <si>
    <t>b</t>
    <phoneticPr fontId="3"/>
  </si>
  <si>
    <t>　　作業難易度による補正係数（ｃ）</t>
    <rPh sb="2" eb="4">
      <t>サギョウ</t>
    </rPh>
    <rPh sb="4" eb="7">
      <t>ナンイド</t>
    </rPh>
    <rPh sb="10" eb="12">
      <t>ホセイ</t>
    </rPh>
    <rPh sb="12" eb="14">
      <t>ケイスウ</t>
    </rPh>
    <phoneticPr fontId="3"/>
  </si>
  <si>
    <t>c</t>
    <phoneticPr fontId="3"/>
  </si>
  <si>
    <t>設計・デザイン等が複雑な場合</t>
    <rPh sb="0" eb="2">
      <t>セッケイ</t>
    </rPh>
    <rPh sb="7" eb="8">
      <t>トウ</t>
    </rPh>
    <rPh sb="9" eb="11">
      <t>フクザツ</t>
    </rPh>
    <rPh sb="12" eb="14">
      <t>バアイ</t>
    </rPh>
    <phoneticPr fontId="3"/>
  </si>
  <si>
    <t>明細-２　直接経費明細書</t>
    <rPh sb="0" eb="2">
      <t>メイサイ</t>
    </rPh>
    <rPh sb="5" eb="7">
      <t>チョクセツ</t>
    </rPh>
    <rPh sb="7" eb="9">
      <t>ケイヒ</t>
    </rPh>
    <rPh sb="9" eb="12">
      <t>メイサイショ</t>
    </rPh>
    <phoneticPr fontId="3"/>
  </si>
  <si>
    <t>１．</t>
    <phoneticPr fontId="3"/>
  </si>
  <si>
    <t>別表-１　基本計画業務　直接人件費</t>
    <rPh sb="0" eb="2">
      <t>ベッピョウ</t>
    </rPh>
    <rPh sb="5" eb="7">
      <t>キホン</t>
    </rPh>
    <rPh sb="7" eb="9">
      <t>ケイカク</t>
    </rPh>
    <rPh sb="9" eb="11">
      <t>ギョウム</t>
    </rPh>
    <rPh sb="12" eb="14">
      <t>チョクセツ</t>
    </rPh>
    <rPh sb="14" eb="17">
      <t>ジンケンヒ</t>
    </rPh>
    <phoneticPr fontId="3"/>
  </si>
  <si>
    <t>標準人件費内訳</t>
    <rPh sb="0" eb="2">
      <t>ヒョウジュン</t>
    </rPh>
    <phoneticPr fontId="3"/>
  </si>
  <si>
    <t>（基準面積：10.0ha）総合公園</t>
    <rPh sb="1" eb="3">
      <t>キジュン</t>
    </rPh>
    <rPh sb="3" eb="5">
      <t>メンセキ</t>
    </rPh>
    <rPh sb="13" eb="15">
      <t>ソウゴウ</t>
    </rPh>
    <rPh sb="15" eb="17">
      <t>コウエン</t>
    </rPh>
    <phoneticPr fontId="3"/>
  </si>
  <si>
    <t>積算面積：</t>
    <rPh sb="0" eb="2">
      <t>セキサン</t>
    </rPh>
    <rPh sb="2" eb="4">
      <t>メンセキ</t>
    </rPh>
    <phoneticPr fontId="3"/>
  </si>
  <si>
    <t>ha</t>
    <phoneticPr fontId="3"/>
  </si>
  <si>
    <t>標　準　項　目　</t>
    <rPh sb="0" eb="1">
      <t>シルベ</t>
    </rPh>
    <rPh sb="2" eb="3">
      <t>ジュン</t>
    </rPh>
    <phoneticPr fontId="3"/>
  </si>
  <si>
    <t>主任技師</t>
    <rPh sb="0" eb="2">
      <t>シュニン</t>
    </rPh>
    <rPh sb="2" eb="4">
      <t>ギシ</t>
    </rPh>
    <phoneticPr fontId="3"/>
  </si>
  <si>
    <t>金　　額</t>
    <phoneticPr fontId="3"/>
  </si>
  <si>
    <t>摘　　　　要</t>
    <phoneticPr fontId="3"/>
  </si>
  <si>
    <t>現況把握</t>
    <rPh sb="0" eb="4">
      <t>ゲンキョウハアク</t>
    </rPh>
    <phoneticPr fontId="4"/>
  </si>
  <si>
    <t>２．</t>
  </si>
  <si>
    <t>敷地分析</t>
    <rPh sb="0" eb="4">
      <t>シキチブンセキ</t>
    </rPh>
    <phoneticPr fontId="3"/>
  </si>
  <si>
    <t>３．</t>
  </si>
  <si>
    <t>計画内容の検討および方針決定</t>
    <rPh sb="0" eb="4">
      <t>ケイカクナイヨウ</t>
    </rPh>
    <rPh sb="5" eb="7">
      <t>ケントウ</t>
    </rPh>
    <rPh sb="10" eb="14">
      <t>ホウシンケッテイ</t>
    </rPh>
    <phoneticPr fontId="4"/>
  </si>
  <si>
    <t>４．</t>
  </si>
  <si>
    <t>基本設計図の作成</t>
    <rPh sb="0" eb="2">
      <t>キホン</t>
    </rPh>
    <rPh sb="2" eb="5">
      <t>セッケイズ</t>
    </rPh>
    <rPh sb="6" eb="8">
      <t>サクセイ</t>
    </rPh>
    <phoneticPr fontId="3"/>
  </si>
  <si>
    <t>５．</t>
  </si>
  <si>
    <t>概算工事費の算出</t>
    <rPh sb="0" eb="2">
      <t>ガイサン</t>
    </rPh>
    <rPh sb="2" eb="5">
      <t>コウジヒ</t>
    </rPh>
    <rPh sb="6" eb="8">
      <t>サンシュツ</t>
    </rPh>
    <phoneticPr fontId="3"/>
  </si>
  <si>
    <t>６．</t>
  </si>
  <si>
    <t>基本設計説明書の作成</t>
    <rPh sb="0" eb="2">
      <t>キホン</t>
    </rPh>
    <rPh sb="2" eb="4">
      <t>セッケイ</t>
    </rPh>
    <rPh sb="4" eb="7">
      <t>セツメイショ</t>
    </rPh>
    <rPh sb="8" eb="10">
      <t>サクセイ</t>
    </rPh>
    <phoneticPr fontId="3"/>
  </si>
  <si>
    <t>７．</t>
  </si>
  <si>
    <t>照査</t>
    <rPh sb="0" eb="2">
      <t>ショウサ</t>
    </rPh>
    <phoneticPr fontId="3"/>
  </si>
  <si>
    <t>８．</t>
  </si>
  <si>
    <t>打合せ</t>
    <rPh sb="0" eb="2">
      <t>ウチアワ</t>
    </rPh>
    <phoneticPr fontId="3"/>
  </si>
  <si>
    <t>９．</t>
  </si>
  <si>
    <t>鳥瞰図又は透視図作成</t>
    <rPh sb="0" eb="3">
      <t>チョウカンズ</t>
    </rPh>
    <rPh sb="3" eb="4">
      <t>マタ</t>
    </rPh>
    <rPh sb="5" eb="8">
      <t>トウシズ</t>
    </rPh>
    <rPh sb="8" eb="10">
      <t>サクセイ</t>
    </rPh>
    <phoneticPr fontId="3"/>
  </si>
  <si>
    <t>合　　　　　　計</t>
    <phoneticPr fontId="3"/>
  </si>
  <si>
    <t>別表-２　実施設計業務　直接人件費</t>
    <rPh sb="0" eb="2">
      <t>ベッピョウ</t>
    </rPh>
    <rPh sb="5" eb="7">
      <t>ジッシ</t>
    </rPh>
    <rPh sb="7" eb="9">
      <t>セッケイ</t>
    </rPh>
    <rPh sb="9" eb="11">
      <t>ギョウム</t>
    </rPh>
    <rPh sb="12" eb="14">
      <t>チョクセツ</t>
    </rPh>
    <rPh sb="14" eb="17">
      <t>ジンケンヒ</t>
    </rPh>
    <phoneticPr fontId="3"/>
  </si>
  <si>
    <t>※参考歩掛：「2016ランドスケープコンサルタント業務における　標準業務報酬積算ガイドライン」　(社）ランドスケープコンサルタンツ協会</t>
    <rPh sb="1" eb="3">
      <t>サンコウ</t>
    </rPh>
    <rPh sb="3" eb="5">
      <t>ブガカリ</t>
    </rPh>
    <phoneticPr fontId="3"/>
  </si>
  <si>
    <t>（基準面積：0.25ha）街区公園</t>
    <rPh sb="1" eb="3">
      <t>キジュン</t>
    </rPh>
    <rPh sb="3" eb="5">
      <t>メンセキ</t>
    </rPh>
    <rPh sb="13" eb="15">
      <t>ガイク</t>
    </rPh>
    <rPh sb="15" eb="17">
      <t>コウエン</t>
    </rPh>
    <phoneticPr fontId="3"/>
  </si>
  <si>
    <t>与条件の確認および調査</t>
    <rPh sb="4" eb="6">
      <t>カクニン</t>
    </rPh>
    <rPh sb="9" eb="11">
      <t>チョウサ</t>
    </rPh>
    <phoneticPr fontId="3"/>
  </si>
  <si>
    <t>実施設計の検討</t>
    <rPh sb="0" eb="2">
      <t>ジッシ</t>
    </rPh>
    <rPh sb="2" eb="4">
      <t>セッケイ</t>
    </rPh>
    <rPh sb="5" eb="7">
      <t>ケントウ</t>
    </rPh>
    <phoneticPr fontId="3"/>
  </si>
  <si>
    <t>実施設計図の作成</t>
    <rPh sb="0" eb="2">
      <t>ジッシ</t>
    </rPh>
    <rPh sb="2" eb="4">
      <t>セッケイ</t>
    </rPh>
    <rPh sb="4" eb="5">
      <t>ズ</t>
    </rPh>
    <rPh sb="6" eb="8">
      <t>サクセイ</t>
    </rPh>
    <phoneticPr fontId="3"/>
  </si>
  <si>
    <t>数量計算</t>
    <rPh sb="0" eb="2">
      <t>スウリョウ</t>
    </rPh>
    <rPh sb="2" eb="4">
      <t>ケイサン</t>
    </rPh>
    <phoneticPr fontId="3"/>
  </si>
  <si>
    <t>実施設計説明書の作成</t>
    <rPh sb="0" eb="2">
      <t>ジッシ</t>
    </rPh>
    <rPh sb="2" eb="4">
      <t>セッケイ</t>
    </rPh>
    <rPh sb="4" eb="7">
      <t>セツメイショ</t>
    </rPh>
    <rPh sb="8" eb="10">
      <t>サクセイ</t>
    </rPh>
    <phoneticPr fontId="3"/>
  </si>
  <si>
    <t>８．</t>
    <phoneticPr fontId="3"/>
  </si>
  <si>
    <t>設計協議</t>
    <rPh sb="0" eb="2">
      <t>セッケイ</t>
    </rPh>
    <rPh sb="2" eb="4">
      <t>キョウギ</t>
    </rPh>
    <phoneticPr fontId="3"/>
  </si>
  <si>
    <t>人工計52.0人/日</t>
    <rPh sb="0" eb="2">
      <t>ニンク</t>
    </rPh>
    <rPh sb="2" eb="3">
      <t>ケイ</t>
    </rPh>
    <rPh sb="7" eb="8">
      <t>ニン</t>
    </rPh>
    <rPh sb="9" eb="10">
      <t>ニチ</t>
    </rPh>
    <phoneticPr fontId="3"/>
  </si>
  <si>
    <t>別表-2　基本計画業務　直接人件費（作業量の補正無）</t>
    <rPh sb="0" eb="2">
      <t>ベッピョウ</t>
    </rPh>
    <rPh sb="5" eb="7">
      <t>キホン</t>
    </rPh>
    <rPh sb="7" eb="9">
      <t>ケイカク</t>
    </rPh>
    <rPh sb="9" eb="11">
      <t>ギョウム</t>
    </rPh>
    <rPh sb="12" eb="14">
      <t>チョクセツ</t>
    </rPh>
    <rPh sb="14" eb="17">
      <t>ジンケンヒ</t>
    </rPh>
    <rPh sb="18" eb="21">
      <t>サギョウリョウ</t>
    </rPh>
    <rPh sb="22" eb="24">
      <t>ホセイ</t>
    </rPh>
    <rPh sb="24" eb="25">
      <t>ナ</t>
    </rPh>
    <phoneticPr fontId="3"/>
  </si>
  <si>
    <t>※参考歩掛：「2023ランドスケープコンサルタント業務における　標準業務報酬積算ガイドライン」　(社）ランドスケープコンサルタンツ協会</t>
    <phoneticPr fontId="3"/>
  </si>
  <si>
    <t>※参考歩掛：「2023ランドスケープコンサルタント業務における　標準業務報酬積算ガイドライン」　(社）ランドスケープコンサルタンツ協会</t>
    <rPh sb="1" eb="3">
      <t>サンコウ</t>
    </rPh>
    <rPh sb="3" eb="5">
      <t>ブガカリ</t>
    </rPh>
    <phoneticPr fontId="3"/>
  </si>
  <si>
    <t>敷地の高低差が 10ｍ以上～50m未満</t>
    <rPh sb="0" eb="2">
      <t>シキチ</t>
    </rPh>
    <rPh sb="3" eb="6">
      <t>コウテイサ</t>
    </rPh>
    <rPh sb="11" eb="13">
      <t>イジョウ</t>
    </rPh>
    <rPh sb="17" eb="19">
      <t>ミマン</t>
    </rPh>
    <phoneticPr fontId="3"/>
  </si>
  <si>
    <t>　　改修設計の難易度による補正係数（d）</t>
    <rPh sb="2" eb="6">
      <t>カイシュウセッケイ</t>
    </rPh>
    <rPh sb="7" eb="10">
      <t>ナンイド</t>
    </rPh>
    <rPh sb="13" eb="17">
      <t>ホセイケイスウ</t>
    </rPh>
    <phoneticPr fontId="4"/>
  </si>
  <si>
    <t>d</t>
    <phoneticPr fontId="4"/>
  </si>
  <si>
    <t>=</t>
    <phoneticPr fontId="4"/>
  </si>
  <si>
    <t>3人10回</t>
    <rPh sb="1" eb="2">
      <t>ニン</t>
    </rPh>
    <rPh sb="4" eb="5">
      <t>カイ</t>
    </rPh>
    <phoneticPr fontId="2"/>
  </si>
  <si>
    <t>人回</t>
    <rPh sb="0" eb="1">
      <t>ニン</t>
    </rPh>
    <rPh sb="1" eb="2">
      <t>カイ</t>
    </rPh>
    <phoneticPr fontId="2"/>
  </si>
  <si>
    <t>　１．現地調査</t>
    <rPh sb="3" eb="5">
      <t>ゲンチ</t>
    </rPh>
    <rPh sb="5" eb="7">
      <t>チョウサ</t>
    </rPh>
    <phoneticPr fontId="2"/>
  </si>
  <si>
    <t>ファイル綴じ 2 部　電子データ2部含む</t>
    <rPh sb="11" eb="13">
      <t>デンシ</t>
    </rPh>
    <rPh sb="17" eb="18">
      <t>ブ</t>
    </rPh>
    <rPh sb="18" eb="19">
      <t>フク</t>
    </rPh>
    <phoneticPr fontId="2"/>
  </si>
  <si>
    <t>式</t>
  </si>
  <si>
    <t>式</t>
    <rPh sb="0" eb="1">
      <t>シキ</t>
    </rPh>
    <phoneticPr fontId="2"/>
  </si>
  <si>
    <t>野毛山動物園再整備基本計画策定業務委託  見積様式（参考）</t>
  </si>
  <si>
    <t>名称・規格</t>
  </si>
  <si>
    <t>単位</t>
  </si>
  <si>
    <t>数量</t>
  </si>
  <si>
    <t>単価</t>
  </si>
  <si>
    <t>金額</t>
  </si>
  <si>
    <t>摘要</t>
  </si>
  <si>
    <t>与条件の確認及び調査</t>
  </si>
  <si>
    <t>計画内容の検討</t>
  </si>
  <si>
    <t>図面等の作成</t>
  </si>
  <si>
    <t>概算工事費、維持管理費の算出</t>
  </si>
  <si>
    <t>基本計画説明書の作成</t>
  </si>
  <si>
    <t>打合せ・協議</t>
  </si>
  <si>
    <t>報告書の作成</t>
  </si>
  <si>
    <t>直接人件費計</t>
  </si>
  <si>
    <t>その他原価</t>
  </si>
  <si>
    <t>業務原価</t>
  </si>
  <si>
    <t>一般管理費等</t>
  </si>
  <si>
    <t>業務価格</t>
  </si>
  <si>
    <t>消費税及び地方消費税相当額</t>
  </si>
  <si>
    <t>業務費計</t>
  </si>
  <si>
    <t>万円止め</t>
    <rPh sb="0" eb="3">
      <t>マンエンド</t>
    </rPh>
    <phoneticPr fontId="4"/>
  </si>
  <si>
    <t>成果品作成費</t>
    <phoneticPr fontId="4"/>
  </si>
  <si>
    <t>旅費交通費</t>
    <rPh sb="0" eb="5">
      <t>リョヒコウツウヒ</t>
    </rPh>
    <phoneticPr fontId="4"/>
  </si>
  <si>
    <t>直接経費計</t>
    <rPh sb="0" eb="4">
      <t>チョクセツケイヒ</t>
    </rPh>
    <rPh sb="4" eb="5">
      <t>ケイ</t>
    </rPh>
    <phoneticPr fontId="4"/>
  </si>
  <si>
    <t>給水、排水、電気</t>
    <phoneticPr fontId="2"/>
  </si>
  <si>
    <t>補正後直接人件費　（別表‐１　基本計画業務　直接人件費）　×　補正係数（S)</t>
    <rPh sb="0" eb="2">
      <t>ホセイ</t>
    </rPh>
    <rPh sb="2" eb="3">
      <t>ゴ</t>
    </rPh>
    <rPh sb="3" eb="5">
      <t>チョクセツ</t>
    </rPh>
    <rPh sb="5" eb="8">
      <t>ジンケンヒ</t>
    </rPh>
    <phoneticPr fontId="3"/>
  </si>
  <si>
    <t>A3鳥瞰図10枚程度を想定</t>
    <rPh sb="2" eb="5">
      <t>チョウカンズ</t>
    </rPh>
    <rPh sb="7" eb="8">
      <t>マイ</t>
    </rPh>
    <rPh sb="8" eb="10">
      <t>テイド</t>
    </rPh>
    <rPh sb="11" eb="13">
      <t>ソウテイ</t>
    </rPh>
    <phoneticPr fontId="4"/>
  </si>
  <si>
    <t>補正係数（S）＝a×b×c×ｄ</t>
    <rPh sb="0" eb="2">
      <t>ホセイ</t>
    </rPh>
    <rPh sb="2" eb="4">
      <t>ケイスウ</t>
    </rPh>
    <phoneticPr fontId="3"/>
  </si>
  <si>
    <t>　　　　　エントランス棟</t>
    <rPh sb="11" eb="12">
      <t>トウ</t>
    </rPh>
    <phoneticPr fontId="2"/>
  </si>
  <si>
    <t>　　　　　ZOOPerienta! Center</t>
    <phoneticPr fontId="2"/>
  </si>
  <si>
    <t>a×b×c×ｄ</t>
    <phoneticPr fontId="3"/>
  </si>
  <si>
    <t>　　　　　ふれあいパーク</t>
    <phoneticPr fontId="2"/>
  </si>
  <si>
    <t>　　　　　管理棟</t>
    <rPh sb="5" eb="8">
      <t>カンリトウ</t>
    </rPh>
    <phoneticPr fontId="2"/>
  </si>
  <si>
    <t>3人12回</t>
    <rPh sb="1" eb="2">
      <t>ニン</t>
    </rPh>
    <rPh sb="4" eb="5">
      <t>カイ</t>
    </rPh>
    <phoneticPr fontId="2"/>
  </si>
  <si>
    <t>3人1回</t>
    <rPh sb="1" eb="2">
      <t>ニン</t>
    </rPh>
    <rPh sb="3" eb="4">
      <t>カイ</t>
    </rPh>
    <phoneticPr fontId="2"/>
  </si>
  <si>
    <t>３人１2回</t>
    <rPh sb="1" eb="2">
      <t>ニン</t>
    </rPh>
    <rPh sb="4" eb="5">
      <t>カイ</t>
    </rPh>
    <phoneticPr fontId="4"/>
  </si>
  <si>
    <t>(ZOOP詳細断面図、
展示計画・動物展示のパースを想定)</t>
    <rPh sb="5" eb="9">
      <t>ショウサイダンメン</t>
    </rPh>
    <rPh sb="9" eb="10">
      <t>ズ</t>
    </rPh>
    <rPh sb="12" eb="16">
      <t>テンジケイカク</t>
    </rPh>
    <rPh sb="17" eb="21">
      <t>ドウブツテンジ</t>
    </rPh>
    <rPh sb="26" eb="28">
      <t>ソウテイ</t>
    </rPh>
    <phoneticPr fontId="2"/>
  </si>
  <si>
    <t>　　現況調査</t>
    <rPh sb="2" eb="6">
      <t>ゲンキョウチョウサ</t>
    </rPh>
    <phoneticPr fontId="2"/>
  </si>
  <si>
    <t>　　敷地条件の整理</t>
    <rPh sb="2" eb="6">
      <t>シキチジョウケン</t>
    </rPh>
    <rPh sb="7" eb="9">
      <t>セイリ</t>
    </rPh>
    <phoneticPr fontId="2"/>
  </si>
  <si>
    <t>3案</t>
    <rPh sb="1" eb="2">
      <t>アン</t>
    </rPh>
    <phoneticPr fontId="2"/>
  </si>
  <si>
    <t>ヒアリング</t>
    <phoneticPr fontId="2"/>
  </si>
  <si>
    <t>動物園、指定管理者</t>
    <rPh sb="0" eb="3">
      <t>ドウブツエン</t>
    </rPh>
    <rPh sb="4" eb="9">
      <t>シテイカンリシャ</t>
    </rPh>
    <phoneticPr fontId="2"/>
  </si>
  <si>
    <t>現地調査1日（給水、排水、電気）</t>
    <phoneticPr fontId="2"/>
  </si>
  <si>
    <t>動物園、指定管理者各0.5日</t>
    <rPh sb="0" eb="3">
      <t>ドウブツエン</t>
    </rPh>
    <rPh sb="4" eb="9">
      <t>シテイカンリシャ</t>
    </rPh>
    <rPh sb="9" eb="10">
      <t>カク</t>
    </rPh>
    <rPh sb="13" eb="14">
      <t>ニチ</t>
    </rPh>
    <phoneticPr fontId="2"/>
  </si>
  <si>
    <t>　2．上位計画及び各種関連資料の収集による
　　　前提条件の整理</t>
    <phoneticPr fontId="2"/>
  </si>
  <si>
    <t>造園基本計画にて計上</t>
    <rPh sb="0" eb="2">
      <t>ゾウエン</t>
    </rPh>
    <rPh sb="2" eb="6">
      <t>キホンケイカク</t>
    </rPh>
    <rPh sb="8" eb="10">
      <t>ケイジョウ</t>
    </rPh>
    <phoneticPr fontId="3"/>
  </si>
  <si>
    <t>諸経費</t>
    <rPh sb="0" eb="3">
      <t>ショケイヒ</t>
    </rPh>
    <phoneticPr fontId="3"/>
  </si>
  <si>
    <t>技術料等経費</t>
    <rPh sb="0" eb="6">
      <t>ギジュツリョウトウケイヒ</t>
    </rPh>
    <phoneticPr fontId="3"/>
  </si>
  <si>
    <t>直接人件費×110％</t>
    <phoneticPr fontId="4"/>
  </si>
  <si>
    <t>(直接人件費+諸経費)×15％</t>
    <phoneticPr fontId="4"/>
  </si>
  <si>
    <t>内訳書（造園基本計画）</t>
    <rPh sb="0" eb="3">
      <t>ウチワケショ</t>
    </rPh>
    <rPh sb="4" eb="10">
      <t>ゾウエンキホンケイカク</t>
    </rPh>
    <phoneticPr fontId="3"/>
  </si>
  <si>
    <t>内訳書（建築基本計画）</t>
    <rPh sb="0" eb="3">
      <t>ウチワケショ</t>
    </rPh>
    <rPh sb="4" eb="10">
      <t>ケンチクキホンケイカク</t>
    </rPh>
    <phoneticPr fontId="3"/>
  </si>
  <si>
    <t>造園基本計画</t>
    <rPh sb="0" eb="6">
      <t>ゾウエンキホンケイカク</t>
    </rPh>
    <phoneticPr fontId="4"/>
  </si>
  <si>
    <t>建築基本計画</t>
    <rPh sb="0" eb="6">
      <t>ケンチクキホンケイカク</t>
    </rPh>
    <phoneticPr fontId="4"/>
  </si>
  <si>
    <t>ヒアリング</t>
    <phoneticPr fontId="4"/>
  </si>
  <si>
    <t>3案</t>
    <phoneticPr fontId="4"/>
  </si>
  <si>
    <t>3人12回</t>
    <rPh sb="1" eb="2">
      <t>ニン</t>
    </rPh>
    <rPh sb="4" eb="5">
      <t>カイ</t>
    </rPh>
    <phoneticPr fontId="4"/>
  </si>
  <si>
    <t>ヒアリング謝金</t>
    <rPh sb="5" eb="7">
      <t>シャキン</t>
    </rPh>
    <phoneticPr fontId="4"/>
  </si>
  <si>
    <t>　2．上位計画及び各種関連資料の収集に
　　　よる前提条件の整理</t>
    <phoneticPr fontId="2"/>
  </si>
  <si>
    <t>直接人件費計</t>
    <rPh sb="2" eb="4">
      <t>ジンケン</t>
    </rPh>
    <rPh sb="4" eb="5">
      <t>ヒ</t>
    </rPh>
    <phoneticPr fontId="4"/>
  </si>
  <si>
    <t>直接人件費</t>
    <phoneticPr fontId="4"/>
  </si>
  <si>
    <t>直接経費</t>
    <rPh sb="0" eb="4">
      <t>チョクセツケイヒ</t>
    </rPh>
    <phoneticPr fontId="4"/>
  </si>
  <si>
    <t>動物園、指定管理者ヒアリング各0.5日</t>
    <rPh sb="0" eb="3">
      <t>ドウブツエン</t>
    </rPh>
    <rPh sb="4" eb="9">
      <t>シテイカンリシャ</t>
    </rPh>
    <rPh sb="14" eb="15">
      <t>カク</t>
    </rPh>
    <rPh sb="18" eb="19">
      <t>ニチ</t>
    </rPh>
    <phoneticPr fontId="2"/>
  </si>
  <si>
    <t>　　調査計画</t>
    <rPh sb="2" eb="6">
      <t>チョウサケイカク</t>
    </rPh>
    <phoneticPr fontId="2"/>
  </si>
  <si>
    <t>造園基本計画にて計上</t>
    <rPh sb="0" eb="6">
      <t>ゾウエンキホンケイカク</t>
    </rPh>
    <rPh sb="8" eb="10">
      <t>ケイジョウ</t>
    </rPh>
    <phoneticPr fontId="4"/>
  </si>
  <si>
    <t>造園基本計画にて計上</t>
    <phoneticPr fontId="4"/>
  </si>
  <si>
    <t>　　　　　　　土木計画</t>
    <rPh sb="7" eb="11">
      <t>ドボクケイカク</t>
    </rPh>
    <phoneticPr fontId="2"/>
  </si>
  <si>
    <t xml:space="preserve"> 　　　　　　 建築計画</t>
    <rPh sb="8" eb="12">
      <t>ケンチクケイカク</t>
    </rPh>
    <phoneticPr fontId="2"/>
  </si>
  <si>
    <t xml:space="preserve">  　　　　　　展示計画</t>
    <rPh sb="8" eb="12">
      <t>テンジケイカク</t>
    </rPh>
    <phoneticPr fontId="2"/>
  </si>
  <si>
    <t>建築基本計画にて計上</t>
    <rPh sb="0" eb="6">
      <t>ケンチクキホンケイカク</t>
    </rPh>
    <rPh sb="8" eb="10">
      <t>ケイジョウ</t>
    </rPh>
    <phoneticPr fontId="2"/>
  </si>
  <si>
    <t>2．-f．を除き造園基本計画にて計上</t>
    <rPh sb="6" eb="7">
      <t>ノゾ</t>
    </rPh>
    <rPh sb="8" eb="14">
      <t>ゾウエンキホンケイカク</t>
    </rPh>
    <rPh sb="16" eb="18">
      <t>ケイジョウ</t>
    </rPh>
    <phoneticPr fontId="4"/>
  </si>
  <si>
    <t>【建築基本計画】</t>
    <rPh sb="1" eb="3">
      <t>ケンチク</t>
    </rPh>
    <rPh sb="3" eb="7">
      <t>キホンケイカク</t>
    </rPh>
    <phoneticPr fontId="4"/>
  </si>
  <si>
    <t>【造園基本計画】</t>
    <rPh sb="1" eb="3">
      <t>ゾウエン</t>
    </rPh>
    <rPh sb="3" eb="7">
      <t>キホンケイカク</t>
    </rPh>
    <phoneticPr fontId="4"/>
  </si>
  <si>
    <t>【建築基本計画】</t>
    <phoneticPr fontId="4"/>
  </si>
  <si>
    <t>【造園基本計画】</t>
    <rPh sb="1" eb="3">
      <t>ゾウエン</t>
    </rPh>
    <phoneticPr fontId="4"/>
  </si>
  <si>
    <t>造園基本計画　</t>
    <rPh sb="0" eb="6">
      <t>ゾウエンキホンケイカク</t>
    </rPh>
    <phoneticPr fontId="4"/>
  </si>
  <si>
    <t>建築基本計画　</t>
    <rPh sb="0" eb="6">
      <t>ケンチクキホンケイカク</t>
    </rPh>
    <phoneticPr fontId="4"/>
  </si>
  <si>
    <t>総括</t>
    <rPh sb="0" eb="2">
      <t>ソウカツ</t>
    </rPh>
    <phoneticPr fontId="4"/>
  </si>
  <si>
    <t>総括</t>
    <phoneticPr fontId="4"/>
  </si>
  <si>
    <t>調査機材等損料</t>
    <rPh sb="0" eb="5">
      <t>チョウサキザイトウ</t>
    </rPh>
    <rPh sb="5" eb="7">
      <t>ソンリョウ</t>
    </rPh>
    <phoneticPr fontId="2"/>
  </si>
  <si>
    <t>市内</t>
    <rPh sb="0" eb="2">
      <t>シナイ</t>
    </rPh>
    <phoneticPr fontId="2"/>
  </si>
  <si>
    <t>レザック製本/5 部</t>
    <phoneticPr fontId="2"/>
  </si>
  <si>
    <t>ファイル綴じ/2 部　電子データ含む</t>
    <rPh sb="11" eb="13">
      <t>デンシ</t>
    </rPh>
    <rPh sb="16" eb="17">
      <t>フク</t>
    </rPh>
    <phoneticPr fontId="2"/>
  </si>
  <si>
    <r>
      <t>（業務原価）×</t>
    </r>
    <r>
      <rPr>
        <sz val="10"/>
        <color rgb="FF000000"/>
        <rFont val="Calibri"/>
        <family val="3"/>
        <charset val="161"/>
      </rPr>
      <t>β</t>
    </r>
    <r>
      <rPr>
        <sz val="10"/>
        <color rgb="FF000000"/>
        <rFont val="BIZ UDPゴシック"/>
        <family val="3"/>
        <charset val="128"/>
      </rPr>
      <t>／（1ー</t>
    </r>
    <r>
      <rPr>
        <sz val="10"/>
        <color rgb="FF000000"/>
        <rFont val="Calibri"/>
        <family val="3"/>
        <charset val="161"/>
      </rPr>
      <t>β</t>
    </r>
    <r>
      <rPr>
        <sz val="10"/>
        <color rgb="FF000000"/>
        <rFont val="BIZ UDPゴシック"/>
        <family val="3"/>
        <charset val="128"/>
      </rPr>
      <t>）　　
※</t>
    </r>
    <r>
      <rPr>
        <sz val="10"/>
        <color rgb="FF000000"/>
        <rFont val="Calibri"/>
        <family val="3"/>
        <charset val="161"/>
      </rPr>
      <t>β</t>
    </r>
    <r>
      <rPr>
        <sz val="10"/>
        <color rgb="FF000000"/>
        <rFont val="BIZ UDPゴシック"/>
        <family val="3"/>
        <charset val="128"/>
      </rPr>
      <t>＝35％</t>
    </r>
    <rPh sb="1" eb="3">
      <t>ギョウム</t>
    </rPh>
    <rPh sb="3" eb="5">
      <t>ゲンカ</t>
    </rPh>
    <phoneticPr fontId="3"/>
  </si>
  <si>
    <t>3案程度を想定</t>
    <phoneticPr fontId="2"/>
  </si>
  <si>
    <t>　　外業</t>
    <rPh sb="2" eb="4">
      <t>ガイギョウ</t>
    </rPh>
    <phoneticPr fontId="2"/>
  </si>
  <si>
    <t>　　内業</t>
    <rPh sb="2" eb="3">
      <t>ギョウ</t>
    </rPh>
    <phoneticPr fontId="2"/>
  </si>
  <si>
    <t>（税抜）</t>
    <rPh sb="1" eb="3">
      <t>ゼイヌキ</t>
    </rPh>
    <phoneticPr fontId="4"/>
  </si>
  <si>
    <t>（税抜）</t>
    <rPh sb="1" eb="3">
      <t>ゼイヌ</t>
    </rPh>
    <phoneticPr fontId="4"/>
  </si>
  <si>
    <t>（税抜）</t>
    <phoneticPr fontId="4"/>
  </si>
  <si>
    <t>（税抜）</t>
    <rPh sb="1" eb="3">
      <t>ゼイヌ</t>
    </rPh>
    <phoneticPr fontId="4"/>
  </si>
  <si>
    <t>野毛山動物園再整備基本計画策定業務委託  見積様式（参考）</t>
    <phoneticPr fontId="4"/>
  </si>
  <si>
    <t>業務価格</t>
    <rPh sb="0" eb="4">
      <t>ギョウムカカク</t>
    </rPh>
    <phoneticPr fontId="4"/>
  </si>
  <si>
    <t>消費税及び地方消費税相当額</t>
    <phoneticPr fontId="4"/>
  </si>
  <si>
    <t>業務費計</t>
    <phoneticPr fontId="4"/>
  </si>
  <si>
    <t>（税込）</t>
    <rPh sb="2" eb="3">
      <t>コ</t>
    </rPh>
    <phoneticPr fontId="4"/>
  </si>
  <si>
    <t>(税込)</t>
    <rPh sb="1" eb="3">
      <t>ゼイコ</t>
    </rPh>
    <phoneticPr fontId="4"/>
  </si>
  <si>
    <t>を含む）</t>
    <rPh sb="1" eb="2">
      <t>フク</t>
    </rPh>
    <phoneticPr fontId="3"/>
  </si>
  <si>
    <t xml:space="preserve"> 参　考　御　見　積　書</t>
    <rPh sb="1" eb="2">
      <t>サン</t>
    </rPh>
    <rPh sb="3" eb="4">
      <t>コウ</t>
    </rPh>
    <rPh sb="5" eb="6">
      <t>オ</t>
    </rPh>
    <rPh sb="7" eb="8">
      <t>ケン</t>
    </rPh>
    <rPh sb="9" eb="10">
      <t>セキ</t>
    </rPh>
    <rPh sb="11" eb="12">
      <t>ショ</t>
    </rPh>
    <phoneticPr fontId="3"/>
  </si>
  <si>
    <t>見積有効期限</t>
    <rPh sb="0" eb="2">
      <t>ミツモリ</t>
    </rPh>
    <rPh sb="2" eb="4">
      <t>ユウコウ</t>
    </rPh>
    <rPh sb="4" eb="6">
      <t>キゲン</t>
    </rPh>
    <phoneticPr fontId="3"/>
  </si>
  <si>
    <t>見積担当者</t>
    <rPh sb="0" eb="2">
      <t>ミツモリ</t>
    </rPh>
    <rPh sb="2" eb="5">
      <t>タントウシャ</t>
    </rPh>
    <phoneticPr fontId="3"/>
  </si>
  <si>
    <t>担当者部署</t>
    <rPh sb="0" eb="3">
      <t>タントウシャ</t>
    </rPh>
    <rPh sb="3" eb="5">
      <t>ブショ</t>
    </rPh>
    <phoneticPr fontId="3"/>
  </si>
  <si>
    <t>　別紙の通り</t>
    <rPh sb="1" eb="3">
      <t>ベッシ</t>
    </rPh>
    <rPh sb="4" eb="5">
      <t>トオ</t>
    </rPh>
    <phoneticPr fontId="3"/>
  </si>
  <si>
    <t>担当者連絡先</t>
    <rPh sb="0" eb="3">
      <t>タントウシャ</t>
    </rPh>
    <rPh sb="3" eb="6">
      <t>レンラクサキ</t>
    </rPh>
    <phoneticPr fontId="3"/>
  </si>
  <si>
    <t>　業務名　</t>
    <rPh sb="1" eb="3">
      <t>ギョウム</t>
    </rPh>
    <rPh sb="3" eb="4">
      <t>メイ</t>
    </rPh>
    <phoneticPr fontId="3"/>
  </si>
  <si>
    <t xml:space="preserve"> 横浜市 契約事務受任者　殿</t>
    <rPh sb="1" eb="3">
      <t>ヨコハマ</t>
    </rPh>
    <rPh sb="3" eb="4">
      <t>シ</t>
    </rPh>
    <rPh sb="5" eb="7">
      <t>ケイヤク</t>
    </rPh>
    <rPh sb="7" eb="9">
      <t>ジム</t>
    </rPh>
    <rPh sb="9" eb="11">
      <t>ジュニン</t>
    </rPh>
    <rPh sb="11" eb="12">
      <t>シャ</t>
    </rPh>
    <rPh sb="13" eb="14">
      <t>ドノ</t>
    </rPh>
    <phoneticPr fontId="2"/>
  </si>
  <si>
    <t>(fax)03-5226-1113</t>
    <phoneticPr fontId="4"/>
  </si>
  <si>
    <t>野毛山動物園再整備基本計画策定業務委託</t>
  </si>
  <si>
    <t>本見積は、電子メール受領時（令和6年1月16日）の特記仕様書に基づき積算した見積です。</t>
    <phoneticPr fontId="4"/>
  </si>
  <si>
    <t>本見積は、令和5年度の横浜市設計業務委託等技術者単価を適用しています。</t>
    <phoneticPr fontId="4"/>
  </si>
  <si>
    <t>神奈川県横浜市中区弁天通二丁目25番地</t>
    <rPh sb="0" eb="3">
      <t>カナガワ</t>
    </rPh>
    <rPh sb="3" eb="4">
      <t>ケン</t>
    </rPh>
    <rPh sb="4" eb="6">
      <t>ヨコハマ</t>
    </rPh>
    <rPh sb="6" eb="7">
      <t>シ</t>
    </rPh>
    <rPh sb="7" eb="8">
      <t>ナカ</t>
    </rPh>
    <rPh sb="8" eb="9">
      <t>ク</t>
    </rPh>
    <rPh sb="9" eb="11">
      <t>ベンテン</t>
    </rPh>
    <rPh sb="11" eb="12">
      <t>ドオリ</t>
    </rPh>
    <rPh sb="12" eb="13">
      <t>フタ</t>
    </rPh>
    <rPh sb="13" eb="15">
      <t>チョウメ</t>
    </rPh>
    <rPh sb="17" eb="19">
      <t>バンチシナカクベンテンドオリフタチョウメバンチメバンチ</t>
    </rPh>
    <phoneticPr fontId="3"/>
  </si>
  <si>
    <t>事務所長　　宮元　亮祐</t>
    <rPh sb="0" eb="2">
      <t>ジム</t>
    </rPh>
    <rPh sb="2" eb="4">
      <t>ショチョウ</t>
    </rPh>
    <rPh sb="6" eb="8">
      <t>ミヤモト</t>
    </rPh>
    <rPh sb="9" eb="11">
      <t>リョウスケ</t>
    </rPh>
    <phoneticPr fontId="3"/>
  </si>
  <si>
    <t>式</t>
    <phoneticPr fontId="4"/>
  </si>
  <si>
    <r>
      <t>（直接人件費）×</t>
    </r>
    <r>
      <rPr>
        <sz val="10"/>
        <color rgb="FF000000"/>
        <rFont val="BIZ UDPゴシック"/>
        <family val="3"/>
      </rPr>
      <t>α</t>
    </r>
    <r>
      <rPr>
        <sz val="10"/>
        <color rgb="FF000000"/>
        <rFont val="BIZ UDPゴシック"/>
        <family val="3"/>
        <charset val="128"/>
      </rPr>
      <t>／（1-</t>
    </r>
    <r>
      <rPr>
        <sz val="10"/>
        <color rgb="FF000000"/>
        <rFont val="BIZ UDPゴシック"/>
        <family val="3"/>
      </rPr>
      <t>α</t>
    </r>
    <r>
      <rPr>
        <sz val="10"/>
        <color rgb="FF000000"/>
        <rFont val="BIZ UDPゴシック"/>
        <family val="3"/>
        <charset val="128"/>
      </rPr>
      <t>）　　　
※</t>
    </r>
    <r>
      <rPr>
        <sz val="10"/>
        <color rgb="FF000000"/>
        <rFont val="BIZ UDPゴシック"/>
        <family val="3"/>
      </rPr>
      <t>α</t>
    </r>
    <r>
      <rPr>
        <sz val="10"/>
        <color rgb="FF000000"/>
        <rFont val="BIZ UDPゴシック"/>
        <family val="3"/>
        <charset val="128"/>
      </rPr>
      <t>＝35％</t>
    </r>
    <rPh sb="1" eb="3">
      <t>チョクセツ</t>
    </rPh>
    <rPh sb="3" eb="6">
      <t>ジンケンヒ</t>
    </rPh>
    <phoneticPr fontId="3"/>
  </si>
  <si>
    <t>基本設計*0.7</t>
    <rPh sb="0" eb="4">
      <t>キホンセッケイ</t>
    </rPh>
    <phoneticPr fontId="4"/>
  </si>
  <si>
    <t>基本設計*0.5</t>
    <rPh sb="0" eb="4">
      <t>キホンセッケイ</t>
    </rPh>
    <phoneticPr fontId="4"/>
  </si>
  <si>
    <t>基本設計*0.6</t>
    <rPh sb="0" eb="4">
      <t>キホンセッケイ</t>
    </rPh>
    <phoneticPr fontId="4"/>
  </si>
  <si>
    <t>870万減</t>
    <rPh sb="3" eb="4">
      <t>マン</t>
    </rPh>
    <rPh sb="4" eb="5">
      <t>ゲン</t>
    </rPh>
    <phoneticPr fontId="2"/>
  </si>
  <si>
    <t>基本計画公表用資料</t>
    <phoneticPr fontId="4"/>
  </si>
  <si>
    <t>CLA歩掛内</t>
    <rPh sb="3" eb="6">
      <t>ブガカリナイ</t>
    </rPh>
    <phoneticPr fontId="2"/>
  </si>
  <si>
    <t>オプション</t>
    <phoneticPr fontId="2"/>
  </si>
  <si>
    <t>直接人件費</t>
    <phoneticPr fontId="4"/>
  </si>
  <si>
    <t>CLA歩掛内</t>
    <rPh sb="3" eb="6">
      <t>ブガカリナイ</t>
    </rPh>
    <phoneticPr fontId="4"/>
  </si>
  <si>
    <t>オプション</t>
    <phoneticPr fontId="4"/>
  </si>
  <si>
    <t>インフラ設備の現地調査</t>
    <phoneticPr fontId="4"/>
  </si>
  <si>
    <t>直接人件費</t>
    <phoneticPr fontId="3"/>
  </si>
  <si>
    <t>4．</t>
    <phoneticPr fontId="4"/>
  </si>
  <si>
    <r>
      <t>(直接人件費+諸経費)×15％</t>
    </r>
    <r>
      <rPr>
        <sz val="10"/>
        <color rgb="FFFF0000"/>
        <rFont val="BIZ UDPゴシック"/>
        <family val="3"/>
        <charset val="128"/>
      </rPr>
      <t>以内</t>
    </r>
    <rPh sb="15" eb="17">
      <t>イナイ</t>
    </rPh>
    <phoneticPr fontId="4"/>
  </si>
  <si>
    <r>
      <t>（業務原価）×</t>
    </r>
    <r>
      <rPr>
        <sz val="10"/>
        <color rgb="FF000000"/>
        <rFont val="Calibri"/>
        <family val="3"/>
        <charset val="161"/>
      </rPr>
      <t>β</t>
    </r>
    <r>
      <rPr>
        <sz val="10"/>
        <color rgb="FF000000"/>
        <rFont val="BIZ UDPゴシック"/>
        <family val="3"/>
        <charset val="128"/>
      </rPr>
      <t>／（1ー</t>
    </r>
    <r>
      <rPr>
        <sz val="10"/>
        <color rgb="FF000000"/>
        <rFont val="Calibri"/>
        <family val="3"/>
        <charset val="161"/>
      </rPr>
      <t>β</t>
    </r>
    <r>
      <rPr>
        <sz val="10"/>
        <color rgb="FF000000"/>
        <rFont val="BIZ UDPゴシック"/>
        <family val="3"/>
        <charset val="128"/>
      </rPr>
      <t>）　　
※</t>
    </r>
    <r>
      <rPr>
        <sz val="10"/>
        <color rgb="FF000000"/>
        <rFont val="Calibri"/>
        <family val="3"/>
        <charset val="161"/>
      </rPr>
      <t>β</t>
    </r>
    <r>
      <rPr>
        <sz val="10"/>
        <color rgb="FF000000"/>
        <rFont val="BIZ UDPゴシック"/>
        <family val="3"/>
        <charset val="128"/>
      </rPr>
      <t>＝35％</t>
    </r>
    <r>
      <rPr>
        <sz val="10"/>
        <color rgb="FFFF0000"/>
        <rFont val="BIZ UDPゴシック"/>
        <family val="3"/>
        <charset val="128"/>
      </rPr>
      <t>以内</t>
    </r>
    <rPh sb="1" eb="3">
      <t>ギョウム</t>
    </rPh>
    <rPh sb="3" eb="5">
      <t>ゲンカ</t>
    </rPh>
    <rPh sb="23" eb="25">
      <t>イナイ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</si>
</sst>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6" formatCode="&quot;¥&quot;#,##0;[Red]&quot;¥&quot;\-#,##0"/>
    <numFmt numFmtId="176" formatCode="[$-411]ggge&quot;年&quot;m&quot;月&quot;d&quot;日&quot;;@"/>
    <numFmt numFmtId="177" formatCode="&quot;¥&quot;#,##0.\-"/>
    <numFmt numFmtId="178" formatCode="\(#,##0\)"/>
    <numFmt numFmtId="179" formatCode="0.0"/>
    <numFmt numFmtId="180" formatCode="0.0_);[Red]\(0.0\)"/>
    <numFmt numFmtId="181" formatCode="#,##0.0;[Red]\-#,##0.0"/>
    <numFmt numFmtId="182" formatCode="\(0.0\)"/>
    <numFmt numFmtId="183" formatCode="[$]ggge&quot;年&quot;m&quot;月&quot;d&quot;日&quot;;@" x16r2:formatCode16="[$-ja-JP-x-gannen]ggge&quot;年&quot;m&quot;月&quot;d&quot;日&quot;;@"/>
    <numFmt numFmtId="184" formatCode="0.000"/>
    <numFmt numFmtId="185" formatCode="\(#,##0&quot;㎡&quot;\)"/>
    <numFmt numFmtId="186" formatCode="&quot;補正係数S=&quot;0.000"/>
    <numFmt numFmtId="187" formatCode="0.0000"/>
    <numFmt numFmtId="188" formatCode="0.0000_);[Red]\(0.0000\)"/>
    <numFmt numFmtId="189" formatCode="#0.######&quot;ｈａ&quot;"/>
  </numFmts>
  <fonts count="59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12"/>
      <name val="Osaka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24"/>
      <name val="BIZ UDPゴシック"/>
      <family val="3"/>
      <charset val="128"/>
    </font>
    <font>
      <sz val="10"/>
      <color rgb="FFFF0000"/>
      <name val="BIZ UDPゴシック"/>
      <family val="3"/>
      <charset val="128"/>
    </font>
    <font>
      <sz val="8"/>
      <name val="BIZ UDPゴシック"/>
      <family val="3"/>
      <charset val="128"/>
    </font>
    <font>
      <sz val="10"/>
      <name val="BIZ UDPゴシック"/>
      <family val="3"/>
      <charset val="128"/>
    </font>
    <font>
      <sz val="12"/>
      <name val="BIZ UDPゴシック"/>
      <family val="3"/>
      <charset val="128"/>
    </font>
    <font>
      <sz val="16"/>
      <name val="BIZ UDPゴシック"/>
      <family val="3"/>
      <charset val="128"/>
    </font>
    <font>
      <sz val="14"/>
      <name val="BIZ UDPゴシック"/>
      <family val="3"/>
      <charset val="128"/>
    </font>
    <font>
      <sz val="9"/>
      <name val="BIZ UDPゴシック"/>
      <family val="3"/>
      <charset val="128"/>
    </font>
    <font>
      <b/>
      <sz val="18"/>
      <name val="BIZ UDPゴシック"/>
      <family val="3"/>
      <charset val="128"/>
    </font>
    <font>
      <sz val="11"/>
      <name val="BIZ UDPゴシック"/>
      <family val="3"/>
      <charset val="128"/>
    </font>
    <font>
      <sz val="11"/>
      <color rgb="FFFF0000"/>
      <name val="BIZ UDPゴシック"/>
      <family val="3"/>
      <charset val="128"/>
    </font>
    <font>
      <sz val="10"/>
      <color indexed="8"/>
      <name val="BIZ UDPゴシック"/>
      <family val="3"/>
      <charset val="128"/>
    </font>
    <font>
      <b/>
      <sz val="11"/>
      <name val="BIZ UDPゴシック"/>
      <family val="3"/>
      <charset val="128"/>
    </font>
    <font>
      <sz val="11"/>
      <color indexed="8"/>
      <name val="BIZ UDPゴシック"/>
      <family val="3"/>
      <charset val="128"/>
    </font>
    <font>
      <sz val="9"/>
      <color indexed="8"/>
      <name val="BIZ UDPゴシック"/>
      <family val="3"/>
      <charset val="128"/>
    </font>
    <font>
      <sz val="11"/>
      <color theme="1"/>
      <name val="BIZ UDPゴシック"/>
      <family val="3"/>
      <charset val="128"/>
    </font>
    <font>
      <b/>
      <sz val="11"/>
      <color rgb="FFFF0000"/>
      <name val="BIZ UDPゴシック"/>
      <family val="3"/>
      <charset val="128"/>
    </font>
    <font>
      <sz val="8"/>
      <color indexed="8"/>
      <name val="BIZ UDPゴシック"/>
      <family val="3"/>
      <charset val="128"/>
    </font>
    <font>
      <b/>
      <sz val="11"/>
      <name val="BIZ UDPゴシック"/>
      <family val="3"/>
    </font>
    <font>
      <sz val="11"/>
      <name val="BIZ UDPゴシック"/>
      <family val="3"/>
    </font>
    <font>
      <sz val="8"/>
      <name val="BIZ UDPゴシック"/>
      <family val="3"/>
    </font>
    <font>
      <sz val="10.5"/>
      <name val="BIZ UDPゴシック"/>
      <family val="3"/>
    </font>
    <font>
      <b/>
      <sz val="11"/>
      <color indexed="8"/>
      <name val="BIZ UDPゴシック"/>
      <family val="3"/>
    </font>
    <font>
      <b/>
      <sz val="11"/>
      <color theme="1"/>
      <name val="BIZ UDPゴシック"/>
      <family val="3"/>
    </font>
    <font>
      <b/>
      <sz val="14"/>
      <name val="BIZ UDPゴシック"/>
      <family val="3"/>
      <charset val="128"/>
    </font>
    <font>
      <b/>
      <sz val="9"/>
      <name val="BIZ UDPゴシック"/>
      <family val="3"/>
      <charset val="128"/>
    </font>
    <font>
      <sz val="7"/>
      <name val="BIZ UDPゴシック"/>
      <family val="3"/>
      <charset val="128"/>
    </font>
    <font>
      <b/>
      <sz val="12"/>
      <name val="BIZ UDPゴシック"/>
      <family val="3"/>
      <charset val="128"/>
    </font>
    <font>
      <sz val="6"/>
      <name val="BIZ UDPゴシック"/>
      <family val="3"/>
      <charset val="128"/>
    </font>
    <font>
      <b/>
      <sz val="10"/>
      <name val="BIZ UDPゴシック"/>
      <family val="3"/>
    </font>
    <font>
      <sz val="10"/>
      <color rgb="FF000000"/>
      <name val="Times New Roman"/>
      <family val="1"/>
    </font>
    <font>
      <sz val="10"/>
      <color rgb="FF000000"/>
      <name val="BIZ UDPゴシック"/>
      <family val="3"/>
      <charset val="128"/>
    </font>
    <font>
      <sz val="11"/>
      <color rgb="FF000000"/>
      <name val="BIZ UDPゴシック"/>
      <family val="3"/>
      <charset val="128"/>
    </font>
    <font>
      <sz val="18"/>
      <name val="BIZ UDPゴシック"/>
      <family val="3"/>
      <charset val="128"/>
    </font>
    <font>
      <b/>
      <sz val="20"/>
      <name val="BIZ UDPゴシック"/>
      <family val="3"/>
      <charset val="128"/>
    </font>
    <font>
      <sz val="10.5"/>
      <name val="游明朝"/>
      <family val="1"/>
      <charset val="128"/>
    </font>
    <font>
      <b/>
      <sz val="8"/>
      <name val="BIZ UDPゴシック"/>
      <family val="3"/>
      <charset val="128"/>
    </font>
    <font>
      <sz val="10"/>
      <name val="BIZ UDPゴシック"/>
      <family val="3"/>
    </font>
    <font>
      <b/>
      <sz val="10"/>
      <color rgb="FF000000"/>
      <name val="BIZ UDPゴシック"/>
      <family val="3"/>
      <charset val="128"/>
    </font>
    <font>
      <b/>
      <sz val="8"/>
      <name val="BIZ UDPゴシック"/>
      <family val="3"/>
    </font>
    <font>
      <sz val="9"/>
      <color rgb="FF000000"/>
      <name val="BIZ UDPゴシック"/>
      <family val="3"/>
      <charset val="128"/>
    </font>
    <font>
      <sz val="12"/>
      <color rgb="FF000000"/>
      <name val="BIZ UDPゴシック"/>
      <family val="3"/>
      <charset val="128"/>
    </font>
    <font>
      <b/>
      <sz val="10.5"/>
      <color rgb="FF000000"/>
      <name val="BIZ UDPゴシック"/>
      <family val="3"/>
      <charset val="128"/>
    </font>
    <font>
      <b/>
      <sz val="16"/>
      <name val="BIZ UDPゴシック"/>
      <family val="3"/>
      <charset val="128"/>
    </font>
    <font>
      <b/>
      <sz val="10"/>
      <name val="BIZ UDPゴシック"/>
      <family val="3"/>
      <charset val="128"/>
    </font>
    <font>
      <sz val="20"/>
      <name val="BIZ UDPゴシック"/>
      <family val="3"/>
      <charset val="128"/>
    </font>
    <font>
      <sz val="10.5"/>
      <color rgb="FF000000"/>
      <name val="BIZ UDPゴシック"/>
      <family val="3"/>
      <charset val="128"/>
    </font>
    <font>
      <sz val="10"/>
      <color rgb="FF000000"/>
      <name val="Calibri"/>
      <family val="3"/>
      <charset val="161"/>
    </font>
    <font>
      <b/>
      <sz val="11"/>
      <color rgb="FF000000"/>
      <name val="BIZ UDPゴシック"/>
      <family val="3"/>
      <charset val="128"/>
    </font>
    <font>
      <sz val="14"/>
      <color indexed="10"/>
      <name val="BIZ UDPゴシック"/>
      <family val="3"/>
      <charset val="128"/>
    </font>
    <font>
      <sz val="13.5"/>
      <name val="BIZ UDPゴシック"/>
      <family val="3"/>
      <charset val="128"/>
    </font>
    <font>
      <sz val="10"/>
      <color rgb="FF000000"/>
      <name val="BIZ UDPゴシック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5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double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</borders>
  <cellStyleXfs count="15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178" fontId="5" fillId="0" borderId="0"/>
    <xf numFmtId="178" fontId="5" fillId="0" borderId="0"/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/>
    <xf numFmtId="6" fontId="1" fillId="0" borderId="0" applyFont="0" applyFill="0" applyBorder="0" applyAlignment="0" applyProtection="0">
      <alignment vertical="center"/>
    </xf>
    <xf numFmtId="0" fontId="37" fillId="0" borderId="0"/>
    <xf numFmtId="178" fontId="5" fillId="0" borderId="0"/>
    <xf numFmtId="178" fontId="5" fillId="0" borderId="0"/>
  </cellStyleXfs>
  <cellXfs count="829">
    <xf numFmtId="0" fontId="0" fillId="0" borderId="0" xfId="0">
      <alignment vertical="center"/>
    </xf>
    <xf numFmtId="0" fontId="8" fillId="0" borderId="0" xfId="2" applyFont="1">
      <alignment vertical="center"/>
    </xf>
    <xf numFmtId="0" fontId="9" fillId="0" borderId="0" xfId="2" applyFont="1">
      <alignment vertical="center"/>
    </xf>
    <xf numFmtId="0" fontId="10" fillId="0" borderId="0" xfId="2" applyFont="1" applyAlignment="1">
      <alignment horizontal="center" vertical="center"/>
    </xf>
    <xf numFmtId="0" fontId="10" fillId="0" borderId="0" xfId="2" applyFont="1" applyAlignment="1">
      <alignment vertical="center" wrapText="1"/>
    </xf>
    <xf numFmtId="0" fontId="10" fillId="0" borderId="0" xfId="2" applyFont="1">
      <alignment vertical="center"/>
    </xf>
    <xf numFmtId="0" fontId="10" fillId="0" borderId="0" xfId="2" applyFont="1" applyAlignment="1"/>
    <xf numFmtId="0" fontId="10" fillId="0" borderId="0" xfId="2" applyFont="1" applyAlignment="1" applyProtection="1">
      <alignment horizontal="center" vertical="center"/>
      <protection locked="0"/>
    </xf>
    <xf numFmtId="0" fontId="10" fillId="0" borderId="0" xfId="2" applyFont="1" applyAlignment="1">
      <alignment wrapText="1"/>
    </xf>
    <xf numFmtId="0" fontId="14" fillId="0" borderId="1" xfId="2" applyFont="1" applyBorder="1" applyAlignment="1">
      <alignment horizontal="center"/>
    </xf>
    <xf numFmtId="177" fontId="14" fillId="0" borderId="1" xfId="3" applyNumberFormat="1" applyFont="1" applyBorder="1" applyAlignment="1"/>
    <xf numFmtId="0" fontId="10" fillId="0" borderId="5" xfId="2" applyFont="1" applyBorder="1" applyAlignment="1" applyProtection="1">
      <alignment horizontal="center" vertical="center"/>
      <protection locked="0"/>
    </xf>
    <xf numFmtId="0" fontId="10" fillId="0" borderId="7" xfId="2" applyFont="1" applyBorder="1" applyAlignment="1" applyProtection="1">
      <alignment horizontal="center" vertical="center"/>
      <protection locked="0"/>
    </xf>
    <xf numFmtId="0" fontId="11" fillId="0" borderId="0" xfId="2" applyFont="1" applyAlignment="1">
      <alignment horizontal="left" vertical="center"/>
    </xf>
    <xf numFmtId="0" fontId="16" fillId="0" borderId="0" xfId="2" applyFont="1" applyAlignment="1">
      <alignment vertical="center" wrapText="1"/>
    </xf>
    <xf numFmtId="0" fontId="16" fillId="0" borderId="0" xfId="2" applyFont="1">
      <alignment vertical="center"/>
    </xf>
    <xf numFmtId="0" fontId="17" fillId="0" borderId="0" xfId="2" applyFont="1">
      <alignment vertical="center"/>
    </xf>
    <xf numFmtId="0" fontId="16" fillId="0" borderId="19" xfId="2" applyFont="1" applyBorder="1" applyAlignment="1">
      <alignment horizontal="center" vertical="center"/>
    </xf>
    <xf numFmtId="0" fontId="16" fillId="0" borderId="52" xfId="2" applyFont="1" applyBorder="1" applyAlignment="1">
      <alignment horizontal="center" vertical="center"/>
    </xf>
    <xf numFmtId="0" fontId="16" fillId="0" borderId="53" xfId="2" applyFont="1" applyBorder="1">
      <alignment vertical="center"/>
    </xf>
    <xf numFmtId="0" fontId="16" fillId="0" borderId="54" xfId="2" applyFont="1" applyBorder="1">
      <alignment vertical="center"/>
    </xf>
    <xf numFmtId="0" fontId="10" fillId="0" borderId="68" xfId="2" applyFont="1" applyBorder="1">
      <alignment vertical="center"/>
    </xf>
    <xf numFmtId="0" fontId="10" fillId="0" borderId="53" xfId="2" applyFont="1" applyBorder="1">
      <alignment vertical="center"/>
    </xf>
    <xf numFmtId="37" fontId="10" fillId="0" borderId="69" xfId="2" applyNumberFormat="1" applyFont="1" applyBorder="1" applyAlignment="1">
      <alignment horizontal="right" vertical="center"/>
    </xf>
    <xf numFmtId="37" fontId="17" fillId="0" borderId="0" xfId="2" applyNumberFormat="1" applyFont="1" applyAlignment="1">
      <alignment horizontal="right" vertical="center"/>
    </xf>
    <xf numFmtId="0" fontId="16" fillId="0" borderId="35" xfId="2" applyFont="1" applyBorder="1" applyAlignment="1">
      <alignment horizontal="center" vertical="center"/>
    </xf>
    <xf numFmtId="0" fontId="16" fillId="0" borderId="26" xfId="2" applyFont="1" applyBorder="1">
      <alignment vertical="center"/>
    </xf>
    <xf numFmtId="0" fontId="16" fillId="0" borderId="27" xfId="2" applyFont="1" applyBorder="1">
      <alignment vertical="center"/>
    </xf>
    <xf numFmtId="0" fontId="10" fillId="0" borderId="28" xfId="2" applyFont="1" applyBorder="1">
      <alignment vertical="center"/>
    </xf>
    <xf numFmtId="0" fontId="10" fillId="0" borderId="26" xfId="2" applyFont="1" applyBorder="1">
      <alignment vertical="center"/>
    </xf>
    <xf numFmtId="37" fontId="10" fillId="0" borderId="29" xfId="2" applyNumberFormat="1" applyFont="1" applyBorder="1" applyAlignment="1">
      <alignment horizontal="right" vertical="center"/>
    </xf>
    <xf numFmtId="0" fontId="10" fillId="0" borderId="29" xfId="2" applyFont="1" applyBorder="1" applyAlignment="1">
      <alignment horizontal="right" vertical="center"/>
    </xf>
    <xf numFmtId="0" fontId="10" fillId="0" borderId="26" xfId="2" applyFont="1" applyBorder="1" applyAlignment="1">
      <alignment horizontal="right" vertical="center"/>
    </xf>
    <xf numFmtId="0" fontId="16" fillId="0" borderId="30" xfId="2" applyFont="1" applyBorder="1" applyAlignment="1">
      <alignment horizontal="center" vertical="center"/>
    </xf>
    <xf numFmtId="0" fontId="16" fillId="0" borderId="31" xfId="2" applyFont="1" applyBorder="1">
      <alignment vertical="center"/>
    </xf>
    <xf numFmtId="0" fontId="16" fillId="0" borderId="32" xfId="2" applyFont="1" applyBorder="1">
      <alignment vertical="center"/>
    </xf>
    <xf numFmtId="0" fontId="10" fillId="0" borderId="33" xfId="2" applyFont="1" applyBorder="1">
      <alignment vertical="center"/>
    </xf>
    <xf numFmtId="0" fontId="10" fillId="0" borderId="31" xfId="2" applyFont="1" applyBorder="1">
      <alignment vertical="center"/>
    </xf>
    <xf numFmtId="0" fontId="10" fillId="0" borderId="31" xfId="2" applyFont="1" applyBorder="1" applyAlignment="1">
      <alignment horizontal="right" vertical="center"/>
    </xf>
    <xf numFmtId="37" fontId="10" fillId="0" borderId="34" xfId="2" applyNumberFormat="1" applyFont="1" applyBorder="1" applyAlignment="1">
      <alignment horizontal="right" vertical="center"/>
    </xf>
    <xf numFmtId="0" fontId="16" fillId="0" borderId="22" xfId="2" applyFont="1" applyBorder="1" applyAlignment="1">
      <alignment horizontal="left" vertical="center"/>
    </xf>
    <xf numFmtId="0" fontId="16" fillId="0" borderId="14" xfId="2" applyFont="1" applyBorder="1">
      <alignment vertical="center"/>
    </xf>
    <xf numFmtId="0" fontId="16" fillId="0" borderId="23" xfId="2" applyFont="1" applyBorder="1">
      <alignment vertical="center"/>
    </xf>
    <xf numFmtId="0" fontId="10" fillId="0" borderId="24" xfId="2" applyFont="1" applyBorder="1">
      <alignment vertical="center"/>
    </xf>
    <xf numFmtId="0" fontId="10" fillId="0" borderId="14" xfId="2" applyFont="1" applyBorder="1">
      <alignment vertical="center"/>
    </xf>
    <xf numFmtId="0" fontId="10" fillId="0" borderId="25" xfId="2" applyFont="1" applyBorder="1">
      <alignment vertical="center"/>
    </xf>
    <xf numFmtId="0" fontId="16" fillId="0" borderId="35" xfId="2" applyFont="1" applyBorder="1" applyAlignment="1">
      <alignment horizontal="left" vertical="center"/>
    </xf>
    <xf numFmtId="0" fontId="10" fillId="0" borderId="29" xfId="2" applyFont="1" applyBorder="1">
      <alignment vertical="center"/>
    </xf>
    <xf numFmtId="9" fontId="10" fillId="0" borderId="28" xfId="2" applyNumberFormat="1" applyFont="1" applyBorder="1" applyAlignment="1">
      <alignment horizontal="left" vertical="center"/>
    </xf>
    <xf numFmtId="0" fontId="16" fillId="0" borderId="36" xfId="2" applyFont="1" applyBorder="1" applyAlignment="1">
      <alignment horizontal="left" vertical="center"/>
    </xf>
    <xf numFmtId="0" fontId="16" fillId="0" borderId="37" xfId="2" applyFont="1" applyBorder="1">
      <alignment vertical="center"/>
    </xf>
    <xf numFmtId="0" fontId="10" fillId="0" borderId="38" xfId="2" applyFont="1" applyBorder="1">
      <alignment vertical="center"/>
    </xf>
    <xf numFmtId="0" fontId="10" fillId="0" borderId="37" xfId="2" applyFont="1" applyBorder="1">
      <alignment vertical="center"/>
    </xf>
    <xf numFmtId="0" fontId="10" fillId="0" borderId="40" xfId="2" applyFont="1" applyBorder="1">
      <alignment vertical="center"/>
    </xf>
    <xf numFmtId="0" fontId="16" fillId="0" borderId="0" xfId="2" applyFont="1" applyAlignment="1">
      <alignment horizontal="left" vertical="center"/>
    </xf>
    <xf numFmtId="37" fontId="16" fillId="0" borderId="0" xfId="2" applyNumberFormat="1" applyFont="1" applyAlignment="1">
      <alignment horizontal="right" vertical="center"/>
    </xf>
    <xf numFmtId="0" fontId="16" fillId="0" borderId="0" xfId="2" applyFont="1" applyAlignment="1">
      <alignment horizontal="right" vertical="center"/>
    </xf>
    <xf numFmtId="37" fontId="13" fillId="0" borderId="0" xfId="2" applyNumberFormat="1" applyFont="1" applyAlignment="1">
      <alignment horizontal="center" vertical="center"/>
    </xf>
    <xf numFmtId="37" fontId="13" fillId="0" borderId="0" xfId="2" applyNumberFormat="1" applyFont="1">
      <alignment vertical="center"/>
    </xf>
    <xf numFmtId="0" fontId="18" fillId="0" borderId="44" xfId="2" applyFont="1" applyBorder="1" applyAlignment="1">
      <alignment horizontal="center" vertical="center"/>
    </xf>
    <xf numFmtId="0" fontId="18" fillId="0" borderId="45" xfId="2" applyFont="1" applyBorder="1" applyAlignment="1">
      <alignment horizontal="center" vertical="center"/>
    </xf>
    <xf numFmtId="0" fontId="18" fillId="0" borderId="46" xfId="2" applyFont="1" applyBorder="1" applyAlignment="1">
      <alignment horizontal="center" vertical="center"/>
    </xf>
    <xf numFmtId="178" fontId="16" fillId="0" borderId="0" xfId="5" applyFont="1"/>
    <xf numFmtId="0" fontId="11" fillId="0" borderId="0" xfId="6" applyNumberFormat="1" applyFont="1" applyBorder="1" applyAlignment="1">
      <alignment horizontal="center" vertical="center"/>
    </xf>
    <xf numFmtId="178" fontId="11" fillId="0" borderId="0" xfId="5" applyFont="1"/>
    <xf numFmtId="38" fontId="13" fillId="0" borderId="0" xfId="6" applyFont="1" applyBorder="1" applyAlignment="1">
      <alignment horizontal="right" vertical="center"/>
    </xf>
    <xf numFmtId="0" fontId="14" fillId="0" borderId="0" xfId="6" applyNumberFormat="1" applyFont="1" applyBorder="1" applyAlignment="1">
      <alignment horizontal="right" vertical="center"/>
    </xf>
    <xf numFmtId="49" fontId="19" fillId="0" borderId="52" xfId="2" applyNumberFormat="1" applyFont="1" applyBorder="1" applyAlignment="1" applyProtection="1">
      <alignment horizontal="center" vertical="center"/>
      <protection locked="0"/>
    </xf>
    <xf numFmtId="180" fontId="16" fillId="0" borderId="0" xfId="2" applyNumberFormat="1" applyFont="1">
      <alignment vertical="center"/>
    </xf>
    <xf numFmtId="3" fontId="16" fillId="0" borderId="0" xfId="2" applyNumberFormat="1" applyFont="1" applyAlignment="1">
      <alignment vertical="center" wrapText="1"/>
    </xf>
    <xf numFmtId="49" fontId="16" fillId="0" borderId="35" xfId="2" applyNumberFormat="1" applyFont="1" applyBorder="1" applyAlignment="1" applyProtection="1">
      <alignment horizontal="center" vertical="center"/>
      <protection locked="0"/>
    </xf>
    <xf numFmtId="3" fontId="16" fillId="0" borderId="0" xfId="2" applyNumberFormat="1" applyFont="1" applyAlignment="1">
      <alignment horizontal="left" vertical="center" wrapText="1"/>
    </xf>
    <xf numFmtId="49" fontId="19" fillId="0" borderId="35" xfId="2" applyNumberFormat="1" applyFont="1" applyBorder="1" applyAlignment="1" applyProtection="1">
      <alignment horizontal="center" vertical="center"/>
      <protection locked="0"/>
    </xf>
    <xf numFmtId="180" fontId="16" fillId="0" borderId="58" xfId="2" applyNumberFormat="1" applyFont="1" applyBorder="1" applyAlignment="1" applyProtection="1">
      <alignment horizontal="center" vertical="center"/>
      <protection locked="0"/>
    </xf>
    <xf numFmtId="182" fontId="16" fillId="0" borderId="58" xfId="2" applyNumberFormat="1" applyFont="1" applyBorder="1" applyAlignment="1" applyProtection="1">
      <alignment horizontal="center" vertical="center"/>
      <protection locked="0"/>
    </xf>
    <xf numFmtId="49" fontId="16" fillId="0" borderId="36" xfId="2" applyNumberFormat="1" applyFont="1" applyBorder="1" applyAlignment="1" applyProtection="1">
      <alignment horizontal="center" vertical="center"/>
      <protection locked="0"/>
    </xf>
    <xf numFmtId="179" fontId="16" fillId="0" borderId="59" xfId="2" applyNumberFormat="1" applyFont="1" applyBorder="1" applyAlignment="1" applyProtection="1">
      <alignment horizontal="center" vertical="center"/>
      <protection locked="0"/>
    </xf>
    <xf numFmtId="0" fontId="20" fillId="0" borderId="61" xfId="2" applyFont="1" applyBorder="1" applyAlignment="1">
      <alignment horizontal="center" vertical="center"/>
    </xf>
    <xf numFmtId="0" fontId="20" fillId="0" borderId="44" xfId="2" applyFont="1" applyBorder="1" applyAlignment="1">
      <alignment horizontal="left" vertical="center"/>
    </xf>
    <xf numFmtId="179" fontId="20" fillId="0" borderId="62" xfId="2" applyNumberFormat="1" applyFont="1" applyBorder="1" applyAlignment="1">
      <alignment horizontal="center" vertical="center"/>
    </xf>
    <xf numFmtId="180" fontId="20" fillId="0" borderId="63" xfId="2" applyNumberFormat="1" applyFont="1" applyBorder="1" applyAlignment="1">
      <alignment horizontal="center" vertical="center"/>
    </xf>
    <xf numFmtId="180" fontId="20" fillId="0" borderId="64" xfId="2" applyNumberFormat="1" applyFont="1" applyBorder="1" applyAlignment="1">
      <alignment horizontal="right" vertical="center"/>
    </xf>
    <xf numFmtId="180" fontId="10" fillId="0" borderId="0" xfId="2" applyNumberFormat="1" applyFont="1">
      <alignment vertical="center"/>
    </xf>
    <xf numFmtId="180" fontId="10" fillId="0" borderId="0" xfId="2" applyNumberFormat="1" applyFont="1" applyAlignment="1">
      <alignment horizontal="left" vertical="center"/>
    </xf>
    <xf numFmtId="3" fontId="9" fillId="0" borderId="0" xfId="2" applyNumberFormat="1" applyFont="1" applyAlignment="1">
      <alignment vertical="center" wrapText="1"/>
    </xf>
    <xf numFmtId="0" fontId="20" fillId="0" borderId="36" xfId="2" applyFont="1" applyBorder="1" applyAlignment="1">
      <alignment horizontal="center" vertical="center" wrapText="1"/>
    </xf>
    <xf numFmtId="0" fontId="20" fillId="0" borderId="37" xfId="2" applyFont="1" applyBorder="1" applyAlignment="1">
      <alignment horizontal="left" vertical="center"/>
    </xf>
    <xf numFmtId="179" fontId="20" fillId="0" borderId="65" xfId="2" applyNumberFormat="1" applyFont="1" applyBorder="1" applyAlignment="1">
      <alignment horizontal="center" vertical="center"/>
    </xf>
    <xf numFmtId="38" fontId="10" fillId="0" borderId="0" xfId="2" applyNumberFormat="1" applyFont="1">
      <alignment vertical="center"/>
    </xf>
    <xf numFmtId="0" fontId="16" fillId="0" borderId="42" xfId="2" applyFont="1" applyBorder="1" applyAlignment="1">
      <alignment horizontal="center" vertical="center"/>
    </xf>
    <xf numFmtId="0" fontId="16" fillId="0" borderId="42" xfId="2" applyFont="1" applyBorder="1" applyAlignment="1">
      <alignment vertical="center" wrapText="1"/>
    </xf>
    <xf numFmtId="0" fontId="16" fillId="0" borderId="42" xfId="2" applyFont="1" applyBorder="1">
      <alignment vertical="center"/>
    </xf>
    <xf numFmtId="37" fontId="9" fillId="0" borderId="0" xfId="2" applyNumberFormat="1" applyFont="1">
      <alignment vertical="center"/>
    </xf>
    <xf numFmtId="0" fontId="11" fillId="0" borderId="66" xfId="2" applyFont="1" applyBorder="1" applyAlignment="1">
      <alignment horizontal="left" vertical="center"/>
    </xf>
    <xf numFmtId="0" fontId="16" fillId="0" borderId="66" xfId="2" applyFont="1" applyBorder="1" applyAlignment="1">
      <alignment vertical="center" wrapText="1"/>
    </xf>
    <xf numFmtId="0" fontId="16" fillId="0" borderId="66" xfId="2" applyFont="1" applyBorder="1">
      <alignment vertical="center"/>
    </xf>
    <xf numFmtId="0" fontId="16" fillId="0" borderId="67" xfId="2" applyFont="1" applyBorder="1" applyAlignment="1">
      <alignment horizontal="center" vertical="center"/>
    </xf>
    <xf numFmtId="0" fontId="16" fillId="0" borderId="53" xfId="2" applyFont="1" applyBorder="1" applyAlignment="1">
      <alignment horizontal="left" vertical="center"/>
    </xf>
    <xf numFmtId="0" fontId="16" fillId="0" borderId="53" xfId="2" applyFont="1" applyBorder="1" applyAlignment="1">
      <alignment horizontal="center" vertical="center"/>
    </xf>
    <xf numFmtId="0" fontId="16" fillId="0" borderId="68" xfId="2" applyFont="1" applyBorder="1" applyAlignment="1">
      <alignment horizontal="center" vertical="center"/>
    </xf>
    <xf numFmtId="179" fontId="16" fillId="0" borderId="68" xfId="2" applyNumberFormat="1" applyFont="1" applyBorder="1" applyAlignment="1">
      <alignment horizontal="center" vertical="center"/>
    </xf>
    <xf numFmtId="0" fontId="16" fillId="0" borderId="26" xfId="2" applyFont="1" applyBorder="1" applyAlignment="1">
      <alignment horizontal="left" vertical="center"/>
    </xf>
    <xf numFmtId="0" fontId="16" fillId="0" borderId="26" xfId="2" applyFont="1" applyBorder="1" applyAlignment="1">
      <alignment horizontal="center" vertical="center"/>
    </xf>
    <xf numFmtId="3" fontId="16" fillId="0" borderId="28" xfId="2" applyNumberFormat="1" applyFont="1" applyBorder="1" applyAlignment="1" applyProtection="1">
      <alignment horizontal="center" vertical="center"/>
      <protection locked="0"/>
    </xf>
    <xf numFmtId="179" fontId="16" fillId="0" borderId="60" xfId="2" applyNumberFormat="1" applyFont="1" applyBorder="1" applyAlignment="1" applyProtection="1">
      <alignment horizontal="center" vertical="center"/>
      <protection locked="0"/>
    </xf>
    <xf numFmtId="3" fontId="16" fillId="0" borderId="38" xfId="2" applyNumberFormat="1" applyFont="1" applyBorder="1" applyAlignment="1" applyProtection="1">
      <alignment horizontal="center" vertical="center"/>
      <protection locked="0"/>
    </xf>
    <xf numFmtId="0" fontId="16" fillId="0" borderId="70" xfId="2" applyFont="1" applyBorder="1" applyAlignment="1">
      <alignment horizontal="left" vertical="center"/>
    </xf>
    <xf numFmtId="37" fontId="16" fillId="0" borderId="65" xfId="2" applyNumberFormat="1" applyFont="1" applyBorder="1" applyAlignment="1">
      <alignment horizontal="right" vertical="center"/>
    </xf>
    <xf numFmtId="0" fontId="16" fillId="0" borderId="71" xfId="2" applyFont="1" applyBorder="1">
      <alignment vertical="center"/>
    </xf>
    <xf numFmtId="0" fontId="16" fillId="0" borderId="72" xfId="2" applyFont="1" applyBorder="1">
      <alignment vertical="center"/>
    </xf>
    <xf numFmtId="37" fontId="16" fillId="0" borderId="71" xfId="2" applyNumberFormat="1" applyFont="1" applyBorder="1" applyAlignment="1">
      <alignment horizontal="right" vertical="center"/>
    </xf>
    <xf numFmtId="0" fontId="10" fillId="0" borderId="66" xfId="2" applyFont="1" applyBorder="1">
      <alignment vertical="center"/>
    </xf>
    <xf numFmtId="0" fontId="10" fillId="0" borderId="73" xfId="2" applyFont="1" applyBorder="1">
      <alignment vertical="center"/>
    </xf>
    <xf numFmtId="177" fontId="15" fillId="0" borderId="1" xfId="3" applyNumberFormat="1" applyFont="1" applyBorder="1" applyAlignment="1"/>
    <xf numFmtId="37" fontId="21" fillId="0" borderId="48" xfId="2" applyNumberFormat="1" applyFont="1" applyBorder="1" applyAlignment="1">
      <alignment horizontal="center" vertical="center"/>
    </xf>
    <xf numFmtId="37" fontId="21" fillId="0" borderId="50" xfId="2" applyNumberFormat="1" applyFont="1" applyBorder="1" applyAlignment="1">
      <alignment horizontal="center" vertical="center"/>
    </xf>
    <xf numFmtId="3" fontId="22" fillId="0" borderId="0" xfId="0" applyNumberFormat="1" applyFont="1">
      <alignment vertical="center"/>
    </xf>
    <xf numFmtId="3" fontId="22" fillId="0" borderId="0" xfId="0" applyNumberFormat="1" applyFont="1" applyAlignment="1">
      <alignment horizontal="justify" vertical="center" wrapText="1"/>
    </xf>
    <xf numFmtId="38" fontId="21" fillId="0" borderId="59" xfId="3" applyFont="1" applyFill="1" applyBorder="1" applyAlignment="1">
      <alignment vertical="center" shrinkToFit="1"/>
    </xf>
    <xf numFmtId="38" fontId="10" fillId="0" borderId="68" xfId="1" applyFont="1" applyFill="1" applyBorder="1" applyAlignment="1">
      <alignment horizontal="center" vertical="center"/>
    </xf>
    <xf numFmtId="178" fontId="11" fillId="0" borderId="0" xfId="4" applyFont="1" applyAlignment="1">
      <alignment horizontal="distributed" vertical="center"/>
    </xf>
    <xf numFmtId="14" fontId="10" fillId="0" borderId="0" xfId="2" applyNumberFormat="1" applyFont="1" applyAlignment="1" applyProtection="1">
      <alignment horizontal="center" vertical="center"/>
      <protection locked="0"/>
    </xf>
    <xf numFmtId="0" fontId="16" fillId="0" borderId="0" xfId="2" applyFont="1" applyAlignment="1" applyProtection="1">
      <alignment vertical="top" wrapText="1"/>
      <protection locked="0"/>
    </xf>
    <xf numFmtId="0" fontId="16" fillId="0" borderId="0" xfId="2" applyFont="1" applyAlignment="1" applyProtection="1">
      <alignment horizontal="left" vertical="top" wrapText="1"/>
      <protection locked="0"/>
    </xf>
    <xf numFmtId="0" fontId="12" fillId="0" borderId="0" xfId="2" applyFont="1" applyAlignment="1"/>
    <xf numFmtId="0" fontId="13" fillId="0" borderId="0" xfId="2" applyFont="1" applyAlignment="1"/>
    <xf numFmtId="0" fontId="12" fillId="0" borderId="0" xfId="2" applyFont="1" applyAlignment="1" applyProtection="1">
      <protection locked="0"/>
    </xf>
    <xf numFmtId="0" fontId="10" fillId="0" borderId="0" xfId="2" applyFont="1" applyProtection="1">
      <alignment vertical="center"/>
      <protection locked="0"/>
    </xf>
    <xf numFmtId="0" fontId="10" fillId="0" borderId="74" xfId="2" applyFont="1" applyBorder="1" applyAlignment="1">
      <alignment horizontal="center" vertical="center"/>
    </xf>
    <xf numFmtId="0" fontId="10" fillId="0" borderId="74" xfId="2" applyFont="1" applyBorder="1" applyAlignment="1" applyProtection="1">
      <alignment horizontal="center" vertical="center"/>
      <protection locked="0"/>
    </xf>
    <xf numFmtId="177" fontId="15" fillId="0" borderId="0" xfId="3" applyNumberFormat="1" applyFont="1" applyBorder="1" applyAlignment="1"/>
    <xf numFmtId="0" fontId="11" fillId="0" borderId="1" xfId="2" applyFont="1" applyBorder="1" applyAlignment="1"/>
    <xf numFmtId="0" fontId="11" fillId="0" borderId="0" xfId="2" applyFont="1" applyAlignment="1">
      <alignment horizontal="center" vertical="center"/>
    </xf>
    <xf numFmtId="0" fontId="11" fillId="0" borderId="0" xfId="2" applyFont="1" applyAlignment="1">
      <alignment wrapText="1"/>
    </xf>
    <xf numFmtId="0" fontId="13" fillId="0" borderId="0" xfId="2" applyFont="1" applyAlignment="1">
      <alignment horizontal="center" wrapText="1"/>
    </xf>
    <xf numFmtId="177" fontId="14" fillId="0" borderId="0" xfId="3" applyNumberFormat="1" applyFont="1" applyBorder="1" applyAlignment="1"/>
    <xf numFmtId="176" fontId="16" fillId="0" borderId="0" xfId="2" applyNumberFormat="1" applyFont="1" applyAlignment="1" applyProtection="1">
      <alignment horizontal="center" vertical="center"/>
      <protection locked="0"/>
    </xf>
    <xf numFmtId="37" fontId="24" fillId="0" borderId="51" xfId="2" applyNumberFormat="1" applyFont="1" applyBorder="1" applyAlignment="1">
      <alignment horizontal="center" vertical="center"/>
    </xf>
    <xf numFmtId="183" fontId="10" fillId="0" borderId="3" xfId="2" applyNumberFormat="1" applyFont="1" applyBorder="1" applyAlignment="1" applyProtection="1">
      <alignment horizontal="center" vertical="center"/>
      <protection locked="0"/>
    </xf>
    <xf numFmtId="0" fontId="16" fillId="0" borderId="22" xfId="2" applyFont="1" applyBorder="1" applyAlignment="1">
      <alignment horizontal="center" vertical="center"/>
    </xf>
    <xf numFmtId="0" fontId="16" fillId="0" borderId="14" xfId="2" applyFont="1" applyBorder="1" applyAlignment="1">
      <alignment horizontal="left" vertical="center"/>
    </xf>
    <xf numFmtId="0" fontId="16" fillId="0" borderId="14" xfId="2" applyFont="1" applyBorder="1" applyAlignment="1">
      <alignment horizontal="center" vertical="center"/>
    </xf>
    <xf numFmtId="0" fontId="16" fillId="0" borderId="24" xfId="2" applyFont="1" applyBorder="1" applyAlignment="1">
      <alignment horizontal="center" vertical="center"/>
    </xf>
    <xf numFmtId="38" fontId="10" fillId="0" borderId="24" xfId="1" applyFont="1" applyFill="1" applyBorder="1" applyAlignment="1">
      <alignment horizontal="center" vertical="center"/>
    </xf>
    <xf numFmtId="49" fontId="19" fillId="2" borderId="52" xfId="2" applyNumberFormat="1" applyFont="1" applyFill="1" applyBorder="1" applyAlignment="1" applyProtection="1">
      <alignment horizontal="center" vertical="center"/>
      <protection locked="0"/>
    </xf>
    <xf numFmtId="37" fontId="29" fillId="2" borderId="53" xfId="2" applyNumberFormat="1" applyFont="1" applyFill="1" applyBorder="1" applyAlignment="1">
      <alignment horizontal="center" vertical="center"/>
    </xf>
    <xf numFmtId="179" fontId="29" fillId="2" borderId="55" xfId="2" applyNumberFormat="1" applyFont="1" applyFill="1" applyBorder="1" applyAlignment="1">
      <alignment horizontal="center" vertical="center"/>
    </xf>
    <xf numFmtId="3" fontId="25" fillId="2" borderId="56" xfId="2" applyNumberFormat="1" applyFont="1" applyFill="1" applyBorder="1" applyProtection="1">
      <alignment vertical="center"/>
      <protection locked="0"/>
    </xf>
    <xf numFmtId="180" fontId="25" fillId="0" borderId="0" xfId="2" applyNumberFormat="1" applyFont="1">
      <alignment vertical="center"/>
    </xf>
    <xf numFmtId="3" fontId="25" fillId="0" borderId="0" xfId="2" applyNumberFormat="1" applyFont="1" applyAlignment="1">
      <alignment vertical="center" wrapText="1"/>
    </xf>
    <xf numFmtId="0" fontId="25" fillId="0" borderId="0" xfId="2" applyFont="1">
      <alignment vertical="center"/>
    </xf>
    <xf numFmtId="49" fontId="25" fillId="2" borderId="35" xfId="2" applyNumberFormat="1" applyFont="1" applyFill="1" applyBorder="1" applyAlignment="1" applyProtection="1">
      <alignment horizontal="center" vertical="center"/>
      <protection locked="0"/>
    </xf>
    <xf numFmtId="180" fontId="25" fillId="2" borderId="58" xfId="2" applyNumberFormat="1" applyFont="1" applyFill="1" applyBorder="1" applyAlignment="1" applyProtection="1">
      <alignment horizontal="center" vertical="center"/>
      <protection locked="0"/>
    </xf>
    <xf numFmtId="3" fontId="25" fillId="2" borderId="57" xfId="2" applyNumberFormat="1" applyFont="1" applyFill="1" applyBorder="1" applyProtection="1">
      <alignment vertical="center"/>
      <protection locked="0"/>
    </xf>
    <xf numFmtId="181" fontId="25" fillId="2" borderId="58" xfId="1" applyNumberFormat="1" applyFont="1" applyFill="1" applyBorder="1" applyAlignment="1" applyProtection="1">
      <alignment horizontal="center" vertical="center"/>
      <protection locked="0"/>
    </xf>
    <xf numFmtId="3" fontId="30" fillId="0" borderId="0" xfId="0" applyNumberFormat="1" applyFont="1" applyAlignment="1">
      <alignment horizontal="justify" vertical="center" wrapText="1"/>
    </xf>
    <xf numFmtId="49" fontId="25" fillId="2" borderId="22" xfId="2" applyNumberFormat="1" applyFont="1" applyFill="1" applyBorder="1" applyAlignment="1" applyProtection="1">
      <alignment horizontal="center" vertical="center"/>
      <protection locked="0"/>
    </xf>
    <xf numFmtId="182" fontId="25" fillId="2" borderId="15" xfId="2" applyNumberFormat="1" applyFont="1" applyFill="1" applyBorder="1" applyAlignment="1" applyProtection="1">
      <alignment horizontal="center" vertical="center"/>
      <protection locked="0"/>
    </xf>
    <xf numFmtId="181" fontId="25" fillId="2" borderId="15" xfId="1" applyNumberFormat="1" applyFont="1" applyFill="1" applyBorder="1" applyAlignment="1" applyProtection="1">
      <alignment horizontal="center" vertical="center"/>
      <protection locked="0"/>
    </xf>
    <xf numFmtId="0" fontId="11" fillId="0" borderId="0" xfId="2" applyFont="1" applyAlignment="1"/>
    <xf numFmtId="49" fontId="16" fillId="0" borderId="81" xfId="2" applyNumberFormat="1" applyFont="1" applyBorder="1" applyAlignment="1" applyProtection="1">
      <alignment horizontal="center" vertical="center"/>
      <protection locked="0"/>
    </xf>
    <xf numFmtId="0" fontId="16" fillId="0" borderId="9" xfId="2" applyFont="1" applyBorder="1" applyAlignment="1">
      <alignment horizontal="left" vertical="center"/>
    </xf>
    <xf numFmtId="0" fontId="16" fillId="0" borderId="9" xfId="2" applyFont="1" applyBorder="1" applyAlignment="1">
      <alignment horizontal="center" vertical="center"/>
    </xf>
    <xf numFmtId="179" fontId="16" fillId="0" borderId="82" xfId="2" applyNumberFormat="1" applyFont="1" applyBorder="1" applyAlignment="1" applyProtection="1">
      <alignment horizontal="center" vertical="center"/>
      <protection locked="0"/>
    </xf>
    <xf numFmtId="179" fontId="16" fillId="0" borderId="10" xfId="2" applyNumberFormat="1" applyFont="1" applyBorder="1" applyAlignment="1" applyProtection="1">
      <alignment horizontal="center" vertical="center"/>
      <protection locked="0"/>
    </xf>
    <xf numFmtId="3" fontId="16" fillId="0" borderId="83" xfId="2" applyNumberFormat="1" applyFont="1" applyBorder="1" applyAlignment="1" applyProtection="1">
      <alignment horizontal="center" vertical="center"/>
      <protection locked="0"/>
    </xf>
    <xf numFmtId="0" fontId="10" fillId="0" borderId="0" xfId="9" applyFont="1">
      <alignment vertical="center"/>
    </xf>
    <xf numFmtId="0" fontId="10" fillId="0" borderId="0" xfId="9" applyFont="1" applyAlignment="1">
      <alignment horizontal="center" vertical="center"/>
    </xf>
    <xf numFmtId="0" fontId="10" fillId="0" borderId="0" xfId="9" applyFont="1" applyAlignment="1">
      <alignment vertical="center" wrapText="1"/>
    </xf>
    <xf numFmtId="0" fontId="16" fillId="0" borderId="0" xfId="9" applyFont="1">
      <alignment vertical="center"/>
    </xf>
    <xf numFmtId="0" fontId="11" fillId="0" borderId="0" xfId="9" applyFont="1" applyAlignment="1">
      <alignment horizontal="left" vertical="center"/>
    </xf>
    <xf numFmtId="0" fontId="16" fillId="0" borderId="0" xfId="9" applyFont="1" applyAlignment="1">
      <alignment vertical="center" wrapText="1"/>
    </xf>
    <xf numFmtId="0" fontId="16" fillId="0" borderId="19" xfId="9" applyFont="1" applyBorder="1" applyAlignment="1">
      <alignment horizontal="center" vertical="center"/>
    </xf>
    <xf numFmtId="0" fontId="16" fillId="0" borderId="22" xfId="9" applyFont="1" applyBorder="1" applyAlignment="1">
      <alignment horizontal="center" vertical="center"/>
    </xf>
    <xf numFmtId="0" fontId="16" fillId="0" borderId="14" xfId="9" applyFont="1" applyBorder="1">
      <alignment vertical="center"/>
    </xf>
    <xf numFmtId="0" fontId="16" fillId="0" borderId="23" xfId="9" applyFont="1" applyBorder="1">
      <alignment vertical="center"/>
    </xf>
    <xf numFmtId="0" fontId="10" fillId="0" borderId="24" xfId="9" applyFont="1" applyBorder="1">
      <alignment vertical="center"/>
    </xf>
    <xf numFmtId="0" fontId="10" fillId="0" borderId="14" xfId="9" applyFont="1" applyBorder="1">
      <alignment vertical="center"/>
    </xf>
    <xf numFmtId="0" fontId="10" fillId="0" borderId="25" xfId="9" applyFont="1" applyBorder="1">
      <alignment vertical="center"/>
    </xf>
    <xf numFmtId="0" fontId="16" fillId="0" borderId="35" xfId="9" applyFont="1" applyBorder="1" applyAlignment="1">
      <alignment horizontal="center" vertical="center"/>
    </xf>
    <xf numFmtId="0" fontId="16" fillId="0" borderId="26" xfId="9" applyFont="1" applyBorder="1">
      <alignment vertical="center"/>
    </xf>
    <xf numFmtId="0" fontId="16" fillId="0" borderId="27" xfId="9" applyFont="1" applyBorder="1">
      <alignment vertical="center"/>
    </xf>
    <xf numFmtId="0" fontId="10" fillId="0" borderId="28" xfId="9" applyFont="1" applyBorder="1">
      <alignment vertical="center"/>
    </xf>
    <xf numFmtId="0" fontId="10" fillId="0" borderId="26" xfId="9" applyFont="1" applyBorder="1">
      <alignment vertical="center"/>
    </xf>
    <xf numFmtId="0" fontId="10" fillId="0" borderId="29" xfId="9" applyFont="1" applyBorder="1">
      <alignment vertical="center"/>
    </xf>
    <xf numFmtId="0" fontId="10" fillId="0" borderId="26" xfId="9" applyFont="1" applyBorder="1" applyAlignment="1">
      <alignment horizontal="right" vertical="center"/>
    </xf>
    <xf numFmtId="0" fontId="16" fillId="0" borderId="30" xfId="9" applyFont="1" applyBorder="1" applyAlignment="1">
      <alignment horizontal="center" vertical="center"/>
    </xf>
    <xf numFmtId="0" fontId="16" fillId="0" borderId="31" xfId="9" applyFont="1" applyBorder="1">
      <alignment vertical="center"/>
    </xf>
    <xf numFmtId="0" fontId="16" fillId="0" borderId="32" xfId="9" applyFont="1" applyBorder="1">
      <alignment vertical="center"/>
    </xf>
    <xf numFmtId="0" fontId="10" fillId="0" borderId="33" xfId="9" applyFont="1" applyBorder="1">
      <alignment vertical="center"/>
    </xf>
    <xf numFmtId="0" fontId="10" fillId="0" borderId="31" xfId="9" applyFont="1" applyBorder="1">
      <alignment vertical="center"/>
    </xf>
    <xf numFmtId="0" fontId="10" fillId="0" borderId="31" xfId="9" applyFont="1" applyBorder="1" applyAlignment="1">
      <alignment horizontal="right" vertical="center"/>
    </xf>
    <xf numFmtId="0" fontId="16" fillId="0" borderId="22" xfId="9" applyFont="1" applyBorder="1" applyAlignment="1">
      <alignment horizontal="left" vertical="center"/>
    </xf>
    <xf numFmtId="0" fontId="16" fillId="0" borderId="35" xfId="9" applyFont="1" applyBorder="1" applyAlignment="1">
      <alignment horizontal="left" vertical="center"/>
    </xf>
    <xf numFmtId="3" fontId="10" fillId="0" borderId="0" xfId="9" applyNumberFormat="1" applyFont="1">
      <alignment vertical="center"/>
    </xf>
    <xf numFmtId="9" fontId="10" fillId="0" borderId="28" xfId="9" applyNumberFormat="1" applyFont="1" applyBorder="1" applyAlignment="1">
      <alignment horizontal="left" vertical="center"/>
    </xf>
    <xf numFmtId="0" fontId="16" fillId="0" borderId="36" xfId="9" applyFont="1" applyBorder="1" applyAlignment="1">
      <alignment horizontal="left" vertical="center"/>
    </xf>
    <xf numFmtId="0" fontId="16" fillId="0" borderId="37" xfId="9" applyFont="1" applyBorder="1">
      <alignment vertical="center"/>
    </xf>
    <xf numFmtId="0" fontId="10" fillId="0" borderId="38" xfId="9" applyFont="1" applyBorder="1">
      <alignment vertical="center"/>
    </xf>
    <xf numFmtId="0" fontId="10" fillId="0" borderId="37" xfId="9" applyFont="1" applyBorder="1">
      <alignment vertical="center"/>
    </xf>
    <xf numFmtId="0" fontId="10" fillId="0" borderId="40" xfId="9" applyFont="1" applyBorder="1">
      <alignment vertical="center"/>
    </xf>
    <xf numFmtId="0" fontId="16" fillId="0" borderId="0" xfId="9" applyFont="1" applyAlignment="1">
      <alignment horizontal="left" vertical="center"/>
    </xf>
    <xf numFmtId="37" fontId="16" fillId="0" borderId="0" xfId="9" applyNumberFormat="1" applyFont="1" applyAlignment="1">
      <alignment horizontal="right" vertical="center"/>
    </xf>
    <xf numFmtId="178" fontId="31" fillId="0" borderId="0" xfId="5" applyFont="1" applyAlignment="1">
      <alignment vertical="center"/>
    </xf>
    <xf numFmtId="178" fontId="13" fillId="0" borderId="0" xfId="5" applyFont="1" applyAlignment="1">
      <alignment vertical="center"/>
    </xf>
    <xf numFmtId="178" fontId="13" fillId="0" borderId="0" xfId="5" applyFont="1" applyAlignment="1">
      <alignment horizontal="right" vertical="center"/>
    </xf>
    <xf numFmtId="178" fontId="32" fillId="0" borderId="0" xfId="5" applyFont="1" applyAlignment="1">
      <alignment horizontal="right"/>
    </xf>
    <xf numFmtId="0" fontId="33" fillId="0" borderId="0" xfId="9" applyFont="1" applyAlignment="1">
      <alignment horizontal="right" vertical="center"/>
    </xf>
    <xf numFmtId="178" fontId="11" fillId="0" borderId="41" xfId="5" applyFont="1" applyBorder="1" applyAlignment="1">
      <alignment vertical="center"/>
    </xf>
    <xf numFmtId="178" fontId="10" fillId="0" borderId="42" xfId="5" applyFont="1" applyBorder="1" applyAlignment="1">
      <alignment vertical="center"/>
    </xf>
    <xf numFmtId="3" fontId="10" fillId="0" borderId="42" xfId="6" applyNumberFormat="1" applyFont="1" applyBorder="1" applyAlignment="1">
      <alignment vertical="center"/>
    </xf>
    <xf numFmtId="0" fontId="10" fillId="0" borderId="42" xfId="6" applyNumberFormat="1" applyFont="1" applyBorder="1" applyAlignment="1">
      <alignment horizontal="center" vertical="center"/>
    </xf>
    <xf numFmtId="184" fontId="10" fillId="0" borderId="42" xfId="6" applyNumberFormat="1" applyFont="1" applyBorder="1" applyAlignment="1">
      <alignment vertical="center"/>
    </xf>
    <xf numFmtId="38" fontId="13" fillId="0" borderId="42" xfId="6" applyFont="1" applyBorder="1" applyAlignment="1">
      <alignment horizontal="right" vertical="center"/>
    </xf>
    <xf numFmtId="38" fontId="10" fillId="0" borderId="42" xfId="6" applyFont="1" applyBorder="1" applyAlignment="1">
      <alignment horizontal="right" vertical="center"/>
    </xf>
    <xf numFmtId="178" fontId="16" fillId="0" borderId="78" xfId="5" applyFont="1" applyBorder="1" applyAlignment="1">
      <alignment vertical="center"/>
    </xf>
    <xf numFmtId="178" fontId="10" fillId="0" borderId="70" xfId="5" applyFont="1" applyBorder="1" applyAlignment="1">
      <alignment vertical="center"/>
    </xf>
    <xf numFmtId="178" fontId="10" fillId="0" borderId="66" xfId="5" applyFont="1" applyBorder="1" applyAlignment="1">
      <alignment vertical="center"/>
    </xf>
    <xf numFmtId="0" fontId="10" fillId="0" borderId="66" xfId="6" applyNumberFormat="1" applyFont="1" applyBorder="1" applyAlignment="1">
      <alignment horizontal="center" vertical="center"/>
    </xf>
    <xf numFmtId="2" fontId="10" fillId="0" borderId="66" xfId="6" applyNumberFormat="1" applyFont="1" applyBorder="1" applyAlignment="1">
      <alignment vertical="center"/>
    </xf>
    <xf numFmtId="38" fontId="13" fillId="0" borderId="66" xfId="6" applyFont="1" applyBorder="1" applyAlignment="1">
      <alignment horizontal="right" vertical="center"/>
    </xf>
    <xf numFmtId="3" fontId="34" fillId="0" borderId="66" xfId="6" applyNumberFormat="1" applyFont="1" applyBorder="1" applyAlignment="1">
      <alignment horizontal="center" vertical="center"/>
    </xf>
    <xf numFmtId="178" fontId="14" fillId="0" borderId="73" xfId="5" applyFont="1" applyBorder="1" applyAlignment="1">
      <alignment vertical="center"/>
    </xf>
    <xf numFmtId="178" fontId="10" fillId="0" borderId="84" xfId="5" applyFont="1" applyBorder="1" applyAlignment="1">
      <alignment vertical="center"/>
    </xf>
    <xf numFmtId="178" fontId="10" fillId="0" borderId="1" xfId="5" applyFont="1" applyBorder="1" applyAlignment="1">
      <alignment vertical="center"/>
    </xf>
    <xf numFmtId="178" fontId="10" fillId="0" borderId="85" xfId="5" applyFont="1" applyBorder="1" applyAlignment="1">
      <alignment vertical="center"/>
    </xf>
    <xf numFmtId="178" fontId="10" fillId="0" borderId="1" xfId="5" applyFont="1" applyBorder="1" applyAlignment="1">
      <alignment horizontal="center" vertical="center"/>
    </xf>
    <xf numFmtId="2" fontId="10" fillId="0" borderId="7" xfId="5" applyNumberFormat="1" applyFont="1" applyBorder="1" applyAlignment="1">
      <alignment horizontal="left" vertical="center"/>
    </xf>
    <xf numFmtId="178" fontId="10" fillId="0" borderId="86" xfId="5" applyFont="1" applyBorder="1" applyAlignment="1">
      <alignment vertical="center"/>
    </xf>
    <xf numFmtId="178" fontId="10" fillId="0" borderId="87" xfId="5" applyFont="1" applyBorder="1" applyAlignment="1">
      <alignment vertical="center"/>
    </xf>
    <xf numFmtId="178" fontId="10" fillId="0" borderId="87" xfId="5" applyFont="1" applyBorder="1" applyAlignment="1">
      <alignment horizontal="center" vertical="center"/>
    </xf>
    <xf numFmtId="184" fontId="10" fillId="0" borderId="88" xfId="5" applyNumberFormat="1" applyFont="1" applyBorder="1" applyAlignment="1">
      <alignment horizontal="left" vertical="center"/>
    </xf>
    <xf numFmtId="178" fontId="10" fillId="0" borderId="87" xfId="5" applyFont="1" applyBorder="1" applyAlignment="1">
      <alignment horizontal="right" vertical="center"/>
    </xf>
    <xf numFmtId="2" fontId="10" fillId="0" borderId="88" xfId="5" applyNumberFormat="1" applyFont="1" applyBorder="1" applyAlignment="1">
      <alignment horizontal="left" vertical="center"/>
    </xf>
    <xf numFmtId="178" fontId="10" fillId="0" borderId="93" xfId="5" applyFont="1" applyBorder="1" applyAlignment="1">
      <alignment horizontal="right" vertical="center"/>
    </xf>
    <xf numFmtId="178" fontId="10" fillId="0" borderId="93" xfId="5" applyFont="1" applyBorder="1" applyAlignment="1">
      <alignment horizontal="center" vertical="center"/>
    </xf>
    <xf numFmtId="2" fontId="10" fillId="0" borderId="91" xfId="5" applyNumberFormat="1" applyFont="1" applyBorder="1" applyAlignment="1">
      <alignment horizontal="left" vertical="center"/>
    </xf>
    <xf numFmtId="178" fontId="10" fillId="0" borderId="93" xfId="5" applyFont="1" applyBorder="1" applyAlignment="1">
      <alignment vertical="center"/>
    </xf>
    <xf numFmtId="178" fontId="10" fillId="0" borderId="0" xfId="5" applyFont="1" applyAlignment="1">
      <alignment vertical="center"/>
    </xf>
    <xf numFmtId="178" fontId="10" fillId="0" borderId="0" xfId="5" applyFont="1" applyAlignment="1">
      <alignment horizontal="right" vertical="center"/>
    </xf>
    <xf numFmtId="178" fontId="10" fillId="0" borderId="0" xfId="5" applyFont="1" applyAlignment="1">
      <alignment horizontal="center" vertical="center"/>
    </xf>
    <xf numFmtId="2" fontId="10" fillId="0" borderId="0" xfId="5" applyNumberFormat="1" applyFont="1" applyAlignment="1">
      <alignment horizontal="left" vertical="center"/>
    </xf>
    <xf numFmtId="178" fontId="14" fillId="0" borderId="0" xfId="5" applyFont="1" applyAlignment="1">
      <alignment vertical="center"/>
    </xf>
    <xf numFmtId="0" fontId="16" fillId="0" borderId="67" xfId="9" applyFont="1" applyBorder="1" applyAlignment="1">
      <alignment horizontal="center" vertical="center"/>
    </xf>
    <xf numFmtId="0" fontId="16" fillId="0" borderId="70" xfId="9" applyFont="1" applyBorder="1" applyAlignment="1">
      <alignment horizontal="left" vertical="center"/>
    </xf>
    <xf numFmtId="0" fontId="16" fillId="0" borderId="66" xfId="9" applyFont="1" applyBorder="1">
      <alignment vertical="center"/>
    </xf>
    <xf numFmtId="37" fontId="16" fillId="0" borderId="65" xfId="9" applyNumberFormat="1" applyFont="1" applyBorder="1" applyAlignment="1">
      <alignment horizontal="right" vertical="center"/>
    </xf>
    <xf numFmtId="0" fontId="16" fillId="0" borderId="71" xfId="9" applyFont="1" applyBorder="1">
      <alignment vertical="center"/>
    </xf>
    <xf numFmtId="0" fontId="16" fillId="0" borderId="72" xfId="9" applyFont="1" applyBorder="1">
      <alignment vertical="center"/>
    </xf>
    <xf numFmtId="37" fontId="16" fillId="0" borderId="71" xfId="9" applyNumberFormat="1" applyFont="1" applyBorder="1" applyAlignment="1">
      <alignment horizontal="right" vertical="center"/>
    </xf>
    <xf numFmtId="0" fontId="10" fillId="0" borderId="66" xfId="9" applyFont="1" applyBorder="1">
      <alignment vertical="center"/>
    </xf>
    <xf numFmtId="0" fontId="10" fillId="0" borderId="73" xfId="9" applyFont="1" applyBorder="1">
      <alignment vertical="center"/>
    </xf>
    <xf numFmtId="178" fontId="13" fillId="0" borderId="0" xfId="5" applyFont="1"/>
    <xf numFmtId="0" fontId="9" fillId="0" borderId="0" xfId="6" applyNumberFormat="1" applyFont="1" applyBorder="1" applyAlignment="1">
      <alignment horizontal="right" vertical="center"/>
    </xf>
    <xf numFmtId="178" fontId="11" fillId="0" borderId="66" xfId="5" applyFont="1" applyBorder="1"/>
    <xf numFmtId="178" fontId="10" fillId="0" borderId="0" xfId="5" applyFont="1"/>
    <xf numFmtId="180" fontId="16" fillId="0" borderId="0" xfId="5" applyNumberFormat="1" applyFont="1"/>
    <xf numFmtId="178" fontId="19" fillId="0" borderId="0" xfId="5" applyFont="1" applyAlignment="1">
      <alignment horizontal="right"/>
    </xf>
    <xf numFmtId="185" fontId="32" fillId="0" borderId="0" xfId="5" applyNumberFormat="1" applyFont="1" applyAlignment="1">
      <alignment horizontal="right"/>
    </xf>
    <xf numFmtId="178" fontId="16" fillId="0" borderId="0" xfId="5" applyFont="1" applyAlignment="1">
      <alignment vertical="center"/>
    </xf>
    <xf numFmtId="178" fontId="14" fillId="0" borderId="66" xfId="5" applyFont="1" applyBorder="1" applyAlignment="1">
      <alignment horizontal="right" vertical="top"/>
    </xf>
    <xf numFmtId="178" fontId="14" fillId="0" borderId="95" xfId="5" applyFont="1" applyBorder="1" applyAlignment="1">
      <alignment horizontal="center" vertical="center"/>
    </xf>
    <xf numFmtId="178" fontId="14" fillId="0" borderId="0" xfId="5" applyFont="1"/>
    <xf numFmtId="6" fontId="14" fillId="0" borderId="97" xfId="11" applyFont="1" applyBorder="1" applyAlignment="1">
      <alignment horizontal="center" vertical="center"/>
    </xf>
    <xf numFmtId="49" fontId="10" fillId="0" borderId="84" xfId="5" applyNumberFormat="1" applyFont="1" applyBorder="1" applyAlignment="1">
      <alignment vertical="center"/>
    </xf>
    <xf numFmtId="178" fontId="10" fillId="0" borderId="7" xfId="5" applyFont="1" applyBorder="1" applyAlignment="1">
      <alignment vertical="center" wrapText="1"/>
    </xf>
    <xf numFmtId="179" fontId="16" fillId="0" borderId="99" xfId="6" applyNumberFormat="1" applyFont="1" applyBorder="1" applyAlignment="1">
      <alignment horizontal="center" vertical="center"/>
    </xf>
    <xf numFmtId="3" fontId="16" fillId="0" borderId="99" xfId="6" applyNumberFormat="1" applyFont="1" applyBorder="1" applyAlignment="1">
      <alignment horizontal="right" vertical="center"/>
    </xf>
    <xf numFmtId="186" fontId="14" fillId="0" borderId="100" xfId="5" applyNumberFormat="1" applyFont="1" applyBorder="1" applyAlignment="1">
      <alignment horizontal="left" vertical="center" wrapText="1"/>
    </xf>
    <xf numFmtId="178" fontId="10" fillId="0" borderId="88" xfId="5" applyFont="1" applyBorder="1" applyAlignment="1">
      <alignment vertical="center" wrapText="1"/>
    </xf>
    <xf numFmtId="178" fontId="14" fillId="0" borderId="100" xfId="5" applyFont="1" applyBorder="1" applyAlignment="1">
      <alignment vertical="center" wrapText="1"/>
    </xf>
    <xf numFmtId="180" fontId="16" fillId="0" borderId="99" xfId="2" applyNumberFormat="1" applyFont="1" applyBorder="1" applyAlignment="1" applyProtection="1">
      <alignment horizontal="center" vertical="center"/>
      <protection locked="0"/>
    </xf>
    <xf numFmtId="178" fontId="35" fillId="0" borderId="100" xfId="5" applyFont="1" applyBorder="1" applyAlignment="1">
      <alignment vertical="center" wrapText="1"/>
    </xf>
    <xf numFmtId="179" fontId="16" fillId="0" borderId="101" xfId="6" applyNumberFormat="1" applyFont="1" applyBorder="1" applyAlignment="1">
      <alignment horizontal="center" vertical="center"/>
    </xf>
    <xf numFmtId="3" fontId="16" fillId="0" borderId="101" xfId="6" applyNumberFormat="1" applyFont="1" applyBorder="1" applyAlignment="1">
      <alignment horizontal="right" vertical="center"/>
    </xf>
    <xf numFmtId="178" fontId="14" fillId="0" borderId="102" xfId="5" applyFont="1" applyBorder="1" applyAlignment="1">
      <alignment vertical="center" wrapText="1"/>
    </xf>
    <xf numFmtId="180" fontId="13" fillId="0" borderId="105" xfId="6" applyNumberFormat="1" applyFont="1" applyBorder="1" applyAlignment="1">
      <alignment horizontal="center" vertical="center"/>
    </xf>
    <xf numFmtId="3" fontId="13" fillId="0" borderId="105" xfId="6" applyNumberFormat="1" applyFont="1" applyBorder="1" applyAlignment="1">
      <alignment horizontal="right" vertical="center"/>
    </xf>
    <xf numFmtId="178" fontId="22" fillId="0" borderId="106" xfId="5" applyFont="1" applyBorder="1" applyAlignment="1">
      <alignment vertical="center"/>
    </xf>
    <xf numFmtId="188" fontId="16" fillId="0" borderId="0" xfId="5" applyNumberFormat="1" applyFont="1"/>
    <xf numFmtId="6" fontId="9" fillId="0" borderId="97" xfId="11" applyFont="1" applyBorder="1" applyAlignment="1">
      <alignment horizontal="center" vertical="center"/>
    </xf>
    <xf numFmtId="3" fontId="10" fillId="0" borderId="99" xfId="6" applyNumberFormat="1" applyFont="1" applyBorder="1" applyAlignment="1">
      <alignment horizontal="right" vertical="center"/>
    </xf>
    <xf numFmtId="180" fontId="11" fillId="0" borderId="105" xfId="6" applyNumberFormat="1" applyFont="1" applyBorder="1" applyAlignment="1">
      <alignment horizontal="center" vertical="center"/>
    </xf>
    <xf numFmtId="3" fontId="10" fillId="0" borderId="105" xfId="6" applyNumberFormat="1" applyFont="1" applyBorder="1" applyAlignment="1">
      <alignment horizontal="right" vertical="center"/>
    </xf>
    <xf numFmtId="178" fontId="16" fillId="0" borderId="66" xfId="5" applyFont="1" applyBorder="1"/>
    <xf numFmtId="178" fontId="11" fillId="0" borderId="0" xfId="5" applyFont="1" applyAlignment="1">
      <alignment vertical="center"/>
    </xf>
    <xf numFmtId="178" fontId="10" fillId="0" borderId="88" xfId="5" applyFont="1" applyBorder="1" applyAlignment="1">
      <alignment vertical="center"/>
    </xf>
    <xf numFmtId="178" fontId="10" fillId="0" borderId="89" xfId="5" applyFont="1" applyBorder="1" applyAlignment="1">
      <alignment horizontal="right" vertical="center"/>
    </xf>
    <xf numFmtId="178" fontId="22" fillId="0" borderId="108" xfId="5" applyFont="1" applyBorder="1" applyAlignment="1">
      <alignment vertical="center"/>
    </xf>
    <xf numFmtId="182" fontId="10" fillId="0" borderId="58" xfId="1" applyNumberFormat="1" applyFont="1" applyFill="1" applyBorder="1" applyAlignment="1" applyProtection="1">
      <alignment horizontal="center" vertical="center"/>
      <protection locked="0"/>
    </xf>
    <xf numFmtId="178" fontId="32" fillId="0" borderId="57" xfId="2" applyNumberFormat="1" applyFont="1" applyBorder="1" applyProtection="1">
      <alignment vertical="center"/>
      <protection locked="0"/>
    </xf>
    <xf numFmtId="3" fontId="36" fillId="2" borderId="21" xfId="2" applyNumberFormat="1" applyFont="1" applyFill="1" applyBorder="1" applyProtection="1">
      <alignment vertical="center"/>
      <protection locked="0"/>
    </xf>
    <xf numFmtId="0" fontId="16" fillId="0" borderId="0" xfId="12" applyFont="1" applyAlignment="1">
      <alignment horizontal="left" wrapText="1"/>
    </xf>
    <xf numFmtId="0" fontId="16" fillId="0" borderId="0" xfId="12" applyFont="1" applyAlignment="1">
      <alignment wrapText="1"/>
    </xf>
    <xf numFmtId="0" fontId="38" fillId="0" borderId="0" xfId="12" applyFont="1" applyAlignment="1">
      <alignment horizontal="left" vertical="top"/>
    </xf>
    <xf numFmtId="0" fontId="16" fillId="0" borderId="109" xfId="12" applyFont="1" applyBorder="1" applyAlignment="1">
      <alignment horizontal="center" vertical="center" wrapText="1"/>
    </xf>
    <xf numFmtId="0" fontId="16" fillId="0" borderId="110" xfId="12" applyFont="1" applyBorder="1" applyAlignment="1">
      <alignment horizontal="center" vertical="center" wrapText="1"/>
    </xf>
    <xf numFmtId="0" fontId="16" fillId="0" borderId="111" xfId="12" applyFont="1" applyBorder="1" applyAlignment="1">
      <alignment horizontal="center" vertical="center" wrapText="1"/>
    </xf>
    <xf numFmtId="0" fontId="38" fillId="0" borderId="0" xfId="12" applyFont="1" applyAlignment="1">
      <alignment horizontal="left" vertical="center" wrapText="1"/>
    </xf>
    <xf numFmtId="0" fontId="16" fillId="0" borderId="112" xfId="12" applyFont="1" applyBorder="1" applyAlignment="1">
      <alignment horizontal="left" vertical="center" wrapText="1"/>
    </xf>
    <xf numFmtId="0" fontId="16" fillId="0" borderId="113" xfId="12" applyFont="1" applyBorder="1" applyAlignment="1">
      <alignment horizontal="right" vertical="center" wrapText="1"/>
    </xf>
    <xf numFmtId="1" fontId="39" fillId="0" borderId="113" xfId="12" applyNumberFormat="1" applyFont="1" applyBorder="1" applyAlignment="1">
      <alignment horizontal="right" vertical="center" shrinkToFit="1"/>
    </xf>
    <xf numFmtId="0" fontId="38" fillId="0" borderId="113" xfId="12" applyFont="1" applyBorder="1" applyAlignment="1">
      <alignment horizontal="left" vertical="center" wrapText="1"/>
    </xf>
    <xf numFmtId="0" fontId="38" fillId="0" borderId="114" xfId="12" applyFont="1" applyBorder="1" applyAlignment="1">
      <alignment horizontal="left" vertical="center" wrapText="1"/>
    </xf>
    <xf numFmtId="0" fontId="16" fillId="0" borderId="115" xfId="12" applyFont="1" applyBorder="1" applyAlignment="1">
      <alignment horizontal="left" vertical="center" wrapText="1"/>
    </xf>
    <xf numFmtId="0" fontId="16" fillId="0" borderId="116" xfId="12" applyFont="1" applyBorder="1" applyAlignment="1">
      <alignment horizontal="right" vertical="center" wrapText="1"/>
    </xf>
    <xf numFmtId="1" fontId="39" fillId="0" borderId="116" xfId="12" applyNumberFormat="1" applyFont="1" applyBorder="1" applyAlignment="1">
      <alignment horizontal="right" vertical="center" shrinkToFit="1"/>
    </xf>
    <xf numFmtId="0" fontId="38" fillId="0" borderId="116" xfId="12" applyFont="1" applyBorder="1" applyAlignment="1">
      <alignment horizontal="left" vertical="center" wrapText="1"/>
    </xf>
    <xf numFmtId="0" fontId="38" fillId="0" borderId="117" xfId="12" applyFont="1" applyBorder="1" applyAlignment="1">
      <alignment horizontal="left" vertical="center" wrapText="1"/>
    </xf>
    <xf numFmtId="0" fontId="16" fillId="0" borderId="118" xfId="12" applyFont="1" applyBorder="1" applyAlignment="1">
      <alignment horizontal="left" vertical="center" wrapText="1"/>
    </xf>
    <xf numFmtId="0" fontId="16" fillId="0" borderId="119" xfId="12" applyFont="1" applyBorder="1" applyAlignment="1">
      <alignment horizontal="right" vertical="center" wrapText="1"/>
    </xf>
    <xf numFmtId="1" fontId="39" fillId="0" borderId="119" xfId="12" applyNumberFormat="1" applyFont="1" applyBorder="1" applyAlignment="1">
      <alignment horizontal="right" vertical="center" shrinkToFit="1"/>
    </xf>
    <xf numFmtId="0" fontId="38" fillId="0" borderId="119" xfId="12" applyFont="1" applyBorder="1" applyAlignment="1">
      <alignment horizontal="left" vertical="center" wrapText="1"/>
    </xf>
    <xf numFmtId="0" fontId="38" fillId="0" borderId="120" xfId="12" applyFont="1" applyBorder="1" applyAlignment="1">
      <alignment horizontal="left" vertical="center" wrapText="1"/>
    </xf>
    <xf numFmtId="3" fontId="38" fillId="0" borderId="113" xfId="12" applyNumberFormat="1" applyFont="1" applyBorder="1" applyAlignment="1">
      <alignment horizontal="right" vertical="center" wrapText="1"/>
    </xf>
    <xf numFmtId="38" fontId="38" fillId="0" borderId="113" xfId="12" applyNumberFormat="1" applyFont="1" applyBorder="1" applyAlignment="1">
      <alignment horizontal="right" vertical="center" wrapText="1"/>
    </xf>
    <xf numFmtId="38" fontId="38" fillId="0" borderId="113" xfId="1" applyFont="1" applyBorder="1" applyAlignment="1">
      <alignment horizontal="right" vertical="center" wrapText="1"/>
    </xf>
    <xf numFmtId="38" fontId="38" fillId="0" borderId="119" xfId="1" applyFont="1" applyBorder="1" applyAlignment="1">
      <alignment horizontal="right" vertical="center" wrapText="1"/>
    </xf>
    <xf numFmtId="38" fontId="38" fillId="0" borderId="116" xfId="12" applyNumberFormat="1" applyFont="1" applyBorder="1" applyAlignment="1">
      <alignment horizontal="right" vertical="center" wrapText="1"/>
    </xf>
    <xf numFmtId="38" fontId="38" fillId="0" borderId="119" xfId="12" applyNumberFormat="1" applyFont="1" applyBorder="1" applyAlignment="1">
      <alignment horizontal="right" vertical="center" wrapText="1"/>
    </xf>
    <xf numFmtId="179" fontId="16" fillId="0" borderId="24" xfId="2" applyNumberFormat="1" applyFont="1" applyBorder="1" applyAlignment="1">
      <alignment horizontal="center" vertical="center"/>
    </xf>
    <xf numFmtId="0" fontId="16" fillId="0" borderId="28" xfId="2" applyFont="1" applyBorder="1" applyAlignment="1">
      <alignment horizontal="center" vertical="center"/>
    </xf>
    <xf numFmtId="38" fontId="10" fillId="0" borderId="57" xfId="1" applyFont="1" applyFill="1" applyBorder="1" applyAlignment="1">
      <alignment horizontal="center" vertical="center"/>
    </xf>
    <xf numFmtId="182" fontId="9" fillId="0" borderId="58" xfId="1" applyNumberFormat="1" applyFont="1" applyFill="1" applyBorder="1" applyAlignment="1" applyProtection="1">
      <alignment horizontal="center" vertical="center"/>
      <protection locked="0"/>
    </xf>
    <xf numFmtId="178" fontId="9" fillId="0" borderId="100" xfId="5" applyFont="1" applyBorder="1" applyAlignment="1">
      <alignment vertical="center" wrapText="1"/>
    </xf>
    <xf numFmtId="177" fontId="41" fillId="0" borderId="1" xfId="3" applyNumberFormat="1" applyFont="1" applyBorder="1" applyAlignment="1"/>
    <xf numFmtId="0" fontId="11" fillId="0" borderId="1" xfId="2" applyFont="1" applyBorder="1" applyAlignment="1">
      <alignment horizontal="center"/>
    </xf>
    <xf numFmtId="177" fontId="11" fillId="0" borderId="1" xfId="3" applyNumberFormat="1" applyFont="1" applyBorder="1" applyAlignment="1"/>
    <xf numFmtId="0" fontId="16" fillId="0" borderId="0" xfId="2" applyFont="1" applyAlignment="1" applyProtection="1">
      <alignment horizontal="center" vertical="center"/>
      <protection locked="0"/>
    </xf>
    <xf numFmtId="183" fontId="16" fillId="0" borderId="3" xfId="2" applyNumberFormat="1" applyFont="1" applyBorder="1" applyAlignment="1" applyProtection="1">
      <alignment horizontal="center" vertical="center"/>
      <protection locked="0"/>
    </xf>
    <xf numFmtId="0" fontId="16" fillId="0" borderId="5" xfId="2" applyFont="1" applyBorder="1" applyAlignment="1" applyProtection="1">
      <alignment horizontal="center" vertical="center"/>
      <protection locked="0"/>
    </xf>
    <xf numFmtId="0" fontId="16" fillId="0" borderId="7" xfId="2" applyFont="1" applyBorder="1" applyAlignment="1" applyProtection="1">
      <alignment horizontal="center" vertical="center"/>
      <protection locked="0"/>
    </xf>
    <xf numFmtId="0" fontId="11" fillId="0" borderId="0" xfId="2" applyFont="1">
      <alignment vertical="center"/>
    </xf>
    <xf numFmtId="0" fontId="11" fillId="0" borderId="0" xfId="2" applyFont="1" applyAlignment="1">
      <alignment vertical="center" wrapText="1"/>
    </xf>
    <xf numFmtId="0" fontId="16" fillId="0" borderId="37" xfId="2" applyFont="1" applyBorder="1" applyAlignment="1">
      <alignment horizontal="left" vertical="center"/>
    </xf>
    <xf numFmtId="0" fontId="16" fillId="0" borderId="37" xfId="2" applyFont="1" applyBorder="1" applyAlignment="1">
      <alignment horizontal="center" vertical="center"/>
    </xf>
    <xf numFmtId="178" fontId="16" fillId="0" borderId="0" xfId="5" applyFont="1" applyAlignment="1">
      <alignment horizontal="right"/>
    </xf>
    <xf numFmtId="178" fontId="14" fillId="0" borderId="0" xfId="5" applyFont="1" applyAlignment="1">
      <alignment horizontal="right"/>
    </xf>
    <xf numFmtId="38" fontId="11" fillId="0" borderId="0" xfId="1" applyFont="1" applyAlignment="1">
      <alignment horizontal="right" vertical="center"/>
    </xf>
    <xf numFmtId="187" fontId="11" fillId="0" borderId="0" xfId="5" applyNumberFormat="1" applyFont="1" applyAlignment="1">
      <alignment horizontal="right" vertical="center"/>
    </xf>
    <xf numFmtId="178" fontId="11" fillId="0" borderId="0" xfId="5" applyFont="1" applyAlignment="1">
      <alignment horizontal="right"/>
    </xf>
    <xf numFmtId="38" fontId="20" fillId="0" borderId="60" xfId="3" applyFont="1" applyFill="1" applyBorder="1" applyAlignment="1">
      <alignment vertical="center" shrinkToFit="1"/>
    </xf>
    <xf numFmtId="178" fontId="14" fillId="0" borderId="57" xfId="2" applyNumberFormat="1" applyFont="1" applyBorder="1" applyProtection="1">
      <alignment vertical="center"/>
      <protection locked="0"/>
    </xf>
    <xf numFmtId="178" fontId="9" fillId="0" borderId="57" xfId="2" applyNumberFormat="1" applyFont="1" applyBorder="1" applyProtection="1">
      <alignment vertical="center"/>
      <protection locked="0"/>
    </xf>
    <xf numFmtId="182" fontId="14" fillId="0" borderId="58" xfId="1" applyNumberFormat="1" applyFont="1" applyFill="1" applyBorder="1" applyAlignment="1" applyProtection="1">
      <alignment horizontal="center" vertical="center"/>
      <protection locked="0"/>
    </xf>
    <xf numFmtId="179" fontId="10" fillId="0" borderId="58" xfId="1" applyNumberFormat="1" applyFont="1" applyFill="1" applyBorder="1" applyAlignment="1" applyProtection="1">
      <alignment horizontal="center" vertical="center"/>
      <protection locked="0"/>
    </xf>
    <xf numFmtId="3" fontId="25" fillId="2" borderId="57" xfId="2" applyNumberFormat="1" applyFont="1" applyFill="1" applyBorder="1" applyAlignment="1" applyProtection="1">
      <alignment vertical="center" shrinkToFit="1"/>
      <protection locked="0"/>
    </xf>
    <xf numFmtId="178" fontId="43" fillId="0" borderId="57" xfId="2" applyNumberFormat="1" applyFont="1" applyBorder="1" applyProtection="1">
      <alignment vertical="center"/>
      <protection locked="0"/>
    </xf>
    <xf numFmtId="49" fontId="25" fillId="0" borderId="35" xfId="2" applyNumberFormat="1" applyFont="1" applyBorder="1" applyAlignment="1" applyProtection="1">
      <alignment horizontal="center" vertical="center"/>
      <protection locked="0"/>
    </xf>
    <xf numFmtId="180" fontId="25" fillId="0" borderId="58" xfId="2" applyNumberFormat="1" applyFont="1" applyBorder="1" applyAlignment="1" applyProtection="1">
      <alignment horizontal="center" vertical="center"/>
      <protection locked="0"/>
    </xf>
    <xf numFmtId="181" fontId="25" fillId="0" borderId="58" xfId="1" applyNumberFormat="1" applyFont="1" applyFill="1" applyBorder="1" applyAlignment="1" applyProtection="1">
      <alignment horizontal="center" vertical="center"/>
      <protection locked="0"/>
    </xf>
    <xf numFmtId="3" fontId="36" fillId="0" borderId="21" xfId="2" applyNumberFormat="1" applyFont="1" applyBorder="1" applyProtection="1">
      <alignment vertical="center"/>
      <protection locked="0"/>
    </xf>
    <xf numFmtId="0" fontId="7" fillId="0" borderId="0" xfId="2" applyFont="1" applyAlignment="1">
      <alignment horizontal="center" vertical="center"/>
    </xf>
    <xf numFmtId="3" fontId="36" fillId="2" borderId="0" xfId="2" applyNumberFormat="1" applyFont="1" applyFill="1" applyProtection="1">
      <alignment vertical="center"/>
      <protection locked="0"/>
    </xf>
    <xf numFmtId="3" fontId="36" fillId="0" borderId="0" xfId="2" applyNumberFormat="1" applyFont="1" applyProtection="1">
      <alignment vertical="center"/>
      <protection locked="0"/>
    </xf>
    <xf numFmtId="0" fontId="16" fillId="0" borderId="124" xfId="12" applyFont="1" applyBorder="1" applyAlignment="1">
      <alignment horizontal="left" vertical="center" wrapText="1"/>
    </xf>
    <xf numFmtId="0" fontId="16" fillId="0" borderId="125" xfId="12" applyFont="1" applyBorder="1" applyAlignment="1">
      <alignment horizontal="right" vertical="center" wrapText="1"/>
    </xf>
    <xf numFmtId="1" fontId="39" fillId="0" borderId="125" xfId="12" applyNumberFormat="1" applyFont="1" applyBorder="1" applyAlignment="1">
      <alignment horizontal="right" vertical="center" shrinkToFit="1"/>
    </xf>
    <xf numFmtId="0" fontId="38" fillId="0" borderId="125" xfId="12" applyFont="1" applyBorder="1" applyAlignment="1">
      <alignment horizontal="left" vertical="center" wrapText="1"/>
    </xf>
    <xf numFmtId="3" fontId="45" fillId="0" borderId="125" xfId="12" applyNumberFormat="1" applyFont="1" applyBorder="1" applyAlignment="1">
      <alignment horizontal="right" vertical="center" wrapText="1"/>
    </xf>
    <xf numFmtId="0" fontId="38" fillId="0" borderId="126" xfId="12" applyFont="1" applyBorder="1" applyAlignment="1">
      <alignment horizontal="left" vertical="center" wrapText="1"/>
    </xf>
    <xf numFmtId="0" fontId="16" fillId="0" borderId="127" xfId="12" applyFont="1" applyBorder="1" applyAlignment="1">
      <alignment horizontal="left" vertical="center" wrapText="1"/>
    </xf>
    <xf numFmtId="0" fontId="16" fillId="0" borderId="128" xfId="12" applyFont="1" applyBorder="1" applyAlignment="1">
      <alignment horizontal="right" vertical="center" wrapText="1"/>
    </xf>
    <xf numFmtId="1" fontId="39" fillId="0" borderId="128" xfId="12" applyNumberFormat="1" applyFont="1" applyBorder="1" applyAlignment="1">
      <alignment horizontal="right" vertical="center" shrinkToFit="1"/>
    </xf>
    <xf numFmtId="0" fontId="38" fillId="0" borderId="128" xfId="12" applyFont="1" applyBorder="1" applyAlignment="1">
      <alignment horizontal="left" vertical="center" wrapText="1"/>
    </xf>
    <xf numFmtId="0" fontId="38" fillId="0" borderId="129" xfId="12" applyFont="1" applyBorder="1" applyAlignment="1">
      <alignment horizontal="left" vertical="center" wrapText="1"/>
    </xf>
    <xf numFmtId="38" fontId="38" fillId="0" borderId="128" xfId="12" applyNumberFormat="1" applyFont="1" applyBorder="1" applyAlignment="1">
      <alignment horizontal="right" vertical="center" wrapText="1"/>
    </xf>
    <xf numFmtId="49" fontId="16" fillId="0" borderId="70" xfId="2" applyNumberFormat="1" applyFont="1" applyBorder="1" applyAlignment="1" applyProtection="1">
      <alignment horizontal="center" vertical="center"/>
      <protection locked="0"/>
    </xf>
    <xf numFmtId="0" fontId="16" fillId="0" borderId="66" xfId="2" applyFont="1" applyBorder="1" applyAlignment="1">
      <alignment horizontal="left" vertical="center"/>
    </xf>
    <xf numFmtId="0" fontId="16" fillId="0" borderId="66" xfId="2" applyFont="1" applyBorder="1" applyAlignment="1">
      <alignment horizontal="center" vertical="center"/>
    </xf>
    <xf numFmtId="179" fontId="16" fillId="0" borderId="71" xfId="2" applyNumberFormat="1" applyFont="1" applyBorder="1" applyAlignment="1" applyProtection="1">
      <alignment horizontal="center" vertical="center"/>
      <protection locked="0"/>
    </xf>
    <xf numFmtId="3" fontId="16" fillId="0" borderId="71" xfId="2" applyNumberFormat="1" applyFont="1" applyBorder="1" applyAlignment="1" applyProtection="1">
      <alignment horizontal="center" vertical="center"/>
      <protection locked="0"/>
    </xf>
    <xf numFmtId="0" fontId="14" fillId="0" borderId="66" xfId="2" applyFont="1" applyBorder="1" applyAlignment="1">
      <alignment horizontal="left" vertical="center"/>
    </xf>
    <xf numFmtId="0" fontId="14" fillId="0" borderId="73" xfId="2" applyFont="1" applyBorder="1" applyAlignment="1">
      <alignment horizontal="left" vertical="center"/>
    </xf>
    <xf numFmtId="179" fontId="16" fillId="0" borderId="57" xfId="2" applyNumberFormat="1" applyFont="1" applyBorder="1" applyAlignment="1" applyProtection="1">
      <alignment horizontal="center" vertical="center"/>
      <protection locked="0"/>
    </xf>
    <xf numFmtId="179" fontId="16" fillId="0" borderId="58" xfId="2" applyNumberFormat="1" applyFont="1" applyBorder="1" applyAlignment="1" applyProtection="1">
      <alignment horizontal="center" vertical="center"/>
      <protection locked="0"/>
    </xf>
    <xf numFmtId="0" fontId="13" fillId="0" borderId="0" xfId="2" applyFont="1" applyAlignment="1">
      <alignment horizontal="left" vertical="center"/>
    </xf>
    <xf numFmtId="0" fontId="13" fillId="0" borderId="52" xfId="2" applyFont="1" applyBorder="1" applyAlignment="1">
      <alignment horizontal="center" vertical="center"/>
    </xf>
    <xf numFmtId="0" fontId="13" fillId="0" borderId="35" xfId="2" applyFont="1" applyBorder="1" applyAlignment="1">
      <alignment horizontal="center" vertical="center"/>
    </xf>
    <xf numFmtId="0" fontId="13" fillId="0" borderId="30" xfId="2" applyFont="1" applyBorder="1" applyAlignment="1">
      <alignment horizontal="center" vertical="center"/>
    </xf>
    <xf numFmtId="0" fontId="13" fillId="0" borderId="53" xfId="2" applyFont="1" applyBorder="1">
      <alignment vertical="center"/>
    </xf>
    <xf numFmtId="0" fontId="13" fillId="0" borderId="26" xfId="2" applyFont="1" applyBorder="1">
      <alignment vertical="center"/>
    </xf>
    <xf numFmtId="0" fontId="13" fillId="0" borderId="31" xfId="2" applyFont="1" applyBorder="1">
      <alignment vertical="center"/>
    </xf>
    <xf numFmtId="0" fontId="13" fillId="0" borderId="22" xfId="2" applyFont="1" applyBorder="1" applyAlignment="1">
      <alignment horizontal="left" vertical="center"/>
    </xf>
    <xf numFmtId="0" fontId="13" fillId="0" borderId="14" xfId="2" applyFont="1" applyBorder="1">
      <alignment vertical="center"/>
    </xf>
    <xf numFmtId="0" fontId="13" fillId="0" borderId="35" xfId="2" applyFont="1" applyBorder="1" applyAlignment="1">
      <alignment horizontal="left" vertical="center"/>
    </xf>
    <xf numFmtId="0" fontId="13" fillId="0" borderId="36" xfId="2" applyFont="1" applyBorder="1" applyAlignment="1">
      <alignment horizontal="left" vertical="center"/>
    </xf>
    <xf numFmtId="0" fontId="13" fillId="0" borderId="37" xfId="2" applyFont="1" applyBorder="1">
      <alignment vertical="center"/>
    </xf>
    <xf numFmtId="0" fontId="11" fillId="0" borderId="68" xfId="2" applyFont="1" applyBorder="1">
      <alignment vertical="center"/>
    </xf>
    <xf numFmtId="0" fontId="11" fillId="0" borderId="28" xfId="2" applyFont="1" applyBorder="1">
      <alignment vertical="center"/>
    </xf>
    <xf numFmtId="0" fontId="11" fillId="0" borderId="33" xfId="2" applyFont="1" applyBorder="1">
      <alignment vertical="center"/>
    </xf>
    <xf numFmtId="0" fontId="11" fillId="0" borderId="24" xfId="2" applyFont="1" applyBorder="1">
      <alignment vertical="center"/>
    </xf>
    <xf numFmtId="9" fontId="11" fillId="0" borderId="28" xfId="2" applyNumberFormat="1" applyFont="1" applyBorder="1" applyAlignment="1">
      <alignment horizontal="left" vertical="center"/>
    </xf>
    <xf numFmtId="0" fontId="10" fillId="0" borderId="1" xfId="2" applyFont="1" applyBorder="1" applyAlignment="1">
      <alignment horizontal="center"/>
    </xf>
    <xf numFmtId="177" fontId="10" fillId="0" borderId="1" xfId="3" applyNumberFormat="1" applyFont="1" applyBorder="1" applyAlignment="1"/>
    <xf numFmtId="0" fontId="16" fillId="0" borderId="109" xfId="12" applyFont="1" applyBorder="1" applyAlignment="1">
      <alignment horizontal="left" vertical="center" wrapText="1"/>
    </xf>
    <xf numFmtId="0" fontId="16" fillId="0" borderId="110" xfId="12" applyFont="1" applyBorder="1" applyAlignment="1">
      <alignment horizontal="right" vertical="center" wrapText="1"/>
    </xf>
    <xf numFmtId="1" fontId="39" fillId="0" borderId="110" xfId="12" applyNumberFormat="1" applyFont="1" applyBorder="1" applyAlignment="1">
      <alignment horizontal="right" vertical="center" shrinkToFit="1"/>
    </xf>
    <xf numFmtId="0" fontId="38" fillId="0" borderId="110" xfId="12" applyFont="1" applyBorder="1" applyAlignment="1">
      <alignment horizontal="left" vertical="center" wrapText="1"/>
    </xf>
    <xf numFmtId="38" fontId="38" fillId="0" borderId="110" xfId="12" applyNumberFormat="1" applyFont="1" applyBorder="1" applyAlignment="1">
      <alignment horizontal="right" vertical="center" wrapText="1"/>
    </xf>
    <xf numFmtId="0" fontId="38" fillId="0" borderId="111" xfId="12" applyFont="1" applyBorder="1" applyAlignment="1">
      <alignment horizontal="left" vertical="center" wrapText="1"/>
    </xf>
    <xf numFmtId="0" fontId="16" fillId="0" borderId="130" xfId="2" applyFont="1" applyBorder="1">
      <alignment vertical="center"/>
    </xf>
    <xf numFmtId="0" fontId="16" fillId="0" borderId="131" xfId="2" applyFont="1" applyBorder="1">
      <alignment vertical="center"/>
    </xf>
    <xf numFmtId="0" fontId="16" fillId="0" borderId="0" xfId="12" applyFont="1" applyAlignment="1">
      <alignment horizontal="left" vertical="center" wrapText="1"/>
    </xf>
    <xf numFmtId="0" fontId="16" fillId="0" borderId="0" xfId="12" applyFont="1" applyAlignment="1">
      <alignment horizontal="right" vertical="center" wrapText="1"/>
    </xf>
    <xf numFmtId="1" fontId="39" fillId="0" borderId="0" xfId="12" applyNumberFormat="1" applyFont="1" applyAlignment="1">
      <alignment horizontal="right" vertical="center" shrinkToFit="1"/>
    </xf>
    <xf numFmtId="38" fontId="38" fillId="0" borderId="0" xfId="12" applyNumberFormat="1" applyFont="1" applyAlignment="1">
      <alignment horizontal="right" vertical="center" wrapText="1"/>
    </xf>
    <xf numFmtId="3" fontId="45" fillId="0" borderId="0" xfId="12" applyNumberFormat="1" applyFont="1" applyAlignment="1">
      <alignment horizontal="right" vertical="center" wrapText="1"/>
    </xf>
    <xf numFmtId="3" fontId="38" fillId="0" borderId="110" xfId="12" applyNumberFormat="1" applyFont="1" applyBorder="1" applyAlignment="1">
      <alignment horizontal="right" vertical="center" wrapText="1"/>
    </xf>
    <xf numFmtId="177" fontId="50" fillId="0" borderId="1" xfId="3" applyNumberFormat="1" applyFont="1" applyBorder="1" applyAlignment="1"/>
    <xf numFmtId="37" fontId="17" fillId="0" borderId="21" xfId="2" applyNumberFormat="1" applyFont="1" applyBorder="1" applyAlignment="1">
      <alignment horizontal="right" vertical="center"/>
    </xf>
    <xf numFmtId="3" fontId="16" fillId="0" borderId="29" xfId="2" applyNumberFormat="1" applyFont="1" applyBorder="1" applyAlignment="1" applyProtection="1">
      <alignment horizontal="center" vertical="center"/>
      <protection locked="0"/>
    </xf>
    <xf numFmtId="0" fontId="16" fillId="0" borderId="81" xfId="2" applyFont="1" applyBorder="1" applyAlignment="1">
      <alignment horizontal="left" vertical="center"/>
    </xf>
    <xf numFmtId="0" fontId="16" fillId="0" borderId="9" xfId="2" applyFont="1" applyBorder="1">
      <alignment vertical="center"/>
    </xf>
    <xf numFmtId="0" fontId="10" fillId="0" borderId="83" xfId="2" applyFont="1" applyBorder="1">
      <alignment vertical="center"/>
    </xf>
    <xf numFmtId="0" fontId="10" fillId="0" borderId="9" xfId="2" applyFont="1" applyBorder="1">
      <alignment vertical="center"/>
    </xf>
    <xf numFmtId="0" fontId="10" fillId="0" borderId="133" xfId="2" applyFont="1" applyBorder="1">
      <alignment vertical="center"/>
    </xf>
    <xf numFmtId="179" fontId="51" fillId="0" borderId="58" xfId="1" applyNumberFormat="1" applyFont="1" applyFill="1" applyBorder="1" applyAlignment="1" applyProtection="1">
      <alignment horizontal="center" vertical="center"/>
      <protection locked="0"/>
    </xf>
    <xf numFmtId="179" fontId="14" fillId="0" borderId="58" xfId="1" applyNumberFormat="1" applyFont="1" applyFill="1" applyBorder="1" applyAlignment="1" applyProtection="1">
      <alignment horizontal="center" vertical="center"/>
      <protection locked="0"/>
    </xf>
    <xf numFmtId="0" fontId="16" fillId="0" borderId="66" xfId="12" applyFont="1" applyBorder="1" applyAlignment="1">
      <alignment horizontal="right" vertical="center" wrapText="1"/>
    </xf>
    <xf numFmtId="1" fontId="39" fillId="0" borderId="66" xfId="12" applyNumberFormat="1" applyFont="1" applyBorder="1" applyAlignment="1">
      <alignment horizontal="right" vertical="center" shrinkToFit="1"/>
    </xf>
    <xf numFmtId="0" fontId="38" fillId="0" borderId="66" xfId="12" applyFont="1" applyBorder="1" applyAlignment="1">
      <alignment horizontal="left" vertical="center" wrapText="1"/>
    </xf>
    <xf numFmtId="3" fontId="45" fillId="0" borderId="66" xfId="12" applyNumberFormat="1" applyFont="1" applyBorder="1" applyAlignment="1">
      <alignment horizontal="right" vertical="center" wrapText="1"/>
    </xf>
    <xf numFmtId="0" fontId="16" fillId="0" borderId="66" xfId="12" applyFont="1" applyBorder="1" applyAlignment="1">
      <alignment horizontal="left" wrapText="1"/>
    </xf>
    <xf numFmtId="0" fontId="16" fillId="0" borderId="42" xfId="12" applyFont="1" applyBorder="1" applyAlignment="1">
      <alignment horizontal="left" vertical="center" wrapText="1"/>
    </xf>
    <xf numFmtId="0" fontId="16" fillId="0" borderId="42" xfId="12" applyFont="1" applyBorder="1" applyAlignment="1">
      <alignment horizontal="right" vertical="center" wrapText="1"/>
    </xf>
    <xf numFmtId="1" fontId="39" fillId="0" borderId="42" xfId="12" applyNumberFormat="1" applyFont="1" applyBorder="1" applyAlignment="1">
      <alignment horizontal="right" vertical="center" shrinkToFit="1"/>
    </xf>
    <xf numFmtId="0" fontId="38" fillId="0" borderId="42" xfId="12" applyFont="1" applyBorder="1" applyAlignment="1">
      <alignment horizontal="left" vertical="center" wrapText="1"/>
    </xf>
    <xf numFmtId="3" fontId="45" fillId="0" borderId="42" xfId="12" applyNumberFormat="1" applyFont="1" applyBorder="1" applyAlignment="1">
      <alignment horizontal="right" vertical="center" wrapText="1"/>
    </xf>
    <xf numFmtId="3" fontId="38" fillId="0" borderId="135" xfId="12" applyNumberFormat="1" applyFont="1" applyBorder="1" applyAlignment="1">
      <alignment horizontal="right" vertical="center" wrapText="1"/>
    </xf>
    <xf numFmtId="3" fontId="38" fillId="0" borderId="134" xfId="12" applyNumberFormat="1" applyFont="1" applyBorder="1" applyAlignment="1">
      <alignment horizontal="right" vertical="center" wrapText="1"/>
    </xf>
    <xf numFmtId="0" fontId="16" fillId="0" borderId="0" xfId="12" applyFont="1" applyAlignment="1">
      <alignment horizontal="right" wrapText="1"/>
    </xf>
    <xf numFmtId="1" fontId="39" fillId="0" borderId="0" xfId="12" applyNumberFormat="1" applyFont="1" applyAlignment="1">
      <alignment horizontal="right" shrinkToFit="1"/>
    </xf>
    <xf numFmtId="0" fontId="38" fillId="0" borderId="0" xfId="12" applyFont="1" applyAlignment="1">
      <alignment horizontal="left" wrapText="1"/>
    </xf>
    <xf numFmtId="38" fontId="38" fillId="0" borderId="0" xfId="12" applyNumberFormat="1" applyFont="1" applyAlignment="1">
      <alignment horizontal="right" wrapText="1"/>
    </xf>
    <xf numFmtId="0" fontId="38" fillId="0" borderId="0" xfId="12" applyFont="1" applyAlignment="1">
      <alignment horizontal="left"/>
    </xf>
    <xf numFmtId="0" fontId="10" fillId="0" borderId="108" xfId="2" applyFont="1" applyBorder="1">
      <alignment vertical="center"/>
    </xf>
    <xf numFmtId="0" fontId="10" fillId="0" borderId="138" xfId="2" applyFont="1" applyBorder="1">
      <alignment vertical="center"/>
    </xf>
    <xf numFmtId="0" fontId="38" fillId="0" borderId="138" xfId="12" applyFont="1" applyBorder="1" applyAlignment="1">
      <alignment horizontal="left" vertical="center" wrapText="1"/>
    </xf>
    <xf numFmtId="0" fontId="38" fillId="0" borderId="139" xfId="12" applyFont="1" applyBorder="1" applyAlignment="1">
      <alignment horizontal="left" vertical="center" wrapText="1"/>
    </xf>
    <xf numFmtId="0" fontId="11" fillId="0" borderId="21" xfId="2" applyFont="1" applyBorder="1" applyAlignment="1">
      <alignment horizontal="center" vertical="center"/>
    </xf>
    <xf numFmtId="0" fontId="16" fillId="0" borderId="5" xfId="2" applyFont="1" applyBorder="1">
      <alignment vertical="center"/>
    </xf>
    <xf numFmtId="0" fontId="10" fillId="0" borderId="4" xfId="2" applyFont="1" applyBorder="1">
      <alignment vertical="center"/>
    </xf>
    <xf numFmtId="37" fontId="10" fillId="0" borderId="140" xfId="2" applyNumberFormat="1" applyFont="1" applyBorder="1" applyAlignment="1">
      <alignment horizontal="right" vertical="center"/>
    </xf>
    <xf numFmtId="0" fontId="11" fillId="0" borderId="66" xfId="2" applyFont="1" applyBorder="1" applyAlignment="1">
      <alignment vertical="center" wrapText="1"/>
    </xf>
    <xf numFmtId="0" fontId="10" fillId="0" borderId="66" xfId="2" applyFont="1" applyBorder="1" applyAlignment="1">
      <alignment vertical="center" wrapText="1"/>
    </xf>
    <xf numFmtId="0" fontId="11" fillId="0" borderId="136" xfId="2" applyFont="1" applyBorder="1" applyAlignment="1">
      <alignment horizontal="center" vertical="center"/>
    </xf>
    <xf numFmtId="0" fontId="11" fillId="0" borderId="85" xfId="2" applyFont="1" applyBorder="1">
      <alignment vertical="center"/>
    </xf>
    <xf numFmtId="0" fontId="16" fillId="0" borderId="141" xfId="2" applyFont="1" applyBorder="1">
      <alignment vertical="center"/>
    </xf>
    <xf numFmtId="0" fontId="10" fillId="0" borderId="85" xfId="2" applyFont="1" applyBorder="1">
      <alignment vertical="center"/>
    </xf>
    <xf numFmtId="181" fontId="10" fillId="0" borderId="24" xfId="1" applyNumberFormat="1" applyFont="1" applyFill="1" applyBorder="1" applyAlignment="1">
      <alignment horizontal="center" vertical="center"/>
    </xf>
    <xf numFmtId="181" fontId="10" fillId="0" borderId="57" xfId="1" applyNumberFormat="1" applyFont="1" applyFill="1" applyBorder="1" applyAlignment="1">
      <alignment horizontal="center" vertical="center"/>
    </xf>
    <xf numFmtId="0" fontId="16" fillId="0" borderId="143" xfId="2" applyFont="1" applyBorder="1" applyAlignment="1">
      <alignment horizontal="center" vertical="center"/>
    </xf>
    <xf numFmtId="0" fontId="16" fillId="0" borderId="144" xfId="2" applyFont="1" applyBorder="1">
      <alignment vertical="center"/>
    </xf>
    <xf numFmtId="0" fontId="16" fillId="0" borderId="148" xfId="2" applyFont="1" applyBorder="1" applyAlignment="1">
      <alignment horizontal="right" vertical="center"/>
    </xf>
    <xf numFmtId="0" fontId="10" fillId="0" borderId="149" xfId="2" applyFont="1" applyBorder="1">
      <alignment vertical="center"/>
    </xf>
    <xf numFmtId="0" fontId="10" fillId="0" borderId="144" xfId="2" applyFont="1" applyBorder="1">
      <alignment vertical="center"/>
    </xf>
    <xf numFmtId="0" fontId="10" fillId="0" borderId="146" xfId="2" applyFont="1" applyBorder="1" applyAlignment="1">
      <alignment horizontal="right" vertical="center"/>
    </xf>
    <xf numFmtId="0" fontId="10" fillId="0" borderId="137" xfId="2" applyFont="1" applyBorder="1">
      <alignment vertical="center"/>
    </xf>
    <xf numFmtId="0" fontId="10" fillId="0" borderId="70" xfId="2" applyFont="1" applyBorder="1" applyAlignment="1">
      <alignment horizontal="center" vertical="center"/>
    </xf>
    <xf numFmtId="0" fontId="10" fillId="0" borderId="86" xfId="2" applyFont="1" applyBorder="1" applyAlignment="1">
      <alignment horizontal="center" vertical="center"/>
    </xf>
    <xf numFmtId="0" fontId="10" fillId="0" borderId="87" xfId="2" applyFont="1" applyBorder="1">
      <alignment vertical="center"/>
    </xf>
    <xf numFmtId="0" fontId="10" fillId="0" borderId="90" xfId="2" applyFont="1" applyBorder="1">
      <alignment vertical="center"/>
    </xf>
    <xf numFmtId="0" fontId="11" fillId="0" borderId="144" xfId="2" applyFont="1" applyBorder="1">
      <alignment vertical="center"/>
    </xf>
    <xf numFmtId="0" fontId="48" fillId="0" borderId="136" xfId="12" applyFont="1" applyBorder="1" applyAlignment="1">
      <alignment vertical="center"/>
    </xf>
    <xf numFmtId="0" fontId="48" fillId="0" borderId="85" xfId="12" applyFont="1" applyBorder="1" applyAlignment="1">
      <alignment vertical="center"/>
    </xf>
    <xf numFmtId="38" fontId="53" fillId="0" borderId="95" xfId="12" applyNumberFormat="1" applyFont="1" applyBorder="1" applyAlignment="1">
      <alignment horizontal="right" vertical="center"/>
    </xf>
    <xf numFmtId="0" fontId="47" fillId="0" borderId="137" xfId="12" applyFont="1" applyBorder="1" applyAlignment="1">
      <alignment horizontal="left" vertical="center"/>
    </xf>
    <xf numFmtId="0" fontId="48" fillId="0" borderId="121" xfId="12" applyFont="1" applyBorder="1" applyAlignment="1">
      <alignment vertical="center"/>
    </xf>
    <xf numFmtId="0" fontId="48" fillId="0" borderId="122" xfId="12" applyFont="1" applyBorder="1" applyAlignment="1">
      <alignment vertical="center"/>
    </xf>
    <xf numFmtId="38" fontId="53" fillId="0" borderId="97" xfId="12" applyNumberFormat="1" applyFont="1" applyBorder="1" applyAlignment="1">
      <alignment horizontal="right" vertical="center"/>
    </xf>
    <xf numFmtId="0" fontId="47" fillId="0" borderId="123" xfId="12" applyFont="1" applyBorder="1" applyAlignment="1">
      <alignment horizontal="left" vertical="center"/>
    </xf>
    <xf numFmtId="38" fontId="49" fillId="0" borderId="145" xfId="12" applyNumberFormat="1" applyFont="1" applyBorder="1" applyAlignment="1">
      <alignment horizontal="right" vertical="center"/>
    </xf>
    <xf numFmtId="0" fontId="47" fillId="0" borderId="146" xfId="12" applyFont="1" applyBorder="1" applyAlignment="1">
      <alignment horizontal="left" vertical="center"/>
    </xf>
    <xf numFmtId="38" fontId="38" fillId="0" borderId="99" xfId="1" applyFont="1" applyBorder="1" applyAlignment="1">
      <alignment horizontal="right" vertical="center"/>
    </xf>
    <xf numFmtId="0" fontId="38" fillId="0" borderId="90" xfId="12" applyFont="1" applyBorder="1" applyAlignment="1">
      <alignment horizontal="left" vertical="center"/>
    </xf>
    <xf numFmtId="38" fontId="55" fillId="0" borderId="72" xfId="12" applyNumberFormat="1" applyFont="1" applyBorder="1" applyAlignment="1">
      <alignment horizontal="right" vertical="center"/>
    </xf>
    <xf numFmtId="0" fontId="38" fillId="0" borderId="73" xfId="12" applyFont="1" applyBorder="1" applyAlignment="1">
      <alignment horizontal="left" vertical="center"/>
    </xf>
    <xf numFmtId="0" fontId="10" fillId="0" borderId="0" xfId="7" applyFont="1" applyAlignment="1">
      <alignment horizontal="center" vertical="center"/>
    </xf>
    <xf numFmtId="0" fontId="10" fillId="0" borderId="0" xfId="7" applyFont="1" applyAlignment="1">
      <alignment vertical="center" wrapText="1"/>
    </xf>
    <xf numFmtId="0" fontId="10" fillId="0" borderId="0" xfId="7" applyFont="1">
      <alignment vertical="center"/>
    </xf>
    <xf numFmtId="176" fontId="11" fillId="0" borderId="0" xfId="7" applyNumberFormat="1" applyFont="1" applyAlignment="1" applyProtection="1">
      <alignment horizontal="right" vertical="center"/>
      <protection locked="0"/>
    </xf>
    <xf numFmtId="0" fontId="10" fillId="0" borderId="0" xfId="7" applyFont="1" applyAlignment="1">
      <alignment horizontal="right" vertical="center"/>
    </xf>
    <xf numFmtId="0" fontId="12" fillId="0" borderId="0" xfId="7" applyFont="1" applyAlignment="1"/>
    <xf numFmtId="0" fontId="14" fillId="0" borderId="2" xfId="2" applyFont="1" applyBorder="1" applyAlignment="1">
      <alignment horizontal="center" vertical="center"/>
    </xf>
    <xf numFmtId="0" fontId="13" fillId="0" borderId="0" xfId="7" applyFont="1" applyAlignment="1" applyProtection="1">
      <protection locked="0"/>
    </xf>
    <xf numFmtId="0" fontId="13" fillId="0" borderId="0" xfId="7" applyFont="1" applyAlignment="1" applyProtection="1">
      <alignment horizontal="left"/>
      <protection locked="0"/>
    </xf>
    <xf numFmtId="0" fontId="56" fillId="0" borderId="0" xfId="7" applyFont="1" applyAlignment="1" applyProtection="1">
      <alignment wrapText="1"/>
      <protection locked="0"/>
    </xf>
    <xf numFmtId="0" fontId="13" fillId="0" borderId="0" xfId="7" applyFont="1" applyAlignment="1"/>
    <xf numFmtId="0" fontId="14" fillId="0" borderId="4" xfId="2" applyFont="1" applyBorder="1" applyAlignment="1">
      <alignment horizontal="center" vertical="center"/>
    </xf>
    <xf numFmtId="0" fontId="10" fillId="0" borderId="0" xfId="7" applyFont="1" applyAlignment="1">
      <alignment wrapText="1"/>
    </xf>
    <xf numFmtId="0" fontId="10" fillId="0" borderId="0" xfId="7" applyFont="1" applyAlignment="1"/>
    <xf numFmtId="0" fontId="16" fillId="0" borderId="1" xfId="7" applyFont="1" applyBorder="1" applyAlignment="1"/>
    <xf numFmtId="0" fontId="13" fillId="0" borderId="0" xfId="7" applyFont="1" applyAlignment="1">
      <alignment wrapText="1"/>
    </xf>
    <xf numFmtId="0" fontId="57" fillId="0" borderId="0" xfId="7" applyFont="1" applyAlignment="1"/>
    <xf numFmtId="0" fontId="10" fillId="0" borderId="1" xfId="7" applyFont="1" applyBorder="1">
      <alignment vertical="center"/>
    </xf>
    <xf numFmtId="0" fontId="10" fillId="0" borderId="74" xfId="7" applyFont="1" applyBorder="1">
      <alignment vertical="center"/>
    </xf>
    <xf numFmtId="20" fontId="10" fillId="0" borderId="0" xfId="7" applyNumberFormat="1" applyFont="1">
      <alignment vertical="center"/>
    </xf>
    <xf numFmtId="178" fontId="10" fillId="0" borderId="0" xfId="13" applyFont="1"/>
    <xf numFmtId="178" fontId="11" fillId="0" borderId="0" xfId="13" applyFont="1"/>
    <xf numFmtId="178" fontId="11" fillId="0" borderId="0" xfId="4" applyFont="1" applyAlignment="1">
      <alignment vertical="distributed"/>
    </xf>
    <xf numFmtId="178" fontId="13" fillId="0" borderId="0" xfId="4" applyFont="1" applyAlignment="1">
      <alignment vertical="distributed"/>
    </xf>
    <xf numFmtId="0" fontId="10" fillId="0" borderId="7" xfId="7" applyFont="1" applyBorder="1">
      <alignment vertical="center"/>
    </xf>
    <xf numFmtId="0" fontId="12" fillId="0" borderId="1" xfId="7" applyFont="1" applyBorder="1" applyAlignment="1"/>
    <xf numFmtId="178" fontId="10" fillId="0" borderId="0" xfId="13" applyFont="1" applyAlignment="1">
      <alignment horizontal="left"/>
    </xf>
    <xf numFmtId="0" fontId="11" fillId="0" borderId="0" xfId="7" applyFont="1">
      <alignment vertical="center"/>
    </xf>
    <xf numFmtId="0" fontId="11" fillId="0" borderId="0" xfId="7" applyFont="1" applyAlignment="1"/>
    <xf numFmtId="3" fontId="27" fillId="0" borderId="28" xfId="2" applyNumberFormat="1" applyFont="1" applyBorder="1" applyAlignment="1" applyProtection="1">
      <alignment horizontal="left" vertical="center"/>
      <protection locked="0"/>
    </xf>
    <xf numFmtId="3" fontId="27" fillId="0" borderId="29" xfId="2" applyNumberFormat="1" applyFont="1" applyBorder="1" applyAlignment="1" applyProtection="1">
      <alignment horizontal="left" vertical="center"/>
      <protection locked="0"/>
    </xf>
    <xf numFmtId="49" fontId="16" fillId="3" borderId="35" xfId="2" applyNumberFormat="1" applyFont="1" applyFill="1" applyBorder="1" applyAlignment="1" applyProtection="1">
      <alignment horizontal="center" vertical="center"/>
      <protection locked="0"/>
    </xf>
    <xf numFmtId="182" fontId="10" fillId="3" borderId="58" xfId="1" applyNumberFormat="1" applyFont="1" applyFill="1" applyBorder="1" applyAlignment="1" applyProtection="1">
      <alignment horizontal="center" vertical="center"/>
      <protection locked="0"/>
    </xf>
    <xf numFmtId="179" fontId="10" fillId="3" borderId="58" xfId="1" applyNumberFormat="1" applyFont="1" applyFill="1" applyBorder="1" applyAlignment="1" applyProtection="1">
      <alignment horizontal="center" vertical="center"/>
      <protection locked="0"/>
    </xf>
    <xf numFmtId="178" fontId="32" fillId="3" borderId="57" xfId="2" applyNumberFormat="1" applyFont="1" applyFill="1" applyBorder="1" applyProtection="1">
      <alignment vertical="center"/>
      <protection locked="0"/>
    </xf>
    <xf numFmtId="3" fontId="36" fillId="3" borderId="21" xfId="2" applyNumberFormat="1" applyFont="1" applyFill="1" applyBorder="1" applyProtection="1">
      <alignment vertical="center"/>
      <protection locked="0"/>
    </xf>
    <xf numFmtId="3" fontId="22" fillId="3" borderId="0" xfId="0" applyNumberFormat="1" applyFont="1" applyFill="1" applyAlignment="1">
      <alignment horizontal="justify" vertical="center" wrapText="1"/>
    </xf>
    <xf numFmtId="3" fontId="16" fillId="3" borderId="0" xfId="2" applyNumberFormat="1" applyFont="1" applyFill="1" applyAlignment="1">
      <alignment vertical="center" wrapText="1"/>
    </xf>
    <xf numFmtId="0" fontId="16" fillId="3" borderId="0" xfId="2" applyFont="1" applyFill="1">
      <alignment vertical="center"/>
    </xf>
    <xf numFmtId="180" fontId="16" fillId="3" borderId="0" xfId="2" applyNumberFormat="1" applyFont="1" applyFill="1">
      <alignment vertical="center"/>
    </xf>
    <xf numFmtId="3" fontId="36" fillId="2" borderId="56" xfId="2" applyNumberFormat="1" applyFont="1" applyFill="1" applyBorder="1" applyProtection="1">
      <alignment vertical="center"/>
      <protection locked="0"/>
    </xf>
    <xf numFmtId="182" fontId="9" fillId="3" borderId="58" xfId="1" applyNumberFormat="1" applyFont="1" applyFill="1" applyBorder="1" applyAlignment="1" applyProtection="1">
      <alignment horizontal="center" vertical="center"/>
      <protection locked="0"/>
    </xf>
    <xf numFmtId="49" fontId="16" fillId="4" borderId="35" xfId="2" applyNumberFormat="1" applyFont="1" applyFill="1" applyBorder="1" applyAlignment="1" applyProtection="1">
      <alignment horizontal="center" vertical="center"/>
      <protection locked="0"/>
    </xf>
    <xf numFmtId="182" fontId="10" fillId="4" borderId="58" xfId="1" applyNumberFormat="1" applyFont="1" applyFill="1" applyBorder="1" applyAlignment="1" applyProtection="1">
      <alignment horizontal="center" vertical="center"/>
      <protection locked="0"/>
    </xf>
    <xf numFmtId="179" fontId="10" fillId="4" borderId="58" xfId="1" applyNumberFormat="1" applyFont="1" applyFill="1" applyBorder="1" applyAlignment="1" applyProtection="1">
      <alignment horizontal="center" vertical="center"/>
      <protection locked="0"/>
    </xf>
    <xf numFmtId="182" fontId="9" fillId="4" borderId="58" xfId="1" applyNumberFormat="1" applyFont="1" applyFill="1" applyBorder="1" applyAlignment="1" applyProtection="1">
      <alignment horizontal="center" vertical="center"/>
      <protection locked="0"/>
    </xf>
    <xf numFmtId="178" fontId="14" fillId="4" borderId="57" xfId="2" applyNumberFormat="1" applyFont="1" applyFill="1" applyBorder="1" applyProtection="1">
      <alignment vertical="center"/>
      <protection locked="0"/>
    </xf>
    <xf numFmtId="3" fontId="27" fillId="4" borderId="28" xfId="2" applyNumberFormat="1" applyFont="1" applyFill="1" applyBorder="1" applyAlignment="1" applyProtection="1">
      <alignment horizontal="left" vertical="center"/>
      <protection locked="0"/>
    </xf>
    <xf numFmtId="3" fontId="27" fillId="4" borderId="29" xfId="2" applyNumberFormat="1" applyFont="1" applyFill="1" applyBorder="1" applyAlignment="1" applyProtection="1">
      <alignment horizontal="left" vertical="center"/>
      <protection locked="0"/>
    </xf>
    <xf numFmtId="178" fontId="32" fillId="4" borderId="57" xfId="2" applyNumberFormat="1" applyFont="1" applyFill="1" applyBorder="1" applyProtection="1">
      <alignment vertical="center"/>
      <protection locked="0"/>
    </xf>
    <xf numFmtId="178" fontId="10" fillId="0" borderId="5" xfId="5" applyFont="1" applyBorder="1" applyAlignment="1">
      <alignment vertical="center" wrapText="1"/>
    </xf>
    <xf numFmtId="179" fontId="16" fillId="0" borderId="150" xfId="6" applyNumberFormat="1" applyFont="1" applyBorder="1" applyAlignment="1">
      <alignment horizontal="center" vertical="center"/>
    </xf>
    <xf numFmtId="178" fontId="9" fillId="0" borderId="151" xfId="5" applyFont="1" applyBorder="1" applyAlignment="1">
      <alignment vertical="center" wrapText="1"/>
    </xf>
    <xf numFmtId="49" fontId="10" fillId="0" borderId="86" xfId="5" applyNumberFormat="1" applyFont="1" applyBorder="1" applyAlignment="1">
      <alignment vertical="center"/>
    </xf>
    <xf numFmtId="49" fontId="10" fillId="0" borderId="147" xfId="5" applyNumberFormat="1" applyFont="1" applyBorder="1" applyAlignment="1">
      <alignment vertical="center"/>
    </xf>
    <xf numFmtId="178" fontId="35" fillId="0" borderId="107" xfId="5" applyFont="1" applyBorder="1" applyAlignment="1">
      <alignment vertical="center" wrapText="1"/>
    </xf>
    <xf numFmtId="3" fontId="14" fillId="0" borderId="66" xfId="6" applyNumberFormat="1" applyFont="1" applyBorder="1" applyAlignment="1">
      <alignment horizontal="right" vertical="center"/>
    </xf>
    <xf numFmtId="37" fontId="10" fillId="0" borderId="25" xfId="2" applyNumberFormat="1" applyFont="1" applyBorder="1" applyAlignment="1">
      <alignment horizontal="right" vertical="center"/>
    </xf>
    <xf numFmtId="49" fontId="25" fillId="4" borderId="35" xfId="2" applyNumberFormat="1" applyFont="1" applyFill="1" applyBorder="1" applyAlignment="1" applyProtection="1">
      <alignment horizontal="center" vertical="center"/>
      <protection locked="0"/>
    </xf>
    <xf numFmtId="180" fontId="25" fillId="4" borderId="58" xfId="2" applyNumberFormat="1" applyFont="1" applyFill="1" applyBorder="1" applyAlignment="1" applyProtection="1">
      <alignment horizontal="center" vertical="center"/>
      <protection locked="0"/>
    </xf>
    <xf numFmtId="181" fontId="25" fillId="4" borderId="58" xfId="1" applyNumberFormat="1" applyFont="1" applyFill="1" applyBorder="1" applyAlignment="1" applyProtection="1">
      <alignment horizontal="center" vertical="center"/>
      <protection locked="0"/>
    </xf>
    <xf numFmtId="3" fontId="25" fillId="4" borderId="57" xfId="2" applyNumberFormat="1" applyFont="1" applyFill="1" applyBorder="1" applyProtection="1">
      <alignment vertical="center"/>
      <protection locked="0"/>
    </xf>
    <xf numFmtId="180" fontId="16" fillId="4" borderId="58" xfId="2" applyNumberFormat="1" applyFont="1" applyFill="1" applyBorder="1" applyAlignment="1" applyProtection="1">
      <alignment horizontal="center" vertical="center"/>
      <protection locked="0"/>
    </xf>
    <xf numFmtId="182" fontId="16" fillId="4" borderId="58" xfId="2" applyNumberFormat="1" applyFont="1" applyFill="1" applyBorder="1" applyAlignment="1" applyProtection="1">
      <alignment horizontal="center" vertical="center"/>
      <protection locked="0"/>
    </xf>
    <xf numFmtId="179" fontId="10" fillId="0" borderId="99" xfId="1" applyNumberFormat="1" applyFont="1" applyFill="1" applyBorder="1" applyAlignment="1" applyProtection="1">
      <alignment horizontal="center" vertical="center"/>
      <protection locked="0"/>
    </xf>
    <xf numFmtId="178" fontId="10" fillId="0" borderId="147" xfId="5" applyFont="1" applyBorder="1" applyAlignment="1">
      <alignment vertical="center"/>
    </xf>
    <xf numFmtId="37" fontId="10" fillId="0" borderId="29" xfId="9" applyNumberFormat="1" applyFont="1" applyBorder="1">
      <alignment vertical="center"/>
    </xf>
    <xf numFmtId="37" fontId="16" fillId="0" borderId="28" xfId="9" applyNumberFormat="1" applyFont="1" applyBorder="1">
      <alignment vertical="center"/>
    </xf>
    <xf numFmtId="37" fontId="16" fillId="0" borderId="27" xfId="9" applyNumberFormat="1" applyFont="1" applyBorder="1">
      <alignment vertical="center"/>
    </xf>
    <xf numFmtId="37" fontId="10" fillId="0" borderId="29" xfId="9" applyNumberFormat="1" applyFont="1" applyBorder="1" applyAlignment="1">
      <alignment horizontal="right" vertical="center"/>
    </xf>
    <xf numFmtId="38" fontId="10" fillId="0" borderId="34" xfId="1" applyFont="1" applyBorder="1" applyAlignment="1">
      <alignment horizontal="right" vertical="center"/>
    </xf>
    <xf numFmtId="37" fontId="10" fillId="0" borderId="25" xfId="9" applyNumberFormat="1" applyFont="1" applyBorder="1">
      <alignment vertical="center"/>
    </xf>
    <xf numFmtId="3" fontId="16" fillId="0" borderId="0" xfId="9" applyNumberFormat="1" applyFont="1">
      <alignment vertical="center"/>
    </xf>
    <xf numFmtId="37" fontId="16" fillId="0" borderId="0" xfId="9" applyNumberFormat="1" applyFont="1">
      <alignment vertical="center"/>
    </xf>
    <xf numFmtId="38" fontId="16" fillId="0" borderId="0" xfId="1" applyFont="1">
      <alignment vertical="center"/>
    </xf>
    <xf numFmtId="177" fontId="10" fillId="0" borderId="1" xfId="3" applyNumberFormat="1" applyFont="1" applyBorder="1" applyAlignment="1">
      <alignment horizontal="center"/>
    </xf>
    <xf numFmtId="0" fontId="10" fillId="0" borderId="4" xfId="2" applyFont="1" applyBorder="1" applyAlignment="1">
      <alignment horizontal="center" vertical="center"/>
    </xf>
    <xf numFmtId="0" fontId="10" fillId="0" borderId="0" xfId="2" applyFont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12" fillId="0" borderId="0" xfId="2" applyFont="1" applyAlignment="1" applyProtection="1">
      <alignment horizontal="right" wrapText="1"/>
      <protection locked="0"/>
    </xf>
    <xf numFmtId="0" fontId="12" fillId="0" borderId="1" xfId="2" applyFont="1" applyBorder="1" applyAlignment="1" applyProtection="1">
      <alignment horizontal="right" wrapText="1"/>
      <protection locked="0"/>
    </xf>
    <xf numFmtId="0" fontId="10" fillId="0" borderId="1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10" fillId="0" borderId="74" xfId="2" applyFont="1" applyBorder="1" applyAlignment="1">
      <alignment horizontal="center" vertical="center"/>
    </xf>
    <xf numFmtId="37" fontId="16" fillId="0" borderId="28" xfId="2" applyNumberFormat="1" applyFont="1" applyBorder="1" applyAlignment="1">
      <alignment horizontal="right" vertical="center"/>
    </xf>
    <xf numFmtId="37" fontId="16" fillId="0" borderId="27" xfId="2" applyNumberFormat="1" applyFont="1" applyBorder="1" applyAlignment="1">
      <alignment horizontal="right" vertical="center"/>
    </xf>
    <xf numFmtId="37" fontId="17" fillId="0" borderId="21" xfId="2" applyNumberFormat="1" applyFont="1" applyBorder="1" applyAlignment="1">
      <alignment horizontal="right" vertical="center"/>
    </xf>
    <xf numFmtId="37" fontId="17" fillId="0" borderId="0" xfId="2" applyNumberFormat="1" applyFont="1" applyAlignment="1">
      <alignment horizontal="right" vertical="center"/>
    </xf>
    <xf numFmtId="0" fontId="10" fillId="0" borderId="6" xfId="2" applyFont="1" applyBorder="1" applyAlignment="1">
      <alignment horizontal="center" vertical="center"/>
    </xf>
    <xf numFmtId="0" fontId="12" fillId="0" borderId="1" xfId="2" applyFont="1" applyBorder="1" applyAlignment="1">
      <alignment horizontal="distributed"/>
    </xf>
    <xf numFmtId="0" fontId="11" fillId="0" borderId="0" xfId="2" applyFont="1" applyAlignment="1"/>
    <xf numFmtId="0" fontId="13" fillId="0" borderId="0" xfId="2" applyFont="1" applyAlignment="1"/>
    <xf numFmtId="0" fontId="16" fillId="0" borderId="8" xfId="2" applyFont="1" applyBorder="1" applyAlignment="1" applyProtection="1">
      <alignment horizontal="left" vertical="top" wrapText="1"/>
      <protection locked="0"/>
    </xf>
    <xf numFmtId="0" fontId="16" fillId="0" borderId="9" xfId="2" applyFont="1" applyBorder="1" applyAlignment="1" applyProtection="1">
      <alignment horizontal="left" vertical="top" wrapText="1"/>
      <protection locked="0"/>
    </xf>
    <xf numFmtId="0" fontId="16" fillId="0" borderId="10" xfId="2" applyFont="1" applyBorder="1" applyAlignment="1" applyProtection="1">
      <alignment horizontal="left" vertical="top" wrapText="1"/>
      <protection locked="0"/>
    </xf>
    <xf numFmtId="0" fontId="16" fillId="0" borderId="11" xfId="2" applyFont="1" applyBorder="1" applyAlignment="1" applyProtection="1">
      <alignment horizontal="left" vertical="top" wrapText="1"/>
      <protection locked="0"/>
    </xf>
    <xf numFmtId="0" fontId="16" fillId="0" borderId="0" xfId="2" applyFont="1" applyAlignment="1" applyProtection="1">
      <alignment horizontal="left" vertical="top" wrapText="1"/>
      <protection locked="0"/>
    </xf>
    <xf numFmtId="0" fontId="16" fillId="0" borderId="12" xfId="2" applyFont="1" applyBorder="1" applyAlignment="1" applyProtection="1">
      <alignment horizontal="left" vertical="top" wrapText="1"/>
      <protection locked="0"/>
    </xf>
    <xf numFmtId="0" fontId="16" fillId="0" borderId="13" xfId="2" applyFont="1" applyBorder="1" applyAlignment="1" applyProtection="1">
      <alignment horizontal="left" vertical="top" wrapText="1"/>
      <protection locked="0"/>
    </xf>
    <xf numFmtId="0" fontId="16" fillId="0" borderId="14" xfId="2" applyFont="1" applyBorder="1" applyAlignment="1" applyProtection="1">
      <alignment horizontal="left" vertical="top" wrapText="1"/>
      <protection locked="0"/>
    </xf>
    <xf numFmtId="0" fontId="16" fillId="0" borderId="15" xfId="2" applyFont="1" applyBorder="1" applyAlignment="1" applyProtection="1">
      <alignment horizontal="left" vertical="top" wrapText="1"/>
      <protection locked="0"/>
    </xf>
    <xf numFmtId="178" fontId="11" fillId="0" borderId="0" xfId="4" applyFont="1" applyAlignment="1">
      <alignment horizontal="distributed" vertical="center"/>
    </xf>
    <xf numFmtId="0" fontId="11" fillId="0" borderId="16" xfId="2" applyFont="1" applyBorder="1" applyAlignment="1">
      <alignment horizontal="center" vertical="center"/>
    </xf>
    <xf numFmtId="0" fontId="11" fillId="0" borderId="17" xfId="2" applyFont="1" applyBorder="1" applyAlignment="1">
      <alignment horizontal="center" vertical="center"/>
    </xf>
    <xf numFmtId="0" fontId="11" fillId="0" borderId="18" xfId="2" applyFont="1" applyBorder="1" applyAlignment="1">
      <alignment horizontal="center" vertical="center"/>
    </xf>
    <xf numFmtId="0" fontId="11" fillId="0" borderId="19" xfId="2" applyFont="1" applyBorder="1" applyAlignment="1">
      <alignment horizontal="center" vertical="center"/>
    </xf>
    <xf numFmtId="0" fontId="11" fillId="0" borderId="20" xfId="2" applyFont="1" applyBorder="1" applyAlignment="1">
      <alignment horizontal="center" vertical="center"/>
    </xf>
    <xf numFmtId="37" fontId="16" fillId="0" borderId="68" xfId="2" applyNumberFormat="1" applyFont="1" applyBorder="1" applyAlignment="1">
      <alignment horizontal="right" vertical="center"/>
    </xf>
    <xf numFmtId="37" fontId="16" fillId="0" borderId="54" xfId="2" applyNumberFormat="1" applyFont="1" applyBorder="1" applyAlignment="1">
      <alignment horizontal="right" vertical="center"/>
    </xf>
    <xf numFmtId="0" fontId="17" fillId="0" borderId="21" xfId="2" applyFont="1" applyBorder="1" applyAlignment="1">
      <alignment horizontal="center" vertical="center"/>
    </xf>
    <xf numFmtId="0" fontId="17" fillId="0" borderId="0" xfId="2" applyFont="1" applyAlignment="1">
      <alignment horizontal="center" vertical="center"/>
    </xf>
    <xf numFmtId="37" fontId="16" fillId="0" borderId="33" xfId="2" applyNumberFormat="1" applyFont="1" applyBorder="1" applyAlignment="1">
      <alignment horizontal="right" vertical="center"/>
    </xf>
    <xf numFmtId="37" fontId="16" fillId="0" borderId="32" xfId="2" applyNumberFormat="1" applyFont="1" applyBorder="1" applyAlignment="1">
      <alignment horizontal="right" vertical="center"/>
    </xf>
    <xf numFmtId="37" fontId="16" fillId="0" borderId="24" xfId="2" applyNumberFormat="1" applyFont="1" applyBorder="1" applyAlignment="1">
      <alignment horizontal="right" vertical="center"/>
    </xf>
    <xf numFmtId="37" fontId="16" fillId="0" borderId="23" xfId="2" applyNumberFormat="1" applyFont="1" applyBorder="1" applyAlignment="1">
      <alignment horizontal="right" vertical="center"/>
    </xf>
    <xf numFmtId="37" fontId="16" fillId="0" borderId="38" xfId="2" applyNumberFormat="1" applyFont="1" applyBorder="1" applyAlignment="1">
      <alignment horizontal="right" vertical="center"/>
    </xf>
    <xf numFmtId="37" fontId="16" fillId="0" borderId="39" xfId="2" applyNumberFormat="1" applyFont="1" applyBorder="1" applyAlignment="1">
      <alignment horizontal="right" vertical="center"/>
    </xf>
    <xf numFmtId="3" fontId="16" fillId="0" borderId="0" xfId="2" applyNumberFormat="1" applyFont="1" applyAlignment="1">
      <alignment horizontal="left" vertical="center" wrapText="1"/>
    </xf>
    <xf numFmtId="0" fontId="11" fillId="0" borderId="87" xfId="2" applyFont="1" applyBorder="1" applyAlignment="1">
      <alignment horizontal="left" vertical="center" wrapText="1"/>
    </xf>
    <xf numFmtId="38" fontId="10" fillId="0" borderId="89" xfId="1" applyFont="1" applyBorder="1" applyAlignment="1">
      <alignment horizontal="right" vertical="center"/>
    </xf>
    <xf numFmtId="38" fontId="10" fillId="0" borderId="88" xfId="1" applyFont="1" applyBorder="1" applyAlignment="1">
      <alignment horizontal="right" vertical="center"/>
    </xf>
    <xf numFmtId="0" fontId="11" fillId="0" borderId="93" xfId="2" applyFont="1" applyBorder="1" applyAlignment="1">
      <alignment horizontal="left" vertical="center" wrapText="1"/>
    </xf>
    <xf numFmtId="37" fontId="16" fillId="0" borderId="92" xfId="2" applyNumberFormat="1" applyFont="1" applyBorder="1" applyAlignment="1">
      <alignment horizontal="right" vertical="center"/>
    </xf>
    <xf numFmtId="0" fontId="16" fillId="0" borderId="91" xfId="2" applyFont="1" applyBorder="1" applyAlignment="1">
      <alignment horizontal="right" vertical="center"/>
    </xf>
    <xf numFmtId="37" fontId="16" fillId="0" borderId="142" xfId="2" applyNumberFormat="1" applyFont="1" applyBorder="1" applyAlignment="1">
      <alignment horizontal="right" vertical="center"/>
    </xf>
    <xf numFmtId="37" fontId="16" fillId="0" borderId="141" xfId="2" applyNumberFormat="1" applyFont="1" applyBorder="1" applyAlignment="1">
      <alignment horizontal="right" vertical="center"/>
    </xf>
    <xf numFmtId="37" fontId="16" fillId="0" borderId="4" xfId="2" applyNumberFormat="1" applyFont="1" applyBorder="1" applyAlignment="1">
      <alignment horizontal="right" vertical="center"/>
    </xf>
    <xf numFmtId="37" fontId="16" fillId="0" borderId="5" xfId="2" applyNumberFormat="1" applyFont="1" applyBorder="1" applyAlignment="1">
      <alignment horizontal="right" vertical="center"/>
    </xf>
    <xf numFmtId="37" fontId="16" fillId="0" borderId="149" xfId="2" applyNumberFormat="1" applyFont="1" applyBorder="1" applyAlignment="1">
      <alignment horizontal="right" vertical="center"/>
    </xf>
    <xf numFmtId="37" fontId="16" fillId="0" borderId="148" xfId="2" applyNumberFormat="1" applyFont="1" applyBorder="1" applyAlignment="1">
      <alignment horizontal="right" vertical="center"/>
    </xf>
    <xf numFmtId="37" fontId="16" fillId="0" borderId="83" xfId="2" applyNumberFormat="1" applyFont="1" applyBorder="1" applyAlignment="1">
      <alignment horizontal="right" vertical="center"/>
    </xf>
    <xf numFmtId="37" fontId="16" fillId="0" borderId="132" xfId="2" applyNumberFormat="1" applyFont="1" applyBorder="1" applyAlignment="1">
      <alignment horizontal="right" vertical="center"/>
    </xf>
    <xf numFmtId="0" fontId="52" fillId="0" borderId="0" xfId="2" applyFont="1" applyAlignment="1">
      <alignment horizontal="center" vertical="center"/>
    </xf>
    <xf numFmtId="0" fontId="18" fillId="0" borderId="41" xfId="2" applyFont="1" applyBorder="1" applyAlignment="1">
      <alignment horizontal="center" vertical="center"/>
    </xf>
    <xf numFmtId="0" fontId="18" fillId="0" borderId="42" xfId="2" applyFont="1" applyBorder="1" applyAlignment="1">
      <alignment horizontal="center" vertical="center"/>
    </xf>
    <xf numFmtId="0" fontId="18" fillId="0" borderId="43" xfId="2" applyFont="1" applyBorder="1" applyAlignment="1">
      <alignment horizontal="center" vertical="center"/>
    </xf>
    <xf numFmtId="0" fontId="18" fillId="0" borderId="47" xfId="2" applyFont="1" applyBorder="1" applyAlignment="1">
      <alignment horizontal="center" vertical="center"/>
    </xf>
    <xf numFmtId="0" fontId="18" fillId="0" borderId="48" xfId="2" applyFont="1" applyBorder="1" applyAlignment="1">
      <alignment horizontal="center" vertical="center"/>
    </xf>
    <xf numFmtId="0" fontId="18" fillId="0" borderId="49" xfId="2" applyFont="1" applyBorder="1" applyAlignment="1">
      <alignment horizontal="center" vertical="center"/>
    </xf>
    <xf numFmtId="0" fontId="18" fillId="0" borderId="75" xfId="2" applyFont="1" applyBorder="1" applyAlignment="1">
      <alignment horizontal="center" vertical="center"/>
    </xf>
    <xf numFmtId="0" fontId="18" fillId="0" borderId="78" xfId="2" applyFont="1" applyBorder="1" applyAlignment="1">
      <alignment horizontal="center" vertical="center"/>
    </xf>
    <xf numFmtId="0" fontId="18" fillId="0" borderId="76" xfId="2" applyFont="1" applyBorder="1" applyAlignment="1">
      <alignment horizontal="center" vertical="center"/>
    </xf>
    <xf numFmtId="0" fontId="18" fillId="0" borderId="79" xfId="2" applyFont="1" applyBorder="1" applyAlignment="1">
      <alignment horizontal="center" vertical="center"/>
    </xf>
    <xf numFmtId="0" fontId="25" fillId="2" borderId="26" xfId="2" applyFont="1" applyFill="1" applyBorder="1" applyAlignment="1" applyProtection="1">
      <alignment vertical="center" shrinkToFit="1"/>
      <protection locked="0"/>
    </xf>
    <xf numFmtId="0" fontId="25" fillId="2" borderId="27" xfId="2" applyFont="1" applyFill="1" applyBorder="1" applyAlignment="1" applyProtection="1">
      <alignment vertical="center" shrinkToFit="1"/>
      <protection locked="0"/>
    </xf>
    <xf numFmtId="3" fontId="9" fillId="2" borderId="68" xfId="2" applyNumberFormat="1" applyFont="1" applyFill="1" applyBorder="1" applyAlignment="1" applyProtection="1">
      <alignment horizontal="left" vertical="center"/>
      <protection locked="0"/>
    </xf>
    <xf numFmtId="3" fontId="9" fillId="2" borderId="69" xfId="2" applyNumberFormat="1" applyFont="1" applyFill="1" applyBorder="1" applyAlignment="1" applyProtection="1">
      <alignment horizontal="left" vertical="center"/>
      <protection locked="0"/>
    </xf>
    <xf numFmtId="0" fontId="28" fillId="0" borderId="26" xfId="2" applyFont="1" applyBorder="1" applyAlignment="1" applyProtection="1">
      <alignment vertical="center" shrinkToFit="1"/>
      <protection locked="0"/>
    </xf>
    <xf numFmtId="0" fontId="28" fillId="0" borderId="27" xfId="2" applyFont="1" applyBorder="1" applyAlignment="1" applyProtection="1">
      <alignment vertical="center" shrinkToFit="1"/>
      <protection locked="0"/>
    </xf>
    <xf numFmtId="3" fontId="27" fillId="0" borderId="28" xfId="2" applyNumberFormat="1" applyFont="1" applyBorder="1" applyAlignment="1" applyProtection="1">
      <alignment horizontal="left" vertical="center"/>
      <protection locked="0"/>
    </xf>
    <xf numFmtId="3" fontId="27" fillId="0" borderId="29" xfId="2" applyNumberFormat="1" applyFont="1" applyBorder="1" applyAlignment="1" applyProtection="1">
      <alignment horizontal="left" vertical="center"/>
      <protection locked="0"/>
    </xf>
    <xf numFmtId="3" fontId="9" fillId="2" borderId="28" xfId="2" applyNumberFormat="1" applyFont="1" applyFill="1" applyBorder="1" applyAlignment="1" applyProtection="1">
      <alignment horizontal="left" vertical="center"/>
      <protection locked="0"/>
    </xf>
    <xf numFmtId="3" fontId="9" fillId="2" borderId="29" xfId="2" applyNumberFormat="1" applyFont="1" applyFill="1" applyBorder="1" applyAlignment="1" applyProtection="1">
      <alignment horizontal="left" vertical="center"/>
      <protection locked="0"/>
    </xf>
    <xf numFmtId="0" fontId="28" fillId="0" borderId="26" xfId="2" applyFont="1" applyBorder="1" applyAlignment="1" applyProtection="1">
      <alignment horizontal="left" vertical="center" wrapText="1" shrinkToFit="1"/>
      <protection locked="0"/>
    </xf>
    <xf numFmtId="0" fontId="28" fillId="0" borderId="27" xfId="2" applyFont="1" applyBorder="1" applyAlignment="1" applyProtection="1">
      <alignment horizontal="left" vertical="center" shrinkToFit="1"/>
      <protection locked="0"/>
    </xf>
    <xf numFmtId="3" fontId="9" fillId="0" borderId="28" xfId="2" applyNumberFormat="1" applyFont="1" applyBorder="1" applyAlignment="1" applyProtection="1">
      <alignment horizontal="left" vertical="center"/>
      <protection locked="0"/>
    </xf>
    <xf numFmtId="3" fontId="9" fillId="0" borderId="29" xfId="2" applyNumberFormat="1" applyFont="1" applyBorder="1" applyAlignment="1" applyProtection="1">
      <alignment horizontal="left" vertical="center"/>
      <protection locked="0"/>
    </xf>
    <xf numFmtId="3" fontId="16" fillId="0" borderId="28" xfId="2" applyNumberFormat="1" applyFont="1" applyBorder="1" applyAlignment="1" applyProtection="1">
      <alignment horizontal="center" vertical="center"/>
      <protection locked="0"/>
    </xf>
    <xf numFmtId="3" fontId="16" fillId="0" borderId="29" xfId="2" applyNumberFormat="1" applyFont="1" applyBorder="1" applyAlignment="1" applyProtection="1">
      <alignment horizontal="center" vertical="center"/>
      <protection locked="0"/>
    </xf>
    <xf numFmtId="0" fontId="44" fillId="0" borderId="26" xfId="2" applyFont="1" applyBorder="1" applyAlignment="1" applyProtection="1">
      <alignment vertical="center" wrapText="1" shrinkToFit="1"/>
      <protection locked="0"/>
    </xf>
    <xf numFmtId="0" fontId="44" fillId="0" borderId="27" xfId="2" applyFont="1" applyBorder="1" applyAlignment="1" applyProtection="1">
      <alignment vertical="center" wrapText="1" shrinkToFit="1"/>
      <protection locked="0"/>
    </xf>
    <xf numFmtId="0" fontId="16" fillId="0" borderId="26" xfId="2" applyFont="1" applyBorder="1" applyAlignment="1" applyProtection="1">
      <alignment horizontal="left" vertical="center" wrapText="1" shrinkToFit="1"/>
      <protection locked="0"/>
    </xf>
    <xf numFmtId="0" fontId="16" fillId="0" borderId="27" xfId="2" applyFont="1" applyBorder="1" applyAlignment="1" applyProtection="1">
      <alignment horizontal="left" vertical="center" wrapText="1" shrinkToFit="1"/>
      <protection locked="0"/>
    </xf>
    <xf numFmtId="0" fontId="10" fillId="0" borderId="26" xfId="2" applyFont="1" applyBorder="1" applyAlignment="1" applyProtection="1">
      <alignment horizontal="left" vertical="center" wrapText="1" shrinkToFit="1"/>
      <protection locked="0"/>
    </xf>
    <xf numFmtId="0" fontId="10" fillId="0" borderId="27" xfId="2" applyFont="1" applyBorder="1" applyAlignment="1" applyProtection="1">
      <alignment horizontal="left" vertical="center" wrapText="1" shrinkToFit="1"/>
      <protection locked="0"/>
    </xf>
    <xf numFmtId="0" fontId="28" fillId="0" borderId="27" xfId="2" applyFont="1" applyBorder="1" applyAlignment="1" applyProtection="1">
      <alignment horizontal="left" vertical="center" wrapText="1" shrinkToFit="1"/>
      <protection locked="0"/>
    </xf>
    <xf numFmtId="3" fontId="27" fillId="0" borderId="28" xfId="2" applyNumberFormat="1" applyFont="1" applyBorder="1" applyAlignment="1" applyProtection="1">
      <alignment horizontal="center" vertical="center"/>
      <protection locked="0"/>
    </xf>
    <xf numFmtId="3" fontId="27" fillId="0" borderId="29" xfId="2" applyNumberFormat="1" applyFont="1" applyBorder="1" applyAlignment="1" applyProtection="1">
      <alignment horizontal="center" vertical="center"/>
      <protection locked="0"/>
    </xf>
    <xf numFmtId="0" fontId="25" fillId="2" borderId="26" xfId="2" applyFont="1" applyFill="1" applyBorder="1" applyAlignment="1" applyProtection="1">
      <alignment horizontal="left" vertical="center" wrapText="1" shrinkToFit="1"/>
      <protection locked="0"/>
    </xf>
    <xf numFmtId="0" fontId="25" fillId="2" borderId="27" xfId="2" applyFont="1" applyFill="1" applyBorder="1" applyAlignment="1" applyProtection="1">
      <alignment horizontal="left" vertical="center" wrapText="1" shrinkToFit="1"/>
      <protection locked="0"/>
    </xf>
    <xf numFmtId="3" fontId="9" fillId="2" borderId="28" xfId="2" applyNumberFormat="1" applyFont="1" applyFill="1" applyBorder="1" applyProtection="1">
      <alignment vertical="center"/>
      <protection locked="0"/>
    </xf>
    <xf numFmtId="3" fontId="9" fillId="2" borderId="29" xfId="2" applyNumberFormat="1" applyFont="1" applyFill="1" applyBorder="1" applyProtection="1">
      <alignment vertical="center"/>
      <protection locked="0"/>
    </xf>
    <xf numFmtId="3" fontId="9" fillId="0" borderId="28" xfId="2" applyNumberFormat="1" applyFont="1" applyBorder="1" applyAlignment="1" applyProtection="1">
      <alignment horizontal="left" vertical="center" wrapText="1"/>
      <protection locked="0"/>
    </xf>
    <xf numFmtId="0" fontId="18" fillId="0" borderId="77" xfId="2" applyFont="1" applyBorder="1" applyAlignment="1">
      <alignment horizontal="left" vertical="center"/>
    </xf>
    <xf numFmtId="0" fontId="18" fillId="0" borderId="80" xfId="2" applyFont="1" applyBorder="1" applyAlignment="1">
      <alignment horizontal="left" vertical="center"/>
    </xf>
    <xf numFmtId="0" fontId="18" fillId="0" borderId="38" xfId="2" applyFont="1" applyBorder="1" applyAlignment="1">
      <alignment horizontal="left" vertical="center"/>
    </xf>
    <xf numFmtId="0" fontId="18" fillId="0" borderId="40" xfId="2" applyFont="1" applyBorder="1" applyAlignment="1">
      <alignment horizontal="left" vertical="center"/>
    </xf>
    <xf numFmtId="0" fontId="16" fillId="0" borderId="16" xfId="2" applyFont="1" applyBorder="1" applyAlignment="1">
      <alignment horizontal="center" vertical="center"/>
    </xf>
    <xf numFmtId="0" fontId="16" fillId="0" borderId="17" xfId="2" applyFont="1" applyBorder="1" applyAlignment="1">
      <alignment horizontal="center" vertical="center"/>
    </xf>
    <xf numFmtId="0" fontId="16" fillId="0" borderId="18" xfId="2" applyFont="1" applyBorder="1" applyAlignment="1">
      <alignment horizontal="center" vertical="center"/>
    </xf>
    <xf numFmtId="0" fontId="16" fillId="0" borderId="19" xfId="2" applyFont="1" applyBorder="1" applyAlignment="1">
      <alignment horizontal="center" vertical="center"/>
    </xf>
    <xf numFmtId="0" fontId="16" fillId="0" borderId="20" xfId="2" applyFont="1" applyBorder="1" applyAlignment="1">
      <alignment horizontal="center" vertical="center"/>
    </xf>
    <xf numFmtId="38" fontId="16" fillId="0" borderId="68" xfId="1" applyFont="1" applyFill="1" applyBorder="1" applyAlignment="1">
      <alignment horizontal="right" vertical="center"/>
    </xf>
    <xf numFmtId="38" fontId="16" fillId="0" borderId="54" xfId="1" applyFont="1" applyFill="1" applyBorder="1" applyAlignment="1">
      <alignment horizontal="right" vertical="center"/>
    </xf>
    <xf numFmtId="0" fontId="14" fillId="0" borderId="68" xfId="2" applyFont="1" applyBorder="1" applyAlignment="1">
      <alignment horizontal="left" vertical="center"/>
    </xf>
    <xf numFmtId="0" fontId="14" fillId="0" borderId="53" xfId="2" applyFont="1" applyBorder="1" applyAlignment="1">
      <alignment horizontal="left" vertical="center"/>
    </xf>
    <xf numFmtId="0" fontId="14" fillId="0" borderId="69" xfId="2" applyFont="1" applyBorder="1" applyAlignment="1">
      <alignment horizontal="left" vertical="center"/>
    </xf>
    <xf numFmtId="0" fontId="25" fillId="2" borderId="37" xfId="2" applyFont="1" applyFill="1" applyBorder="1" applyAlignment="1" applyProtection="1">
      <alignment horizontal="left" vertical="center" wrapText="1" shrinkToFit="1"/>
      <protection locked="0"/>
    </xf>
    <xf numFmtId="0" fontId="25" fillId="2" borderId="39" xfId="2" applyFont="1" applyFill="1" applyBorder="1" applyAlignment="1" applyProtection="1">
      <alignment horizontal="left" vertical="center" wrapText="1" shrinkToFit="1"/>
      <protection locked="0"/>
    </xf>
    <xf numFmtId="178" fontId="14" fillId="0" borderId="28" xfId="1" applyNumberFormat="1" applyFont="1" applyFill="1" applyBorder="1" applyAlignment="1">
      <alignment horizontal="right" vertical="center"/>
    </xf>
    <xf numFmtId="178" fontId="14" fillId="0" borderId="27" xfId="1" applyNumberFormat="1" applyFont="1" applyFill="1" applyBorder="1" applyAlignment="1">
      <alignment horizontal="right" vertical="center"/>
    </xf>
    <xf numFmtId="0" fontId="14" fillId="0" borderId="28" xfId="2" applyFont="1" applyBorder="1" applyAlignment="1">
      <alignment horizontal="left" vertical="center"/>
    </xf>
    <xf numFmtId="0" fontId="14" fillId="0" borderId="26" xfId="2" applyFont="1" applyBorder="1" applyAlignment="1">
      <alignment horizontal="left" vertical="center"/>
    </xf>
    <xf numFmtId="0" fontId="14" fillId="0" borderId="29" xfId="2" applyFont="1" applyBorder="1" applyAlignment="1">
      <alignment horizontal="left" vertical="center"/>
    </xf>
    <xf numFmtId="178" fontId="14" fillId="0" borderId="38" xfId="1" applyNumberFormat="1" applyFont="1" applyFill="1" applyBorder="1" applyAlignment="1">
      <alignment horizontal="right" vertical="center"/>
    </xf>
    <xf numFmtId="178" fontId="14" fillId="0" borderId="39" xfId="1" applyNumberFormat="1" applyFont="1" applyFill="1" applyBorder="1" applyAlignment="1">
      <alignment horizontal="right" vertical="center"/>
    </xf>
    <xf numFmtId="0" fontId="14" fillId="0" borderId="38" xfId="2" applyFont="1" applyBorder="1" applyAlignment="1">
      <alignment horizontal="left" vertical="center"/>
    </xf>
    <xf numFmtId="0" fontId="14" fillId="0" borderId="37" xfId="2" applyFont="1" applyBorder="1" applyAlignment="1">
      <alignment horizontal="left" vertical="center"/>
    </xf>
    <xf numFmtId="0" fontId="14" fillId="0" borderId="40" xfId="2" applyFont="1" applyBorder="1" applyAlignment="1">
      <alignment horizontal="left" vertical="center"/>
    </xf>
    <xf numFmtId="3" fontId="16" fillId="0" borderId="71" xfId="2" applyNumberFormat="1" applyFont="1" applyBorder="1" applyAlignment="1">
      <alignment horizontal="right" vertical="center"/>
    </xf>
    <xf numFmtId="3" fontId="16" fillId="0" borderId="65" xfId="2" applyNumberFormat="1" applyFont="1" applyBorder="1" applyAlignment="1">
      <alignment horizontal="right" vertical="center"/>
    </xf>
    <xf numFmtId="38" fontId="16" fillId="0" borderId="28" xfId="1" applyFont="1" applyFill="1" applyBorder="1" applyAlignment="1">
      <alignment horizontal="right" vertical="center"/>
    </xf>
    <xf numFmtId="38" fontId="16" fillId="0" borderId="27" xfId="1" applyFont="1" applyFill="1" applyBorder="1" applyAlignment="1">
      <alignment horizontal="right" vertical="center"/>
    </xf>
    <xf numFmtId="177" fontId="16" fillId="0" borderId="1" xfId="3" applyNumberFormat="1" applyFont="1" applyBorder="1" applyAlignment="1">
      <alignment horizontal="center"/>
    </xf>
    <xf numFmtId="38" fontId="16" fillId="0" borderId="38" xfId="1" applyFont="1" applyFill="1" applyBorder="1" applyAlignment="1">
      <alignment horizontal="right" vertical="center"/>
    </xf>
    <xf numFmtId="38" fontId="16" fillId="0" borderId="39" xfId="1" applyFont="1" applyFill="1" applyBorder="1" applyAlignment="1">
      <alignment horizontal="right" vertical="center"/>
    </xf>
    <xf numFmtId="0" fontId="13" fillId="0" borderId="16" xfId="2" applyFont="1" applyBorder="1" applyAlignment="1">
      <alignment horizontal="center" vertical="center"/>
    </xf>
    <xf numFmtId="0" fontId="13" fillId="0" borderId="17" xfId="2" applyFont="1" applyBorder="1" applyAlignment="1">
      <alignment horizontal="center" vertical="center"/>
    </xf>
    <xf numFmtId="0" fontId="13" fillId="0" borderId="18" xfId="2" applyFont="1" applyBorder="1" applyAlignment="1">
      <alignment horizontal="center" vertical="center"/>
    </xf>
    <xf numFmtId="0" fontId="13" fillId="0" borderId="19" xfId="2" applyFont="1" applyBorder="1" applyAlignment="1">
      <alignment horizontal="center" vertical="center"/>
    </xf>
    <xf numFmtId="0" fontId="13" fillId="0" borderId="20" xfId="2" applyFont="1" applyBorder="1" applyAlignment="1">
      <alignment horizontal="center" vertical="center"/>
    </xf>
    <xf numFmtId="3" fontId="25" fillId="2" borderId="68" xfId="2" applyNumberFormat="1" applyFont="1" applyFill="1" applyBorder="1" applyAlignment="1" applyProtection="1">
      <alignment horizontal="center" vertical="center"/>
      <protection locked="0"/>
    </xf>
    <xf numFmtId="3" fontId="25" fillId="2" borderId="69" xfId="2" applyNumberFormat="1" applyFont="1" applyFill="1" applyBorder="1" applyAlignment="1" applyProtection="1">
      <alignment horizontal="center" vertical="center"/>
      <protection locked="0"/>
    </xf>
    <xf numFmtId="3" fontId="25" fillId="2" borderId="28" xfId="2" applyNumberFormat="1" applyFont="1" applyFill="1" applyBorder="1" applyAlignment="1" applyProtection="1">
      <alignment horizontal="center" vertical="center"/>
      <protection locked="0"/>
    </xf>
    <xf numFmtId="3" fontId="25" fillId="2" borderId="29" xfId="2" applyNumberFormat="1" applyFont="1" applyFill="1" applyBorder="1" applyAlignment="1" applyProtection="1">
      <alignment horizontal="center" vertical="center"/>
      <protection locked="0"/>
    </xf>
    <xf numFmtId="37" fontId="19" fillId="0" borderId="38" xfId="2" applyNumberFormat="1" applyFont="1" applyBorder="1" applyAlignment="1">
      <alignment horizontal="right" vertical="center"/>
    </xf>
    <xf numFmtId="37" fontId="19" fillId="0" borderId="39" xfId="2" applyNumberFormat="1" applyFont="1" applyBorder="1" applyAlignment="1">
      <alignment horizontal="right" vertical="center"/>
    </xf>
    <xf numFmtId="0" fontId="28" fillId="3" borderId="26" xfId="2" applyFont="1" applyFill="1" applyBorder="1" applyAlignment="1" applyProtection="1">
      <alignment vertical="center" shrinkToFit="1"/>
      <protection locked="0"/>
    </xf>
    <xf numFmtId="0" fontId="28" fillId="3" borderId="27" xfId="2" applyFont="1" applyFill="1" applyBorder="1" applyAlignment="1" applyProtection="1">
      <alignment vertical="center" shrinkToFit="1"/>
      <protection locked="0"/>
    </xf>
    <xf numFmtId="3" fontId="27" fillId="3" borderId="28" xfId="2" applyNumberFormat="1" applyFont="1" applyFill="1" applyBorder="1" applyAlignment="1" applyProtection="1">
      <alignment horizontal="left" vertical="center"/>
      <protection locked="0"/>
    </xf>
    <xf numFmtId="3" fontId="27" fillId="3" borderId="29" xfId="2" applyNumberFormat="1" applyFont="1" applyFill="1" applyBorder="1" applyAlignment="1" applyProtection="1">
      <alignment horizontal="left" vertical="center"/>
      <protection locked="0"/>
    </xf>
    <xf numFmtId="0" fontId="42" fillId="0" borderId="26" xfId="2" applyFont="1" applyBorder="1" applyAlignment="1" applyProtection="1">
      <alignment horizontal="left" vertical="center" shrinkToFit="1"/>
      <protection locked="0"/>
    </xf>
    <xf numFmtId="0" fontId="42" fillId="0" borderId="27" xfId="2" applyFont="1" applyBorder="1" applyAlignment="1" applyProtection="1">
      <alignment horizontal="left" vertical="center" shrinkToFit="1"/>
      <protection locked="0"/>
    </xf>
    <xf numFmtId="0" fontId="26" fillId="0" borderId="26" xfId="2" applyFont="1" applyBorder="1" applyAlignment="1" applyProtection="1">
      <alignment vertical="center" wrapText="1" shrinkToFit="1"/>
      <protection locked="0"/>
    </xf>
    <xf numFmtId="0" fontId="16" fillId="0" borderId="27" xfId="2" applyFont="1" applyBorder="1" applyAlignment="1" applyProtection="1">
      <alignment vertical="center" shrinkToFit="1"/>
      <protection locked="0"/>
    </xf>
    <xf numFmtId="3" fontId="23" fillId="0" borderId="0" xfId="2" applyNumberFormat="1" applyFont="1" applyAlignment="1">
      <alignment horizontal="left" vertical="center" wrapText="1"/>
    </xf>
    <xf numFmtId="0" fontId="16" fillId="0" borderId="26" xfId="2" applyFont="1" applyBorder="1" applyAlignment="1" applyProtection="1">
      <alignment horizontal="left" vertical="center" shrinkToFit="1"/>
      <protection locked="0"/>
    </xf>
    <xf numFmtId="0" fontId="16" fillId="0" borderId="27" xfId="2" applyFont="1" applyBorder="1" applyAlignment="1" applyProtection="1">
      <alignment horizontal="left" vertical="center" shrinkToFit="1"/>
      <protection locked="0"/>
    </xf>
    <xf numFmtId="0" fontId="26" fillId="0" borderId="27" xfId="7" applyFont="1" applyBorder="1" applyAlignment="1">
      <alignment vertical="center" wrapText="1" shrinkToFit="1"/>
    </xf>
    <xf numFmtId="0" fontId="26" fillId="0" borderId="26" xfId="2" applyFont="1" applyBorder="1" applyAlignment="1" applyProtection="1">
      <alignment horizontal="left" vertical="center" wrapText="1" shrinkToFit="1"/>
      <protection locked="0"/>
    </xf>
    <xf numFmtId="0" fontId="16" fillId="3" borderId="26" xfId="2" applyFont="1" applyFill="1" applyBorder="1" applyAlignment="1" applyProtection="1">
      <alignment horizontal="left" vertical="center" wrapText="1" shrinkToFit="1"/>
      <protection locked="0"/>
    </xf>
    <xf numFmtId="0" fontId="16" fillId="3" borderId="27" xfId="2" applyFont="1" applyFill="1" applyBorder="1" applyAlignment="1" applyProtection="1">
      <alignment horizontal="left" vertical="center" wrapText="1" shrinkToFit="1"/>
      <protection locked="0"/>
    </xf>
    <xf numFmtId="3" fontId="25" fillId="0" borderId="28" xfId="2" applyNumberFormat="1" applyFont="1" applyBorder="1" applyAlignment="1" applyProtection="1">
      <alignment horizontal="left" vertical="center"/>
      <protection locked="0"/>
    </xf>
    <xf numFmtId="3" fontId="25" fillId="0" borderId="29" xfId="2" applyNumberFormat="1" applyFont="1" applyBorder="1" applyAlignment="1" applyProtection="1">
      <alignment horizontal="left" vertical="center"/>
      <protection locked="0"/>
    </xf>
    <xf numFmtId="3" fontId="46" fillId="2" borderId="28" xfId="2" applyNumberFormat="1" applyFont="1" applyFill="1" applyBorder="1" applyAlignment="1" applyProtection="1">
      <alignment horizontal="left" vertical="center"/>
      <protection locked="0"/>
    </xf>
    <xf numFmtId="3" fontId="43" fillId="2" borderId="29" xfId="2" applyNumberFormat="1" applyFont="1" applyFill="1" applyBorder="1" applyAlignment="1" applyProtection="1">
      <alignment horizontal="left" vertical="center"/>
      <protection locked="0"/>
    </xf>
    <xf numFmtId="178" fontId="10" fillId="0" borderId="13" xfId="13" applyFont="1" applyBorder="1" applyAlignment="1">
      <alignment horizontal="left"/>
    </xf>
    <xf numFmtId="178" fontId="10" fillId="0" borderId="14" xfId="13" applyFont="1" applyBorder="1" applyAlignment="1">
      <alignment horizontal="left"/>
    </xf>
    <xf numFmtId="178" fontId="10" fillId="0" borderId="15" xfId="13" applyFont="1" applyBorder="1" applyAlignment="1">
      <alignment horizontal="left"/>
    </xf>
    <xf numFmtId="0" fontId="7" fillId="0" borderId="0" xfId="7" applyFont="1" applyAlignment="1">
      <alignment horizontal="center" vertical="center"/>
    </xf>
    <xf numFmtId="0" fontId="12" fillId="0" borderId="0" xfId="7" applyFont="1" applyAlignment="1" applyProtection="1">
      <alignment horizontal="center" wrapText="1"/>
      <protection locked="0"/>
    </xf>
    <xf numFmtId="0" fontId="12" fillId="0" borderId="1" xfId="7" applyFont="1" applyBorder="1" applyAlignment="1" applyProtection="1">
      <alignment horizontal="center" wrapText="1"/>
      <protection locked="0"/>
    </xf>
    <xf numFmtId="177" fontId="40" fillId="0" borderId="0" xfId="3" applyNumberFormat="1" applyFont="1" applyBorder="1" applyAlignment="1">
      <alignment horizontal="left"/>
    </xf>
    <xf numFmtId="177" fontId="40" fillId="0" borderId="1" xfId="3" applyNumberFormat="1" applyFont="1" applyBorder="1" applyAlignment="1">
      <alignment horizontal="left"/>
    </xf>
    <xf numFmtId="0" fontId="16" fillId="0" borderId="1" xfId="7" applyFont="1" applyBorder="1" applyAlignment="1"/>
    <xf numFmtId="0" fontId="14" fillId="0" borderId="4" xfId="2" applyFont="1" applyBorder="1" applyAlignment="1">
      <alignment horizontal="center" vertical="center"/>
    </xf>
    <xf numFmtId="0" fontId="14" fillId="0" borderId="6" xfId="2" applyFont="1" applyBorder="1" applyAlignment="1">
      <alignment horizontal="center" vertical="center"/>
    </xf>
    <xf numFmtId="178" fontId="16" fillId="0" borderId="8" xfId="14" applyFont="1" applyBorder="1" applyAlignment="1">
      <alignment vertical="center" wrapText="1"/>
    </xf>
    <xf numFmtId="178" fontId="16" fillId="0" borderId="9" xfId="14" applyFont="1" applyBorder="1" applyAlignment="1">
      <alignment vertical="center" wrapText="1"/>
    </xf>
    <xf numFmtId="178" fontId="16" fillId="0" borderId="10" xfId="14" applyFont="1" applyBorder="1" applyAlignment="1">
      <alignment vertical="center" wrapText="1"/>
    </xf>
    <xf numFmtId="178" fontId="16" fillId="0" borderId="11" xfId="14" applyFont="1" applyBorder="1" applyAlignment="1">
      <alignment vertical="center" wrapText="1"/>
    </xf>
    <xf numFmtId="178" fontId="16" fillId="0" borderId="0" xfId="14" applyFont="1" applyAlignment="1">
      <alignment vertical="center" wrapText="1"/>
    </xf>
    <xf numFmtId="178" fontId="16" fillId="0" borderId="12" xfId="14" applyFont="1" applyBorder="1" applyAlignment="1">
      <alignment vertical="center" wrapText="1"/>
    </xf>
    <xf numFmtId="178" fontId="10" fillId="0" borderId="11" xfId="14" applyFont="1" applyBorder="1" applyAlignment="1">
      <alignment vertical="center" wrapText="1"/>
    </xf>
    <xf numFmtId="178" fontId="10" fillId="0" borderId="0" xfId="14" applyFont="1" applyAlignment="1">
      <alignment vertical="center" wrapText="1"/>
    </xf>
    <xf numFmtId="178" fontId="10" fillId="0" borderId="12" xfId="14" applyFont="1" applyBorder="1" applyAlignment="1">
      <alignment vertical="center" wrapText="1"/>
    </xf>
    <xf numFmtId="178" fontId="10" fillId="0" borderId="11" xfId="13" applyFont="1" applyBorder="1" applyAlignment="1">
      <alignment horizontal="left"/>
    </xf>
    <xf numFmtId="178" fontId="10" fillId="0" borderId="0" xfId="13" applyFont="1" applyAlignment="1">
      <alignment horizontal="left"/>
    </xf>
    <xf numFmtId="178" fontId="10" fillId="0" borderId="12" xfId="13" applyFont="1" applyBorder="1" applyAlignment="1">
      <alignment horizontal="left"/>
    </xf>
    <xf numFmtId="178" fontId="11" fillId="0" borderId="0" xfId="4" applyFont="1" applyAlignment="1">
      <alignment horizontal="distributed" vertical="distributed"/>
    </xf>
    <xf numFmtId="178" fontId="10" fillId="0" borderId="0" xfId="4" applyFont="1" applyAlignment="1">
      <alignment horizontal="distributed" vertical="distributed"/>
    </xf>
    <xf numFmtId="0" fontId="16" fillId="0" borderId="0" xfId="12" applyFont="1" applyAlignment="1">
      <alignment horizontal="left" wrapText="1"/>
    </xf>
    <xf numFmtId="0" fontId="12" fillId="0" borderId="0" xfId="12" applyFont="1" applyAlignment="1">
      <alignment horizontal="center" wrapText="1"/>
    </xf>
    <xf numFmtId="0" fontId="48" fillId="0" borderId="143" xfId="12" applyFont="1" applyBorder="1" applyAlignment="1">
      <alignment horizontal="left" vertical="center"/>
    </xf>
    <xf numFmtId="0" fontId="48" fillId="0" borderId="144" xfId="12" applyFont="1" applyBorder="1" applyAlignment="1">
      <alignment horizontal="left" vertical="center"/>
    </xf>
    <xf numFmtId="0" fontId="48" fillId="0" borderId="86" xfId="12" applyFont="1" applyBorder="1" applyAlignment="1">
      <alignment horizontal="left" vertical="center"/>
    </xf>
    <xf numFmtId="0" fontId="48" fillId="0" borderId="87" xfId="12" applyFont="1" applyBorder="1" applyAlignment="1">
      <alignment horizontal="left" vertical="center"/>
    </xf>
    <xf numFmtId="0" fontId="48" fillId="0" borderId="88" xfId="12" applyFont="1" applyBorder="1" applyAlignment="1">
      <alignment horizontal="left" vertical="center"/>
    </xf>
    <xf numFmtId="0" fontId="48" fillId="0" borderId="147" xfId="12" applyFont="1" applyBorder="1" applyAlignment="1">
      <alignment horizontal="left" vertical="center"/>
    </xf>
    <xf numFmtId="0" fontId="48" fillId="0" borderId="93" xfId="12" applyFont="1" applyBorder="1" applyAlignment="1">
      <alignment horizontal="left" vertical="center"/>
    </xf>
    <xf numFmtId="0" fontId="48" fillId="0" borderId="91" xfId="12" applyFont="1" applyBorder="1" applyAlignment="1">
      <alignment horizontal="left" vertical="center"/>
    </xf>
    <xf numFmtId="0" fontId="16" fillId="0" borderId="152" xfId="2" applyFont="1" applyBorder="1" applyAlignment="1">
      <alignment horizontal="center" vertical="center"/>
    </xf>
    <xf numFmtId="0" fontId="16" fillId="0" borderId="22" xfId="2" applyFont="1" applyBorder="1" applyAlignment="1">
      <alignment horizontal="center" vertical="center"/>
    </xf>
    <xf numFmtId="0" fontId="10" fillId="0" borderId="27" xfId="2" applyFont="1" applyBorder="1" applyAlignment="1" applyProtection="1">
      <alignment vertical="center" shrinkToFit="1"/>
      <protection locked="0"/>
    </xf>
    <xf numFmtId="0" fontId="28" fillId="4" borderId="26" xfId="2" applyFont="1" applyFill="1" applyBorder="1" applyAlignment="1" applyProtection="1">
      <alignment vertical="center" shrinkToFit="1"/>
      <protection locked="0"/>
    </xf>
    <xf numFmtId="0" fontId="28" fillId="4" borderId="27" xfId="2" applyFont="1" applyFill="1" applyBorder="1" applyAlignment="1" applyProtection="1">
      <alignment vertical="center" shrinkToFit="1"/>
      <protection locked="0"/>
    </xf>
    <xf numFmtId="3" fontId="27" fillId="4" borderId="28" xfId="2" applyNumberFormat="1" applyFont="1" applyFill="1" applyBorder="1" applyAlignment="1" applyProtection="1">
      <alignment horizontal="left" vertical="center"/>
      <protection locked="0"/>
    </xf>
    <xf numFmtId="3" fontId="27" fillId="4" borderId="29" xfId="2" applyNumberFormat="1" applyFont="1" applyFill="1" applyBorder="1" applyAlignment="1" applyProtection="1">
      <alignment horizontal="left" vertical="center"/>
      <protection locked="0"/>
    </xf>
    <xf numFmtId="0" fontId="42" fillId="4" borderId="26" xfId="2" applyFont="1" applyFill="1" applyBorder="1" applyAlignment="1" applyProtection="1">
      <alignment horizontal="left" vertical="center" shrinkToFit="1"/>
      <protection locked="0"/>
    </xf>
    <xf numFmtId="0" fontId="42" fillId="4" borderId="27" xfId="2" applyFont="1" applyFill="1" applyBorder="1" applyAlignment="1" applyProtection="1">
      <alignment horizontal="left" vertical="center" shrinkToFit="1"/>
      <protection locked="0"/>
    </xf>
    <xf numFmtId="0" fontId="16" fillId="4" borderId="26" xfId="2" applyFont="1" applyFill="1" applyBorder="1" applyAlignment="1" applyProtection="1">
      <alignment horizontal="left" vertical="center" wrapText="1" shrinkToFit="1"/>
      <protection locked="0"/>
    </xf>
    <xf numFmtId="0" fontId="16" fillId="4" borderId="27" xfId="2" applyFont="1" applyFill="1" applyBorder="1" applyAlignment="1" applyProtection="1">
      <alignment horizontal="left" vertical="center" wrapText="1" shrinkToFit="1"/>
      <protection locked="0"/>
    </xf>
    <xf numFmtId="0" fontId="25" fillId="4" borderId="26" xfId="2" applyFont="1" applyFill="1" applyBorder="1" applyAlignment="1" applyProtection="1">
      <alignment horizontal="left" vertical="center" wrapText="1" shrinkToFit="1"/>
      <protection locked="0"/>
    </xf>
    <xf numFmtId="0" fontId="25" fillId="4" borderId="27" xfId="2" applyFont="1" applyFill="1" applyBorder="1" applyAlignment="1" applyProtection="1">
      <alignment horizontal="left" vertical="center" wrapText="1" shrinkToFit="1"/>
      <protection locked="0"/>
    </xf>
    <xf numFmtId="3" fontId="25" fillId="4" borderId="28" xfId="2" applyNumberFormat="1" applyFont="1" applyFill="1" applyBorder="1" applyAlignment="1" applyProtection="1">
      <alignment horizontal="center" vertical="center"/>
      <protection locked="0"/>
    </xf>
    <xf numFmtId="3" fontId="25" fillId="4" borderId="29" xfId="2" applyNumberFormat="1" applyFont="1" applyFill="1" applyBorder="1" applyAlignment="1" applyProtection="1">
      <alignment horizontal="center" vertical="center"/>
      <protection locked="0"/>
    </xf>
    <xf numFmtId="3" fontId="9" fillId="4" borderId="28" xfId="2" applyNumberFormat="1" applyFont="1" applyFill="1" applyBorder="1" applyAlignment="1" applyProtection="1">
      <alignment horizontal="left" vertical="center" wrapText="1"/>
      <protection locked="0"/>
    </xf>
    <xf numFmtId="3" fontId="9" fillId="4" borderId="29" xfId="2" applyNumberFormat="1" applyFont="1" applyFill="1" applyBorder="1" applyAlignment="1" applyProtection="1">
      <alignment horizontal="left" vertical="center"/>
      <protection locked="0"/>
    </xf>
    <xf numFmtId="3" fontId="16" fillId="4" borderId="28" xfId="2" applyNumberFormat="1" applyFont="1" applyFill="1" applyBorder="1" applyAlignment="1" applyProtection="1">
      <alignment horizontal="center" vertical="center"/>
      <protection locked="0"/>
    </xf>
    <xf numFmtId="3" fontId="16" fillId="4" borderId="29" xfId="2" applyNumberFormat="1" applyFont="1" applyFill="1" applyBorder="1" applyAlignment="1" applyProtection="1">
      <alignment horizontal="center" vertical="center"/>
      <protection locked="0"/>
    </xf>
    <xf numFmtId="0" fontId="16" fillId="0" borderId="16" xfId="9" applyFont="1" applyBorder="1" applyAlignment="1">
      <alignment horizontal="center" vertical="center"/>
    </xf>
    <xf numFmtId="0" fontId="16" fillId="0" borderId="17" xfId="9" applyFont="1" applyBorder="1" applyAlignment="1">
      <alignment horizontal="center" vertical="center"/>
    </xf>
    <xf numFmtId="0" fontId="16" fillId="0" borderId="18" xfId="9" applyFont="1" applyBorder="1" applyAlignment="1">
      <alignment horizontal="center" vertical="center"/>
    </xf>
    <xf numFmtId="0" fontId="16" fillId="0" borderId="19" xfId="9" applyFont="1" applyBorder="1" applyAlignment="1">
      <alignment horizontal="center" vertical="center"/>
    </xf>
    <xf numFmtId="0" fontId="16" fillId="0" borderId="20" xfId="9" applyFont="1" applyBorder="1" applyAlignment="1">
      <alignment horizontal="center" vertical="center"/>
    </xf>
    <xf numFmtId="0" fontId="16" fillId="0" borderId="4" xfId="2" applyFont="1" applyBorder="1" applyAlignment="1">
      <alignment horizontal="center" vertical="center"/>
    </xf>
    <xf numFmtId="0" fontId="16" fillId="0" borderId="0" xfId="2" applyFont="1" applyAlignment="1">
      <alignment horizontal="center" vertical="center"/>
    </xf>
    <xf numFmtId="0" fontId="16" fillId="0" borderId="6" xfId="2" applyFont="1" applyBorder="1" applyAlignment="1">
      <alignment horizontal="center" vertical="center"/>
    </xf>
    <xf numFmtId="0" fontId="16" fillId="0" borderId="1" xfId="2" applyFont="1" applyBorder="1" applyAlignment="1">
      <alignment horizontal="center" vertical="center"/>
    </xf>
    <xf numFmtId="0" fontId="40" fillId="0" borderId="1" xfId="2" applyFont="1" applyBorder="1" applyAlignment="1"/>
    <xf numFmtId="0" fontId="40" fillId="0" borderId="0" xfId="2" applyFont="1" applyAlignment="1" applyProtection="1">
      <alignment horizontal="right" wrapText="1"/>
      <protection locked="0"/>
    </xf>
    <xf numFmtId="0" fontId="40" fillId="0" borderId="1" xfId="2" applyFont="1" applyBorder="1" applyAlignment="1" applyProtection="1">
      <alignment horizontal="right" wrapText="1"/>
      <protection locked="0"/>
    </xf>
    <xf numFmtId="178" fontId="13" fillId="0" borderId="0" xfId="4" applyFont="1" applyAlignment="1">
      <alignment horizontal="distributed" vertical="center"/>
    </xf>
    <xf numFmtId="0" fontId="11" fillId="0" borderId="8" xfId="2" applyFont="1" applyBorder="1" applyAlignment="1" applyProtection="1">
      <alignment horizontal="left" vertical="top" wrapText="1"/>
      <protection locked="0"/>
    </xf>
    <xf numFmtId="0" fontId="11" fillId="0" borderId="9" xfId="2" applyFont="1" applyBorder="1" applyAlignment="1" applyProtection="1">
      <alignment horizontal="left" vertical="top" wrapText="1"/>
      <protection locked="0"/>
    </xf>
    <xf numFmtId="0" fontId="11" fillId="0" borderId="10" xfId="2" applyFont="1" applyBorder="1" applyAlignment="1" applyProtection="1">
      <alignment horizontal="left" vertical="top" wrapText="1"/>
      <protection locked="0"/>
    </xf>
    <xf numFmtId="0" fontId="11" fillId="0" borderId="11" xfId="2" applyFont="1" applyBorder="1" applyAlignment="1" applyProtection="1">
      <alignment horizontal="left" vertical="top" wrapText="1"/>
      <protection locked="0"/>
    </xf>
    <xf numFmtId="0" fontId="11" fillId="0" borderId="0" xfId="2" applyFont="1" applyAlignment="1" applyProtection="1">
      <alignment horizontal="left" vertical="top" wrapText="1"/>
      <protection locked="0"/>
    </xf>
    <xf numFmtId="0" fontId="11" fillId="0" borderId="12" xfId="2" applyFont="1" applyBorder="1" applyAlignment="1" applyProtection="1">
      <alignment horizontal="left" vertical="top" wrapText="1"/>
      <protection locked="0"/>
    </xf>
    <xf numFmtId="0" fontId="11" fillId="0" borderId="13" xfId="2" applyFont="1" applyBorder="1" applyAlignment="1" applyProtection="1">
      <alignment horizontal="left" vertical="top" wrapText="1"/>
      <protection locked="0"/>
    </xf>
    <xf numFmtId="0" fontId="11" fillId="0" borderId="14" xfId="2" applyFont="1" applyBorder="1" applyAlignment="1" applyProtection="1">
      <alignment horizontal="left" vertical="top" wrapText="1"/>
      <protection locked="0"/>
    </xf>
    <xf numFmtId="0" fontId="11" fillId="0" borderId="15" xfId="2" applyFont="1" applyBorder="1" applyAlignment="1" applyProtection="1">
      <alignment horizontal="left" vertical="top" wrapText="1"/>
      <protection locked="0"/>
    </xf>
    <xf numFmtId="0" fontId="16" fillId="0" borderId="2" xfId="2" applyFont="1" applyBorder="1" applyAlignment="1">
      <alignment horizontal="center" vertical="center"/>
    </xf>
    <xf numFmtId="0" fontId="16" fillId="0" borderId="74" xfId="2" applyFont="1" applyBorder="1" applyAlignment="1">
      <alignment horizontal="center" vertical="center"/>
    </xf>
    <xf numFmtId="177" fontId="11" fillId="0" borderId="1" xfId="3" applyNumberFormat="1" applyFont="1" applyBorder="1" applyAlignment="1">
      <alignment horizontal="center"/>
    </xf>
    <xf numFmtId="37" fontId="16" fillId="0" borderId="24" xfId="9" applyNumberFormat="1" applyFont="1" applyBorder="1" applyAlignment="1">
      <alignment horizontal="right" vertical="center"/>
    </xf>
    <xf numFmtId="37" fontId="16" fillId="0" borderId="23" xfId="9" applyNumberFormat="1" applyFont="1" applyBorder="1" applyAlignment="1">
      <alignment horizontal="right" vertical="center"/>
    </xf>
    <xf numFmtId="37" fontId="16" fillId="0" borderId="28" xfId="9" applyNumberFormat="1" applyFont="1" applyBorder="1" applyAlignment="1">
      <alignment horizontal="right" vertical="center"/>
    </xf>
    <xf numFmtId="37" fontId="16" fillId="0" borderId="27" xfId="9" applyNumberFormat="1" applyFont="1" applyBorder="1" applyAlignment="1">
      <alignment horizontal="right" vertical="center"/>
    </xf>
    <xf numFmtId="3" fontId="16" fillId="0" borderId="71" xfId="9" applyNumberFormat="1" applyFont="1" applyBorder="1" applyAlignment="1">
      <alignment horizontal="right" vertical="center"/>
    </xf>
    <xf numFmtId="3" fontId="16" fillId="0" borderId="65" xfId="9" applyNumberFormat="1" applyFont="1" applyBorder="1" applyAlignment="1">
      <alignment horizontal="right" vertical="center"/>
    </xf>
    <xf numFmtId="189" fontId="10" fillId="0" borderId="89" xfId="5" applyNumberFormat="1" applyFont="1" applyBorder="1" applyAlignment="1">
      <alignment horizontal="left" vertical="center"/>
    </xf>
    <xf numFmtId="189" fontId="10" fillId="0" borderId="87" xfId="5" applyNumberFormat="1" applyFont="1" applyBorder="1" applyAlignment="1">
      <alignment horizontal="left" vertical="center"/>
    </xf>
    <xf numFmtId="189" fontId="10" fillId="0" borderId="90" xfId="5" applyNumberFormat="1" applyFont="1" applyBorder="1" applyAlignment="1">
      <alignment horizontal="left" vertical="center"/>
    </xf>
    <xf numFmtId="178" fontId="10" fillId="0" borderId="89" xfId="5" applyFont="1" applyBorder="1" applyAlignment="1">
      <alignment vertical="center"/>
    </xf>
    <xf numFmtId="178" fontId="10" fillId="0" borderId="87" xfId="5" applyFont="1" applyBorder="1" applyAlignment="1">
      <alignment vertical="center"/>
    </xf>
    <xf numFmtId="178" fontId="10" fillId="0" borderId="90" xfId="5" applyFont="1" applyBorder="1" applyAlignment="1">
      <alignment vertical="center"/>
    </xf>
    <xf numFmtId="178" fontId="10" fillId="0" borderId="92" xfId="5" applyFont="1" applyBorder="1" applyAlignment="1">
      <alignment vertical="center"/>
    </xf>
    <xf numFmtId="178" fontId="10" fillId="0" borderId="93" xfId="5" applyFont="1" applyBorder="1" applyAlignment="1">
      <alignment vertical="center"/>
    </xf>
    <xf numFmtId="178" fontId="10" fillId="0" borderId="94" xfId="5" applyFont="1" applyBorder="1" applyAlignment="1">
      <alignment vertical="center"/>
    </xf>
    <xf numFmtId="37" fontId="16" fillId="0" borderId="38" xfId="9" applyNumberFormat="1" applyFont="1" applyBorder="1" applyAlignment="1">
      <alignment horizontal="right" vertical="center"/>
    </xf>
    <xf numFmtId="37" fontId="16" fillId="0" borderId="39" xfId="9" applyNumberFormat="1" applyFont="1" applyBorder="1" applyAlignment="1">
      <alignment horizontal="right" vertical="center"/>
    </xf>
    <xf numFmtId="3" fontId="34" fillId="0" borderId="66" xfId="6" applyNumberFormat="1" applyFont="1" applyBorder="1" applyAlignment="1">
      <alignment horizontal="center" vertical="center"/>
    </xf>
    <xf numFmtId="178" fontId="14" fillId="0" borderId="75" xfId="5" applyFont="1" applyBorder="1" applyAlignment="1">
      <alignment vertical="center"/>
    </xf>
    <xf numFmtId="178" fontId="14" fillId="0" borderId="42" xfId="5" applyFont="1" applyBorder="1" applyAlignment="1">
      <alignment vertical="center"/>
    </xf>
    <xf numFmtId="178" fontId="14" fillId="0" borderId="78" xfId="5" applyFont="1" applyBorder="1" applyAlignment="1">
      <alignment vertical="center"/>
    </xf>
    <xf numFmtId="37" fontId="16" fillId="0" borderId="33" xfId="9" applyNumberFormat="1" applyFont="1" applyBorder="1" applyAlignment="1">
      <alignment horizontal="right" vertical="center"/>
    </xf>
    <xf numFmtId="37" fontId="16" fillId="0" borderId="32" xfId="9" applyNumberFormat="1" applyFont="1" applyBorder="1" applyAlignment="1">
      <alignment horizontal="right" vertical="center"/>
    </xf>
    <xf numFmtId="178" fontId="14" fillId="0" borderId="41" xfId="5" applyFont="1" applyBorder="1" applyAlignment="1">
      <alignment horizontal="center" vertical="center"/>
    </xf>
    <xf numFmtId="178" fontId="14" fillId="0" borderId="43" xfId="5" applyFont="1" applyBorder="1" applyAlignment="1">
      <alignment horizontal="center" vertical="center"/>
    </xf>
    <xf numFmtId="178" fontId="14" fillId="0" borderId="47" xfId="5" applyFont="1" applyBorder="1" applyAlignment="1">
      <alignment horizontal="center" vertical="center"/>
    </xf>
    <xf numFmtId="178" fontId="14" fillId="0" borderId="49" xfId="5" applyFont="1" applyBorder="1" applyAlignment="1">
      <alignment horizontal="center" vertical="center"/>
    </xf>
    <xf numFmtId="178" fontId="14" fillId="0" borderId="46" xfId="5" applyFont="1" applyBorder="1" applyAlignment="1">
      <alignment horizontal="center" vertical="center"/>
    </xf>
    <xf numFmtId="178" fontId="14" fillId="0" borderId="51" xfId="5" applyFont="1" applyBorder="1" applyAlignment="1">
      <alignment horizontal="center" vertical="center"/>
    </xf>
    <xf numFmtId="178" fontId="14" fillId="0" borderId="96" xfId="5" applyFont="1" applyBorder="1" applyAlignment="1">
      <alignment horizontal="center" vertical="center"/>
    </xf>
    <xf numFmtId="178" fontId="14" fillId="0" borderId="98" xfId="5" applyFont="1" applyBorder="1" applyAlignment="1">
      <alignment horizontal="center" vertical="center"/>
    </xf>
    <xf numFmtId="178" fontId="16" fillId="0" borderId="103" xfId="5" applyFont="1" applyBorder="1" applyAlignment="1">
      <alignment horizontal="center" vertical="center"/>
    </xf>
    <xf numFmtId="178" fontId="16" fillId="0" borderId="104" xfId="5" applyFont="1" applyBorder="1" applyAlignment="1">
      <alignment horizontal="center" vertical="center"/>
    </xf>
    <xf numFmtId="3" fontId="16" fillId="0" borderId="28" xfId="2" applyNumberFormat="1" applyFont="1" applyBorder="1" applyAlignment="1" applyProtection="1">
      <alignment horizontal="left" vertical="center"/>
      <protection locked="0"/>
    </xf>
    <xf numFmtId="3" fontId="16" fillId="0" borderId="29" xfId="2" applyNumberFormat="1" applyFont="1" applyBorder="1" applyAlignment="1" applyProtection="1">
      <alignment horizontal="left" vertical="center"/>
      <protection locked="0"/>
    </xf>
    <xf numFmtId="0" fontId="8" fillId="0" borderId="119" xfId="12" applyFont="1" applyBorder="1" applyAlignment="1">
      <alignment horizontal="left" vertical="center" wrapText="1"/>
    </xf>
  </cellXfs>
  <cellStyles count="15">
    <cellStyle name="桁区切り" xfId="1" builtinId="6"/>
    <cellStyle name="桁区切り 2" xfId="3" xr:uid="{EBF4B2F2-F0BE-4872-9C4E-0D52185A5E57}"/>
    <cellStyle name="桁区切り 2 2 2" xfId="6" xr:uid="{1B7ECEA4-27BA-4CF9-AC77-9EE2187DD3CA}"/>
    <cellStyle name="桁区切り 4" xfId="10" xr:uid="{6632601B-1694-44BA-963F-E6A1D12C8DC6}"/>
    <cellStyle name="通貨 2 2" xfId="11" xr:uid="{91506A8F-0938-488C-8E8C-D88144EC16ED}"/>
    <cellStyle name="標準" xfId="0" builtinId="0"/>
    <cellStyle name="標準 2" xfId="7" xr:uid="{C72C784C-930B-4EE5-A680-C1446D1FAF93}"/>
    <cellStyle name="標準 3" xfId="12" xr:uid="{9C3A7D6A-DE20-4237-9AE9-AC594BA6F0FB}"/>
    <cellStyle name="標準 7" xfId="8" xr:uid="{A6DC5214-42CC-4C0E-8986-B177BD857170}"/>
    <cellStyle name="標準_CLA緑道" xfId="5" xr:uid="{F460F8B3-05D3-439B-B74A-D50DBB091C25}"/>
    <cellStyle name="標準_H18環境センサス" xfId="13" xr:uid="{8070EACC-5B3C-46EB-B66C-B1FD982C0BF8}"/>
    <cellStyle name="標準_H23小笠原空港見積書2" xfId="14" xr:uid="{093736FE-1B16-4108-99D6-F0C069174E20}"/>
    <cellStyle name="標準_H25飯坂事後調査（供用中）見積案130621" xfId="2" xr:uid="{D8EA391B-C100-4143-9A63-B794E340C9C5}"/>
    <cellStyle name="標準_H25飯坂事後調査（供用中）見積案130621 2" xfId="9" xr:uid="{B8EA6656-5415-4E9E-AB1E-7CDD0AA6B73E}"/>
    <cellStyle name="標準_見積かがみ" xfId="4" xr:uid="{44E0935C-4BD1-4C49-BE85-7F68F773D7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7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6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5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4.xml"/><Relationship Id="rId28" Type="http://schemas.openxmlformats.org/officeDocument/2006/relationships/externalLink" Target="externalLinks/externalLink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3.xml"/><Relationship Id="rId27" Type="http://schemas.openxmlformats.org/officeDocument/2006/relationships/externalLink" Target="externalLinks/externalLink8.xml"/><Relationship Id="rId30" Type="http://schemas.openxmlformats.org/officeDocument/2006/relationships/externalLink" Target="externalLinks/externalLink11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371475</xdr:colOff>
      <xdr:row>34</xdr:row>
      <xdr:rowOff>276225</xdr:rowOff>
    </xdr:from>
    <xdr:to>
      <xdr:col>5</xdr:col>
      <xdr:colOff>638175</xdr:colOff>
      <xdr:row>35</xdr:row>
      <xdr:rowOff>0</xdr:rowOff>
    </xdr:to>
    <xdr:sp macro="" textlink="">
      <xdr:nvSpPr>
        <xdr:cNvPr id="2" name="テキスト 1">
          <a:extLst>
            <a:ext uri="{FF2B5EF4-FFF2-40B4-BE49-F238E27FC236}">
              <a16:creationId xmlns:a16="http://schemas.microsoft.com/office/drawing/2014/main" id="{E88720A8-9F39-46E4-96AA-D9277FE738F6}"/>
            </a:ext>
          </a:extLst>
        </xdr:cNvPr>
        <xdr:cNvSpPr txBox="1">
          <a:spLocks noChangeArrowheads="1"/>
        </xdr:cNvSpPr>
      </xdr:nvSpPr>
      <xdr:spPr bwMode="auto">
        <a:xfrm>
          <a:off x="4359275" y="10683875"/>
          <a:ext cx="266700" cy="31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0.6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9</a:t>
          </a:r>
          <a:endParaRPr lang="ja-JP" altLang="en-US" sz="800" b="0" i="0" u="none" strike="noStrike" baseline="0">
            <a:solidFill>
              <a:srgbClr val="000000"/>
            </a:solidFill>
            <a:latin typeface="ＭＳ Ｐ明朝"/>
            <a:ea typeface="ＭＳ Ｐ明朝"/>
          </a:endParaRPr>
        </a:p>
      </xdr:txBody>
    </xdr:sp>
    <xdr:clientData/>
  </xdr:twoCellAnchor>
  <xdr:twoCellAnchor>
    <xdr:from>
      <xdr:col>4</xdr:col>
      <xdr:colOff>609600</xdr:colOff>
      <xdr:row>33</xdr:row>
      <xdr:rowOff>295275</xdr:rowOff>
    </xdr:from>
    <xdr:to>
      <xdr:col>5</xdr:col>
      <xdr:colOff>276225</xdr:colOff>
      <xdr:row>34</xdr:row>
      <xdr:rowOff>190500</xdr:rowOff>
    </xdr:to>
    <xdr:sp macro="" textlink="">
      <xdr:nvSpPr>
        <xdr:cNvPr id="3" name="テキスト 2">
          <a:extLst>
            <a:ext uri="{FF2B5EF4-FFF2-40B4-BE49-F238E27FC236}">
              <a16:creationId xmlns:a16="http://schemas.microsoft.com/office/drawing/2014/main" id="{7F739AAC-F3F4-44B9-A5F5-38A81A12CADA}"/>
            </a:ext>
          </a:extLst>
        </xdr:cNvPr>
        <xdr:cNvSpPr txBox="1">
          <a:spLocks noChangeArrowheads="1"/>
        </xdr:cNvSpPr>
      </xdr:nvSpPr>
      <xdr:spPr bwMode="auto">
        <a:xfrm>
          <a:off x="3848100" y="10398125"/>
          <a:ext cx="4159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0.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57</a:t>
          </a:r>
          <a:endParaRPr lang="ja-JP" altLang="en-US" sz="900" b="0" i="0" u="none" strike="noStrike" baseline="0">
            <a:solidFill>
              <a:srgbClr val="000000"/>
            </a:solidFill>
            <a:latin typeface="ＭＳ Ｐ明朝"/>
            <a:ea typeface="ＭＳ Ｐ明朝"/>
          </a:endParaRPr>
        </a:p>
        <a:p>
          <a:pPr algn="l" rtl="0">
            <a:lnSpc>
              <a:spcPts val="900"/>
            </a:lnSpc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明朝"/>
            <a:ea typeface="ＭＳ Ｐ明朝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40d\G\EXCEL\&#24179;&#25104;&#65297;&#65298;&#24180;&#24230;\&#24441;&#25152;\&#26481;&#21271;&#30010;\&#65320;12&#12288;&#12415;&#12393;&#12426;&#12534;&#19992;&#22243;&#22320;&#38598;&#20250;&#25152;&#24314;&#31689;&#24037;&#20107;%20&#12398;&#12496;&#12483;&#12463;&#12450;&#12483;&#12503;.xlk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om_27\&#9632;&#23500;&#37111;\&#35211;&#31309;&#26360;&#65288;&#65320;&#65297;&#65297;&#65289;\&#36939;&#36664;&#30465;\&#22823;&#28193;&#12480;&#12512;\&#30452;&#20154;\SUGA\&#35211;&#31309;etc\SUGA\WINDOWS\&#65411;&#65438;&#65405;&#65400;&#65412;&#65391;&#65420;&#65439;\MITUMORI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umamoto000\&#29066;&#26412;&#25903;&#25152;&#20849;&#26377;&#12501;&#12457;&#12523;&#12480;\Documents%20and%20Settings\fujish02.ENV\&#12487;&#12473;&#12463;&#12488;&#12483;&#12503;\&#25514;&#32622;&#35531;&#27714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ecmain\kikaku_hd\&#12471;&#12473;&#12486;&#12512;&#12501;&#12457;&#12523;&#12480;\Eudora%20Folder\Attachments%20Folder\KikakuHD01eigyou_DATA\00&#30330;&#27880;&#32773;&#21029;&#21942;&#26989;&#36039;&#26009;\&#65313;&#25919;&#24220;&#27231;&#38306;&#12501;&#12457;&#12523;&#12480;\&#22269;&#22303;&#20132;&#36890;&#30465;&#12501;&#12457;&#12523;&#12480;\13&#21271;&#38520;&#22320;&#26041;&#25972;&#20633;&#23616;\&#26494;&#26412;&#30722;&#38450;&#24037;&#20107;&#20107;&#21209;&#25152;\030604&#20837;&#26413;&#65288;&#38686;&#27810;&#65289;\&#35201;&#12427;&#12418;&#12398;\&#12381;&#12398;2&#22806;&#27880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ecmain\kikaku_hd\PROGRA~1\eudora\attach\&#26494;&#24029;16&#24180;&#24230;&#19979;&#35211;&#31309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KE_SRV1\&#20849;&#26377;&#65298;\My%20Documents\&#24179;&#25104;&#65297;&#65297;&#24180;&#24230;\&#36015;&#27700;&#27744;&#21608;&#36794;&#22320;&#28369;&#12426;&#35251;&#28204;&#26989;&#21209;\&#24403;&#21021;&#35373;&#35336;&#65288;&#22320;&#12377;&#12409;&#12426;&#6528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ecmain\kikaku_hd\&#12471;&#12473;&#12486;&#12512;&#12501;&#12457;&#12523;&#12480;\Eudora%20Folder\Attachments%20Folder\KikakuHD01eigyou_DATA\00&#30330;&#27880;&#32773;&#21029;&#21942;&#26989;&#36039;&#26009;\&#65313;&#25919;&#24220;&#27231;&#38306;&#12501;&#12457;&#12523;&#12480;\&#22269;&#22303;&#20132;&#36890;&#30465;&#12501;&#12457;&#12523;&#12480;\13&#21271;&#38520;&#22320;&#26041;&#25972;&#20633;&#23616;\&#26494;&#26412;&#30722;&#38450;&#24037;&#20107;&#20107;&#21209;&#25152;\030604&#20837;&#26413;&#65288;&#38686;&#27810;&#65289;\&#35201;&#12427;&#12418;&#12398;\15&#24180;&#24230;&#32974;&#20869;\P&#26368;&#32066;-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ke_srv1\&#20849;&#26377;&#65298;\&#31649;&#29702;&#35506;\&#31532;&#20108;&#31649;&#29702;&#35506;\&#31649;&#29702;&#31532;&#20108;&#20418;\&#26989;&#21209;&#38306;&#20418;\H14\&#27700;&#36074;&#35519;&#26619;\H13&#27700;&#36074;&#35519;&#26619;&#35373;&#35336;&#26360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om_27\&#9632;&#23500;&#37111;\01_&#35373;&#35336;&#26360;\H16\03_&#36015;&#27700;&#27744;&#21608;&#36794;&#22320;&#12377;&#12409;&#12426;&#35413;&#20385;&#12362;&#12424;&#12403;&#26908;&#35342;\&#35373;&#35336;&#26360;&#20462;&#27491;&#65288;&#20840;&#20307;&#12289;&#35519;&#26619;&#65289;&#12539;&#31309;&#31639;&#36039;&#26009;&#65288;&#35519;&#26619;&#20998;&#65289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ain\kikaku_hd\Documents%20and%20Settings\murayama-h2b7\&#12487;&#12473;&#12463;&#12488;&#12483;&#12503;\&#27700;&#22269;&#21442;&#32771;&#27497;&#25499;&#36865;&#20184;\060227&#22320;&#25972;&#31561;&#36865;&#20184;\&#26087;&#27497;&#25499;&#12391;&#12398;&#35211;&#31309;&#12426;(1)&#27497;&#25499;&#12393;&#12362;&#12426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murayama-h2b7\&#12487;&#12473;&#12463;&#12488;&#12483;&#12503;\&#27700;&#22269;&#21442;&#32771;&#27497;&#25499;&#36865;&#20184;\060227&#22320;&#25972;&#31561;&#36865;&#20184;\&#26087;&#27497;&#25499;&#12391;&#12398;&#35211;&#31309;&#12426;(1)&#27497;&#25499;&#12393;&#12362;&#1242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Ｈ12　みどりヶ丘団地集会所建築工事 のバックアップ"/>
      <sheetName val="#REF"/>
      <sheetName val="設計書表紙"/>
      <sheetName val="設計書 (住宅課経費)"/>
      <sheetName val="設計書"/>
      <sheetName val="代価表紙"/>
      <sheetName val="見積代価表"/>
      <sheetName val="表紙"/>
      <sheetName val="直接仮設集計表"/>
      <sheetName val="土工事集計表"/>
      <sheetName val="鉄筋、型枠、生コン総括表"/>
      <sheetName val="鉄筋、型枠、生コン集計表"/>
      <sheetName val="防水工事集計表 "/>
      <sheetName val="石、タイル工事集計表"/>
      <sheetName val="木工事集計表 "/>
      <sheetName val="屋根工事集計表 "/>
      <sheetName val="金属工事集計表"/>
      <sheetName val="左官工事集計表"/>
      <sheetName val="木製建具工事集計表"/>
      <sheetName val="金属製建具工事集計表"/>
      <sheetName val="ガラス工事集計表"/>
      <sheetName val="塗装工事集計表"/>
      <sheetName val="外装工事集計表"/>
      <sheetName val="内装集計表"/>
      <sheetName val="各室内装数量調書"/>
      <sheetName val="雑工事集計表"/>
      <sheetName val="外構工事集計表"/>
      <sheetName val="調査積算"/>
      <sheetName val="委託費（5）"/>
    </sheetNames>
    <sheetDataSet>
      <sheetData sheetId="0" refreshError="1"/>
      <sheetData sheetId="1" refreshError="1">
        <row r="1">
          <cell r="A1" t="str">
            <v>No.</v>
          </cell>
        </row>
        <row r="642">
          <cell r="B642" t="str">
            <v>〃</v>
          </cell>
          <cell r="C642" t="str">
            <v xml:space="preserve"> 1P15Ax4+時差消灯スイッチ</v>
          </cell>
          <cell r="E642" t="str">
            <v>〃</v>
          </cell>
          <cell r="F642">
            <v>1</v>
          </cell>
          <cell r="G642">
            <v>4660</v>
          </cell>
          <cell r="H642">
            <v>4660</v>
          </cell>
          <cell r="I642" t="str">
            <v>〃</v>
          </cell>
        </row>
        <row r="643">
          <cell r="H643">
            <v>0</v>
          </cell>
        </row>
        <row r="644">
          <cell r="H644">
            <v>0</v>
          </cell>
        </row>
        <row r="645">
          <cell r="H645">
            <v>0</v>
          </cell>
        </row>
        <row r="646">
          <cell r="B646" t="str">
            <v>照明器具</v>
          </cell>
          <cell r="C646" t="str">
            <v xml:space="preserve"> A21</v>
          </cell>
          <cell r="E646" t="str">
            <v>台</v>
          </cell>
          <cell r="F646">
            <v>1</v>
          </cell>
          <cell r="G646">
            <v>4000</v>
          </cell>
          <cell r="H646">
            <v>4000</v>
          </cell>
          <cell r="I646" t="str">
            <v>複合−１</v>
          </cell>
          <cell r="L646">
            <v>4000</v>
          </cell>
        </row>
        <row r="647">
          <cell r="B647" t="str">
            <v>〃</v>
          </cell>
          <cell r="C647" t="str">
            <v xml:space="preserve"> A22</v>
          </cell>
          <cell r="E647" t="str">
            <v>〃</v>
          </cell>
          <cell r="F647">
            <v>2</v>
          </cell>
          <cell r="G647">
            <v>6000</v>
          </cell>
          <cell r="H647">
            <v>12000</v>
          </cell>
          <cell r="I647" t="str">
            <v>〃</v>
          </cell>
          <cell r="L647">
            <v>12000</v>
          </cell>
        </row>
        <row r="648">
          <cell r="B648" t="str">
            <v>〃</v>
          </cell>
          <cell r="C648" t="str">
            <v xml:space="preserve"> A321</v>
          </cell>
          <cell r="E648" t="str">
            <v>〃</v>
          </cell>
          <cell r="F648">
            <v>1</v>
          </cell>
          <cell r="G648">
            <v>8440</v>
          </cell>
          <cell r="H648">
            <v>8440</v>
          </cell>
          <cell r="I648" t="str">
            <v>〃</v>
          </cell>
          <cell r="L648">
            <v>8440</v>
          </cell>
        </row>
        <row r="649">
          <cell r="B649" t="str">
            <v>〃</v>
          </cell>
          <cell r="C649" t="str">
            <v xml:space="preserve"> A322</v>
          </cell>
          <cell r="E649" t="str">
            <v>〃</v>
          </cell>
          <cell r="F649">
            <v>4</v>
          </cell>
          <cell r="G649">
            <v>13100</v>
          </cell>
          <cell r="H649">
            <v>52400</v>
          </cell>
          <cell r="I649" t="str">
            <v>〃</v>
          </cell>
          <cell r="L649">
            <v>52400</v>
          </cell>
        </row>
        <row r="650">
          <cell r="B650" t="str">
            <v>〃</v>
          </cell>
          <cell r="C650" t="str">
            <v xml:space="preserve"> B324</v>
          </cell>
          <cell r="E650" t="str">
            <v>〃</v>
          </cell>
          <cell r="F650">
            <v>10</v>
          </cell>
          <cell r="G650">
            <v>31900</v>
          </cell>
          <cell r="H650">
            <v>319000</v>
          </cell>
          <cell r="I650" t="str">
            <v>〃</v>
          </cell>
          <cell r="L650">
            <v>319000</v>
          </cell>
        </row>
        <row r="651">
          <cell r="B651" t="str">
            <v>〃</v>
          </cell>
          <cell r="C651" t="str">
            <v xml:space="preserve"> C321</v>
          </cell>
          <cell r="E651" t="str">
            <v>〃</v>
          </cell>
          <cell r="F651">
            <v>6</v>
          </cell>
          <cell r="G651">
            <v>15700</v>
          </cell>
          <cell r="H651">
            <v>94200</v>
          </cell>
          <cell r="I651" t="str">
            <v>〃</v>
          </cell>
          <cell r="L651">
            <v>94200</v>
          </cell>
        </row>
        <row r="652">
          <cell r="B652" t="str">
            <v>〃</v>
          </cell>
          <cell r="C652" t="str">
            <v xml:space="preserve"> D321</v>
          </cell>
          <cell r="E652" t="str">
            <v>〃</v>
          </cell>
          <cell r="F652">
            <v>1</v>
          </cell>
          <cell r="G652">
            <v>30000</v>
          </cell>
          <cell r="H652">
            <v>30000</v>
          </cell>
          <cell r="I652" t="str">
            <v>〃</v>
          </cell>
          <cell r="L652">
            <v>30000</v>
          </cell>
        </row>
        <row r="653">
          <cell r="B653" t="str">
            <v>〃</v>
          </cell>
          <cell r="C653" t="str">
            <v xml:space="preserve"> E181</v>
          </cell>
          <cell r="E653" t="str">
            <v>〃</v>
          </cell>
          <cell r="F653">
            <v>1</v>
          </cell>
          <cell r="G653">
            <v>8380</v>
          </cell>
          <cell r="H653">
            <v>8380</v>
          </cell>
          <cell r="I653" t="str">
            <v>〃</v>
          </cell>
          <cell r="L653">
            <v>8380</v>
          </cell>
        </row>
        <row r="654">
          <cell r="B654" t="str">
            <v>〃</v>
          </cell>
          <cell r="C654" t="str">
            <v xml:space="preserve"> E271</v>
          </cell>
          <cell r="E654" t="str">
            <v>〃</v>
          </cell>
          <cell r="F654">
            <v>2</v>
          </cell>
          <cell r="G654">
            <v>8740</v>
          </cell>
          <cell r="H654">
            <v>17480</v>
          </cell>
          <cell r="I654" t="str">
            <v>〃</v>
          </cell>
          <cell r="L654">
            <v>17480</v>
          </cell>
        </row>
        <row r="655">
          <cell r="B655" t="str">
            <v>〃</v>
          </cell>
          <cell r="C655" t="str">
            <v xml:space="preserve"> F21</v>
          </cell>
          <cell r="E655" t="str">
            <v>〃</v>
          </cell>
          <cell r="F655">
            <v>2</v>
          </cell>
          <cell r="G655">
            <v>6720</v>
          </cell>
          <cell r="H655">
            <v>13440</v>
          </cell>
          <cell r="I655" t="str">
            <v>〃</v>
          </cell>
          <cell r="L655">
            <v>13440</v>
          </cell>
        </row>
        <row r="656">
          <cell r="B656" t="str">
            <v>〃</v>
          </cell>
          <cell r="C656" t="str">
            <v xml:space="preserve"> G131</v>
          </cell>
          <cell r="E656" t="str">
            <v>〃</v>
          </cell>
          <cell r="F656">
            <v>3</v>
          </cell>
          <cell r="G656">
            <v>12000</v>
          </cell>
          <cell r="H656">
            <v>36000</v>
          </cell>
          <cell r="I656" t="str">
            <v>〃</v>
          </cell>
          <cell r="L656">
            <v>36000</v>
          </cell>
        </row>
        <row r="657">
          <cell r="B657" t="str">
            <v>誘導標識板</v>
          </cell>
          <cell r="C657" t="str">
            <v xml:space="preserve"> I</v>
          </cell>
          <cell r="E657" t="str">
            <v>枚</v>
          </cell>
          <cell r="F657">
            <v>2</v>
          </cell>
          <cell r="G657">
            <v>2280</v>
          </cell>
          <cell r="H657">
            <v>4560</v>
          </cell>
          <cell r="I657" t="str">
            <v>〃</v>
          </cell>
        </row>
        <row r="658">
          <cell r="H658">
            <v>0</v>
          </cell>
        </row>
        <row r="659">
          <cell r="B659" t="str">
            <v>カバープレート</v>
          </cell>
          <cell r="C659" t="str">
            <v xml:space="preserve"> 角</v>
          </cell>
          <cell r="E659" t="str">
            <v>枚</v>
          </cell>
          <cell r="F659">
            <v>1</v>
          </cell>
          <cell r="G659">
            <v>450</v>
          </cell>
          <cell r="H659">
            <v>450</v>
          </cell>
          <cell r="I659" t="str">
            <v>複合−１</v>
          </cell>
        </row>
        <row r="660">
          <cell r="H660">
            <v>0</v>
          </cell>
        </row>
        <row r="661">
          <cell r="H661">
            <v>0</v>
          </cell>
        </row>
        <row r="662">
          <cell r="H662">
            <v>0</v>
          </cell>
        </row>
        <row r="663">
          <cell r="H663">
            <v>0</v>
          </cell>
        </row>
        <row r="664">
          <cell r="H664">
            <v>0</v>
          </cell>
        </row>
        <row r="665">
          <cell r="H665">
            <v>0</v>
          </cell>
        </row>
        <row r="666">
          <cell r="H666">
            <v>0</v>
          </cell>
        </row>
        <row r="667">
          <cell r="H667">
            <v>0</v>
          </cell>
        </row>
        <row r="668">
          <cell r="B668" t="str">
            <v>合計</v>
          </cell>
          <cell r="H668">
            <v>712040</v>
          </cell>
          <cell r="L668">
            <v>595340</v>
          </cell>
        </row>
        <row r="669">
          <cell r="A669">
            <v>3</v>
          </cell>
          <cell r="B669" t="str">
            <v>弱電設備</v>
          </cell>
          <cell r="H669">
            <v>0</v>
          </cell>
        </row>
        <row r="670">
          <cell r="H670">
            <v>0</v>
          </cell>
        </row>
        <row r="671">
          <cell r="B671" t="str">
            <v>電線管（隠蔽）</v>
          </cell>
          <cell r="C671" t="str">
            <v xml:space="preserve"> PF16</v>
          </cell>
          <cell r="E671" t="str">
            <v>ｍ</v>
          </cell>
          <cell r="F671">
            <v>17</v>
          </cell>
          <cell r="G671">
            <v>590</v>
          </cell>
          <cell r="H671">
            <v>10030</v>
          </cell>
          <cell r="I671" t="str">
            <v>市場 P-22</v>
          </cell>
        </row>
        <row r="672">
          <cell r="H672">
            <v>0</v>
          </cell>
        </row>
        <row r="673">
          <cell r="B673" t="str">
            <v>アウトレットボックス</v>
          </cell>
          <cell r="C673" t="str">
            <v xml:space="preserve"> O.B102ﾟ-44</v>
          </cell>
          <cell r="E673" t="str">
            <v>個</v>
          </cell>
          <cell r="F673">
            <v>5</v>
          </cell>
          <cell r="G673">
            <v>1770</v>
          </cell>
          <cell r="H673">
            <v>8850</v>
          </cell>
          <cell r="I673" t="str">
            <v>市場 P-30</v>
          </cell>
        </row>
        <row r="674">
          <cell r="B674" t="str">
            <v>プルボックス</v>
          </cell>
          <cell r="C674" t="str">
            <v xml:space="preserve"> P.B150ﾟx100(SUS,WP)</v>
          </cell>
          <cell r="E674" t="str">
            <v>〃</v>
          </cell>
          <cell r="F674">
            <v>1</v>
          </cell>
          <cell r="G674">
            <v>7560</v>
          </cell>
          <cell r="H674">
            <v>7560</v>
          </cell>
          <cell r="I674" t="str">
            <v>複合−１</v>
          </cell>
        </row>
        <row r="675">
          <cell r="H675">
            <v>0</v>
          </cell>
        </row>
        <row r="676">
          <cell r="B676" t="str">
            <v>ケーブル（管内）</v>
          </cell>
          <cell r="C676" t="str">
            <v xml:space="preserve"> S-5C-FB</v>
          </cell>
          <cell r="E676" t="str">
            <v>ｍ</v>
          </cell>
          <cell r="F676">
            <v>5</v>
          </cell>
          <cell r="G676">
            <v>450</v>
          </cell>
          <cell r="H676">
            <v>2250</v>
          </cell>
          <cell r="I676" t="str">
            <v>P-410</v>
          </cell>
        </row>
        <row r="677">
          <cell r="B677" t="str">
            <v>〃</v>
          </cell>
          <cell r="C677" t="str">
            <v xml:space="preserve"> AE 0.9-2C</v>
          </cell>
          <cell r="E677" t="str">
            <v>〃</v>
          </cell>
          <cell r="F677">
            <v>1</v>
          </cell>
          <cell r="G677">
            <v>190</v>
          </cell>
          <cell r="H677">
            <v>190</v>
          </cell>
          <cell r="I677" t="str">
            <v>P-478</v>
          </cell>
        </row>
        <row r="678">
          <cell r="B678" t="str">
            <v>ケーブル（隠蔽）</v>
          </cell>
          <cell r="C678" t="str">
            <v xml:space="preserve"> S-5C-FB</v>
          </cell>
          <cell r="E678" t="str">
            <v>〃</v>
          </cell>
          <cell r="F678">
            <v>4</v>
          </cell>
          <cell r="G678">
            <v>430</v>
          </cell>
          <cell r="H678">
            <v>1720</v>
          </cell>
          <cell r="I678" t="str">
            <v>複合−２</v>
          </cell>
        </row>
        <row r="679">
          <cell r="H679">
            <v>0</v>
          </cell>
        </row>
        <row r="680">
          <cell r="B680" t="str">
            <v>直列ユニット</v>
          </cell>
          <cell r="C680" t="str">
            <v xml:space="preserve"> 端末</v>
          </cell>
          <cell r="E680" t="str">
            <v>組</v>
          </cell>
          <cell r="F680">
            <v>1</v>
          </cell>
          <cell r="G680">
            <v>4520</v>
          </cell>
          <cell r="H680">
            <v>4520</v>
          </cell>
          <cell r="I680" t="str">
            <v>複合−３</v>
          </cell>
        </row>
        <row r="681">
          <cell r="B681" t="str">
            <v>ガス漏れ検知器</v>
          </cell>
          <cell r="C681" t="str">
            <v xml:space="preserve"> LPG 100V</v>
          </cell>
          <cell r="E681" t="str">
            <v>個</v>
          </cell>
          <cell r="F681">
            <v>1</v>
          </cell>
          <cell r="G681">
            <v>6700</v>
          </cell>
          <cell r="H681">
            <v>6700</v>
          </cell>
          <cell r="I681" t="str">
            <v>〃</v>
          </cell>
        </row>
        <row r="682">
          <cell r="H682">
            <v>0</v>
          </cell>
        </row>
        <row r="683">
          <cell r="B683" t="str">
            <v>ノズルプレート</v>
          </cell>
          <cell r="C683" t="str">
            <v xml:space="preserve"> 角</v>
          </cell>
          <cell r="E683" t="str">
            <v>枚</v>
          </cell>
          <cell r="F683">
            <v>1</v>
          </cell>
          <cell r="G683">
            <v>450</v>
          </cell>
          <cell r="H683">
            <v>450</v>
          </cell>
          <cell r="I683" t="str">
            <v>複合−１</v>
          </cell>
        </row>
        <row r="684">
          <cell r="B684" t="str">
            <v>防雨入線カバー</v>
          </cell>
          <cell r="E684" t="str">
            <v>個</v>
          </cell>
          <cell r="F684">
            <v>1</v>
          </cell>
          <cell r="G684">
            <v>700</v>
          </cell>
          <cell r="H684">
            <v>700</v>
          </cell>
          <cell r="I684" t="str">
            <v>〃</v>
          </cell>
        </row>
        <row r="685">
          <cell r="H685">
            <v>0</v>
          </cell>
        </row>
        <row r="686">
          <cell r="H686">
            <v>0</v>
          </cell>
        </row>
        <row r="687">
          <cell r="H687">
            <v>0</v>
          </cell>
        </row>
        <row r="688">
          <cell r="H688">
            <v>0</v>
          </cell>
        </row>
        <row r="689">
          <cell r="H689">
            <v>0</v>
          </cell>
        </row>
        <row r="690">
          <cell r="H690">
            <v>0</v>
          </cell>
        </row>
        <row r="691">
          <cell r="B691" t="str">
            <v>合計</v>
          </cell>
          <cell r="H691">
            <v>42970</v>
          </cell>
          <cell r="L691">
            <v>0</v>
          </cell>
        </row>
        <row r="692">
          <cell r="A692">
            <v>4</v>
          </cell>
          <cell r="B692" t="str">
            <v>構内外線設備</v>
          </cell>
          <cell r="H692">
            <v>0</v>
          </cell>
        </row>
        <row r="693">
          <cell r="H693">
            <v>0</v>
          </cell>
        </row>
        <row r="694">
          <cell r="B694" t="str">
            <v>電線管（地中）</v>
          </cell>
          <cell r="C694" t="str">
            <v xml:space="preserve"> FEP30</v>
          </cell>
          <cell r="E694" t="str">
            <v>ｍ</v>
          </cell>
          <cell r="F694">
            <v>33</v>
          </cell>
          <cell r="G694">
            <v>740</v>
          </cell>
          <cell r="H694">
            <v>24420</v>
          </cell>
          <cell r="I694" t="str">
            <v>P-412</v>
          </cell>
        </row>
        <row r="695">
          <cell r="B695" t="str">
            <v>〃</v>
          </cell>
          <cell r="C695" t="str">
            <v xml:space="preserve"> FEP40</v>
          </cell>
          <cell r="E695" t="str">
            <v>〃</v>
          </cell>
          <cell r="F695">
            <v>8</v>
          </cell>
          <cell r="G695">
            <v>850</v>
          </cell>
          <cell r="H695">
            <v>6800</v>
          </cell>
          <cell r="I695" t="str">
            <v>〃</v>
          </cell>
        </row>
        <row r="696">
          <cell r="H696">
            <v>0</v>
          </cell>
        </row>
        <row r="697">
          <cell r="B697" t="str">
            <v>電線管（管内）</v>
          </cell>
          <cell r="C697" t="str">
            <v xml:space="preserve"> IV 2.0 x1</v>
          </cell>
          <cell r="E697" t="str">
            <v>ｍ</v>
          </cell>
          <cell r="F697">
            <v>8</v>
          </cell>
          <cell r="G697">
            <v>190</v>
          </cell>
          <cell r="H697">
            <v>1520</v>
          </cell>
          <cell r="I697" t="str">
            <v>P-387</v>
          </cell>
        </row>
        <row r="698">
          <cell r="B698" t="str">
            <v>ケーブル（管内）</v>
          </cell>
          <cell r="C698" t="str">
            <v xml:space="preserve"> CV 3.5ﾟ-2C</v>
          </cell>
          <cell r="E698" t="str">
            <v>〃</v>
          </cell>
          <cell r="F698">
            <v>18</v>
          </cell>
          <cell r="G698">
            <v>370</v>
          </cell>
          <cell r="H698">
            <v>6660</v>
          </cell>
          <cell r="I698" t="str">
            <v>P-390</v>
          </cell>
        </row>
        <row r="699">
          <cell r="B699" t="str">
            <v>〃</v>
          </cell>
          <cell r="C699" t="str">
            <v xml:space="preserve"> CV 22ﾟ-3C</v>
          </cell>
          <cell r="E699" t="str">
            <v>〃</v>
          </cell>
          <cell r="F699">
            <v>8</v>
          </cell>
          <cell r="G699">
            <v>1250</v>
          </cell>
          <cell r="H699">
            <v>10000</v>
          </cell>
          <cell r="I699" t="str">
            <v>〃</v>
          </cell>
        </row>
        <row r="700">
          <cell r="B700" t="str">
            <v>〃</v>
          </cell>
          <cell r="C700" t="str">
            <v xml:space="preserve"> SV 22ﾟ-3C</v>
          </cell>
          <cell r="E700" t="str">
            <v>〃</v>
          </cell>
          <cell r="F700">
            <v>5</v>
          </cell>
          <cell r="G700">
            <v>1100</v>
          </cell>
          <cell r="H700">
            <v>5500</v>
          </cell>
          <cell r="I700" t="str">
            <v>P-459</v>
          </cell>
        </row>
        <row r="701">
          <cell r="B701" t="str">
            <v>〃</v>
          </cell>
          <cell r="C701" t="str">
            <v xml:space="preserve"> S-5C-FB</v>
          </cell>
          <cell r="E701" t="str">
            <v>〃</v>
          </cell>
          <cell r="F701">
            <v>8</v>
          </cell>
          <cell r="G701">
            <v>450</v>
          </cell>
          <cell r="H701">
            <v>3600</v>
          </cell>
          <cell r="I701" t="str">
            <v>P-410</v>
          </cell>
        </row>
        <row r="702">
          <cell r="B702" t="str">
            <v>〃</v>
          </cell>
          <cell r="C702" t="str">
            <v xml:space="preserve"> S-7C-HFL-SS</v>
          </cell>
          <cell r="E702" t="str">
            <v>〃</v>
          </cell>
          <cell r="F702">
            <v>5</v>
          </cell>
          <cell r="G702">
            <v>720</v>
          </cell>
          <cell r="H702">
            <v>3600</v>
          </cell>
          <cell r="I702" t="str">
            <v>複合−２</v>
          </cell>
        </row>
        <row r="703">
          <cell r="B703" t="str">
            <v>ケーブル（架空）</v>
          </cell>
          <cell r="C703" t="str">
            <v xml:space="preserve"> S-7C-HFL-SS</v>
          </cell>
          <cell r="E703" t="str">
            <v>〃</v>
          </cell>
          <cell r="F703">
            <v>23</v>
          </cell>
          <cell r="G703">
            <v>580</v>
          </cell>
          <cell r="H703">
            <v>13340</v>
          </cell>
          <cell r="I703" t="str">
            <v>〃</v>
          </cell>
        </row>
        <row r="704">
          <cell r="H704">
            <v>0</v>
          </cell>
        </row>
        <row r="705">
          <cell r="B705" t="str">
            <v>引込柱</v>
          </cell>
          <cell r="C705" t="str">
            <v xml:space="preserve"> 7.4m</v>
          </cell>
          <cell r="E705" t="str">
            <v>本</v>
          </cell>
          <cell r="F705">
            <v>1</v>
          </cell>
          <cell r="G705">
            <v>125000</v>
          </cell>
          <cell r="H705">
            <v>125000</v>
          </cell>
          <cell r="I705" t="str">
            <v>複合−１</v>
          </cell>
        </row>
        <row r="706">
          <cell r="B706" t="str">
            <v>同上基礎</v>
          </cell>
          <cell r="C706" t="str">
            <v xml:space="preserve"> 600x600x1300</v>
          </cell>
          <cell r="E706" t="str">
            <v>基</v>
          </cell>
          <cell r="F706">
            <v>1</v>
          </cell>
          <cell r="G706">
            <v>23000</v>
          </cell>
          <cell r="H706">
            <v>23000</v>
          </cell>
          <cell r="I706" t="str">
            <v>複合−４</v>
          </cell>
        </row>
        <row r="707">
          <cell r="B707" t="str">
            <v>引込柱盤</v>
          </cell>
          <cell r="C707" t="str">
            <v xml:space="preserve"> L-0</v>
          </cell>
          <cell r="E707" t="str">
            <v>面</v>
          </cell>
          <cell r="F707">
            <v>1</v>
          </cell>
          <cell r="G707">
            <v>44100</v>
          </cell>
          <cell r="H707">
            <v>44100</v>
          </cell>
          <cell r="I707" t="str">
            <v>複合−３</v>
          </cell>
        </row>
        <row r="708">
          <cell r="H708">
            <v>0</v>
          </cell>
        </row>
        <row r="709">
          <cell r="B709" t="str">
            <v>外灯</v>
          </cell>
          <cell r="C709" t="str">
            <v xml:space="preserve"> H401</v>
          </cell>
          <cell r="E709" t="str">
            <v>台</v>
          </cell>
          <cell r="F709">
            <v>1</v>
          </cell>
          <cell r="G709">
            <v>74700</v>
          </cell>
          <cell r="H709">
            <v>74700</v>
          </cell>
          <cell r="I709" t="str">
            <v>複合−１</v>
          </cell>
          <cell r="L709">
            <v>74700</v>
          </cell>
        </row>
        <row r="710">
          <cell r="B710" t="str">
            <v>外灯ポール</v>
          </cell>
          <cell r="C710" t="str">
            <v xml:space="preserve"> GL+4.5m</v>
          </cell>
          <cell r="E710" t="str">
            <v>本</v>
          </cell>
          <cell r="F710">
            <v>1</v>
          </cell>
          <cell r="G710">
            <v>55800</v>
          </cell>
          <cell r="H710">
            <v>55800</v>
          </cell>
          <cell r="I710" t="str">
            <v>〃</v>
          </cell>
          <cell r="L710">
            <v>55800</v>
          </cell>
        </row>
        <row r="711">
          <cell r="B711" t="str">
            <v>同上基礎</v>
          </cell>
          <cell r="C711" t="str">
            <v xml:space="preserve"> 600x600x1300</v>
          </cell>
          <cell r="E711" t="str">
            <v>基</v>
          </cell>
          <cell r="F711">
            <v>1</v>
          </cell>
          <cell r="G711">
            <v>23000</v>
          </cell>
          <cell r="H711">
            <v>23000</v>
          </cell>
          <cell r="I711" t="str">
            <v>複合−４</v>
          </cell>
        </row>
        <row r="712">
          <cell r="H712">
            <v>0</v>
          </cell>
        </row>
        <row r="713">
          <cell r="H713">
            <v>0</v>
          </cell>
        </row>
        <row r="714">
          <cell r="H714">
            <v>0</v>
          </cell>
        </row>
        <row r="715">
          <cell r="B715" t="str">
            <v>鋼管柱</v>
          </cell>
          <cell r="C715" t="str">
            <v xml:space="preserve"> 8m</v>
          </cell>
          <cell r="E715" t="str">
            <v>本</v>
          </cell>
          <cell r="F715">
            <v>1</v>
          </cell>
          <cell r="G715">
            <v>68400</v>
          </cell>
          <cell r="H715">
            <v>68400</v>
          </cell>
          <cell r="I715" t="str">
            <v>複合−１</v>
          </cell>
        </row>
        <row r="716">
          <cell r="B716" t="str">
            <v>支線</v>
          </cell>
          <cell r="C716" t="str">
            <v xml:space="preserve"> 14ﾟ</v>
          </cell>
          <cell r="E716" t="str">
            <v>組</v>
          </cell>
          <cell r="F716">
            <v>1</v>
          </cell>
          <cell r="G716">
            <v>18700</v>
          </cell>
          <cell r="H716">
            <v>18700</v>
          </cell>
          <cell r="I716" t="str">
            <v>複合−５</v>
          </cell>
        </row>
        <row r="717">
          <cell r="B717" t="str">
            <v>４分配器</v>
          </cell>
          <cell r="C717" t="str">
            <v xml:space="preserve"> 防水型</v>
          </cell>
          <cell r="E717" t="str">
            <v>個</v>
          </cell>
          <cell r="F717">
            <v>1</v>
          </cell>
          <cell r="G717">
            <v>13200</v>
          </cell>
          <cell r="H717">
            <v>13200</v>
          </cell>
          <cell r="I717" t="str">
            <v>複合−３</v>
          </cell>
        </row>
        <row r="718">
          <cell r="B718" t="str">
            <v>２分配器</v>
          </cell>
          <cell r="C718" t="str">
            <v xml:space="preserve"> 撤去</v>
          </cell>
          <cell r="E718" t="str">
            <v>〃</v>
          </cell>
          <cell r="F718">
            <v>1</v>
          </cell>
          <cell r="G718">
            <v>1750</v>
          </cell>
          <cell r="H718">
            <v>1750</v>
          </cell>
          <cell r="I718" t="str">
            <v>〃</v>
          </cell>
        </row>
        <row r="719">
          <cell r="B719" t="str">
            <v>保安器</v>
          </cell>
          <cell r="C719" t="str">
            <v>　ＴＶ用</v>
          </cell>
          <cell r="E719" t="str">
            <v>〃</v>
          </cell>
          <cell r="F719">
            <v>1</v>
          </cell>
          <cell r="G719">
            <v>6270</v>
          </cell>
          <cell r="H719">
            <v>6270</v>
          </cell>
          <cell r="I719" t="str">
            <v>〃</v>
          </cell>
        </row>
        <row r="720">
          <cell r="B720" t="str">
            <v>接地工事</v>
          </cell>
          <cell r="C720" t="str">
            <v xml:space="preserve"> ED</v>
          </cell>
          <cell r="E720" t="str">
            <v>箇所</v>
          </cell>
          <cell r="F720">
            <v>4</v>
          </cell>
          <cell r="G720">
            <v>11400</v>
          </cell>
          <cell r="H720">
            <v>45600</v>
          </cell>
          <cell r="I720" t="str">
            <v>複合−２</v>
          </cell>
        </row>
        <row r="721">
          <cell r="H721">
            <v>0</v>
          </cell>
        </row>
        <row r="722">
          <cell r="B722" t="str">
            <v>埋設シート</v>
          </cell>
          <cell r="E722" t="str">
            <v>ｍ</v>
          </cell>
          <cell r="F722">
            <v>20</v>
          </cell>
          <cell r="G722">
            <v>150</v>
          </cell>
          <cell r="H722">
            <v>3000</v>
          </cell>
          <cell r="I722" t="str">
            <v>複合−２</v>
          </cell>
        </row>
        <row r="723">
          <cell r="H723">
            <v>0</v>
          </cell>
        </row>
        <row r="724">
          <cell r="B724" t="str">
            <v>土工事</v>
          </cell>
          <cell r="E724" t="str">
            <v>式</v>
          </cell>
          <cell r="F724">
            <v>1</v>
          </cell>
          <cell r="G724">
            <v>10300</v>
          </cell>
          <cell r="H724">
            <v>10300</v>
          </cell>
          <cell r="I724" t="str">
            <v>複合−６</v>
          </cell>
        </row>
        <row r="725">
          <cell r="H725">
            <v>0</v>
          </cell>
        </row>
        <row r="726">
          <cell r="H726">
            <v>0</v>
          </cell>
        </row>
        <row r="727">
          <cell r="H727">
            <v>0</v>
          </cell>
        </row>
        <row r="728">
          <cell r="H728">
            <v>0</v>
          </cell>
        </row>
        <row r="729">
          <cell r="H729">
            <v>0</v>
          </cell>
        </row>
        <row r="730">
          <cell r="H730">
            <v>0</v>
          </cell>
        </row>
        <row r="731">
          <cell r="H731">
            <v>0</v>
          </cell>
        </row>
        <row r="732">
          <cell r="H732">
            <v>0</v>
          </cell>
        </row>
        <row r="733">
          <cell r="H733">
            <v>0</v>
          </cell>
        </row>
        <row r="734">
          <cell r="H734">
            <v>0</v>
          </cell>
        </row>
        <row r="735">
          <cell r="H735">
            <v>0</v>
          </cell>
        </row>
        <row r="736">
          <cell r="H736">
            <v>0</v>
          </cell>
        </row>
        <row r="737">
          <cell r="B737" t="str">
            <v>合計</v>
          </cell>
          <cell r="H737">
            <v>588260</v>
          </cell>
          <cell r="L737">
            <v>130500</v>
          </cell>
        </row>
        <row r="738">
          <cell r="A738" t="str">
            <v>C</v>
          </cell>
          <cell r="B738" t="str">
            <v>機械設備工事</v>
          </cell>
        </row>
        <row r="740">
          <cell r="A740" t="str">
            <v>１</v>
          </cell>
          <cell r="B740" t="str">
            <v>暖房設備</v>
          </cell>
          <cell r="E740" t="str">
            <v>式</v>
          </cell>
          <cell r="F740">
            <v>1</v>
          </cell>
          <cell r="H740">
            <v>493700</v>
          </cell>
          <cell r="L740">
            <v>434200</v>
          </cell>
        </row>
        <row r="741">
          <cell r="A741" t="str">
            <v>２</v>
          </cell>
          <cell r="B741" t="str">
            <v>換気設備</v>
          </cell>
          <cell r="E741" t="str">
            <v>式</v>
          </cell>
          <cell r="F741">
            <v>1</v>
          </cell>
          <cell r="H741">
            <v>297420</v>
          </cell>
          <cell r="L741">
            <v>0</v>
          </cell>
        </row>
        <row r="742">
          <cell r="A742" t="str">
            <v>３</v>
          </cell>
          <cell r="B742" t="str">
            <v>油送設備</v>
          </cell>
          <cell r="E742" t="str">
            <v>式</v>
          </cell>
          <cell r="F742">
            <v>1</v>
          </cell>
          <cell r="H742">
            <v>100630</v>
          </cell>
          <cell r="L742">
            <v>31200</v>
          </cell>
        </row>
        <row r="743">
          <cell r="A743" t="str">
            <v>４</v>
          </cell>
          <cell r="B743" t="str">
            <v>衛生器具設備</v>
          </cell>
          <cell r="E743" t="str">
            <v>式</v>
          </cell>
          <cell r="F743">
            <v>1</v>
          </cell>
          <cell r="H743">
            <v>494360</v>
          </cell>
          <cell r="L743">
            <v>349160</v>
          </cell>
        </row>
        <row r="744">
          <cell r="A744" t="str">
            <v>５</v>
          </cell>
          <cell r="B744" t="str">
            <v>屋内給水設備</v>
          </cell>
          <cell r="E744" t="str">
            <v>式</v>
          </cell>
          <cell r="F744">
            <v>1</v>
          </cell>
          <cell r="H744">
            <v>175770</v>
          </cell>
        </row>
        <row r="745">
          <cell r="A745" t="str">
            <v>６</v>
          </cell>
          <cell r="B745" t="str">
            <v>屋外給水設備</v>
          </cell>
          <cell r="E745" t="str">
            <v>式</v>
          </cell>
          <cell r="F745">
            <v>1</v>
          </cell>
          <cell r="H745">
            <v>130850</v>
          </cell>
        </row>
        <row r="746">
          <cell r="A746" t="str">
            <v>７</v>
          </cell>
          <cell r="B746" t="str">
            <v>屋内排水設備</v>
          </cell>
          <cell r="E746" t="str">
            <v>式</v>
          </cell>
          <cell r="F746">
            <v>1</v>
          </cell>
          <cell r="H746">
            <v>167910</v>
          </cell>
        </row>
        <row r="747">
          <cell r="A747" t="str">
            <v>８</v>
          </cell>
          <cell r="B747" t="str">
            <v>屋外排水設備</v>
          </cell>
          <cell r="E747" t="str">
            <v>式</v>
          </cell>
          <cell r="F747">
            <v>1</v>
          </cell>
          <cell r="H747">
            <v>87740</v>
          </cell>
        </row>
        <row r="748">
          <cell r="A748" t="str">
            <v>９</v>
          </cell>
          <cell r="B748" t="str">
            <v>給湯設備</v>
          </cell>
          <cell r="E748" t="str">
            <v>式</v>
          </cell>
          <cell r="F748">
            <v>1</v>
          </cell>
          <cell r="H748">
            <v>93760</v>
          </cell>
          <cell r="L748">
            <v>65600</v>
          </cell>
        </row>
        <row r="749">
          <cell r="A749" t="str">
            <v>１０</v>
          </cell>
          <cell r="B749" t="str">
            <v>ガス設備</v>
          </cell>
          <cell r="E749" t="str">
            <v>式</v>
          </cell>
          <cell r="F749">
            <v>1</v>
          </cell>
          <cell r="H749">
            <v>50110</v>
          </cell>
        </row>
        <row r="760">
          <cell r="B760" t="str">
            <v>合計</v>
          </cell>
          <cell r="H760">
            <v>2092250</v>
          </cell>
          <cell r="L760">
            <v>880160</v>
          </cell>
          <cell r="M760">
            <v>572104</v>
          </cell>
          <cell r="N760">
            <v>1520146</v>
          </cell>
        </row>
        <row r="761">
          <cell r="A761" t="str">
            <v>１</v>
          </cell>
          <cell r="B761" t="str">
            <v>暖房設備</v>
          </cell>
          <cell r="H761">
            <v>0</v>
          </cell>
        </row>
        <row r="762">
          <cell r="H762">
            <v>0</v>
          </cell>
        </row>
        <row r="763">
          <cell r="B763" t="str">
            <v>ＦＦ温風暖房機</v>
          </cell>
          <cell r="C763" t="str">
            <v>６３７０ＫｃａＬ／ｈ</v>
          </cell>
          <cell r="E763" t="str">
            <v>台</v>
          </cell>
          <cell r="F763">
            <v>2</v>
          </cell>
          <cell r="G763">
            <v>116000</v>
          </cell>
          <cell r="H763">
            <v>232000</v>
          </cell>
          <cell r="I763" t="str">
            <v>見積１</v>
          </cell>
          <cell r="L763">
            <v>232000</v>
          </cell>
        </row>
        <row r="764">
          <cell r="B764" t="str">
            <v>　　　〃</v>
          </cell>
          <cell r="C764" t="str">
            <v>３６４０ＫｃａＬ／ｈ</v>
          </cell>
          <cell r="E764" t="str">
            <v>〃</v>
          </cell>
          <cell r="F764">
            <v>1</v>
          </cell>
          <cell r="G764">
            <v>74200</v>
          </cell>
          <cell r="H764">
            <v>74200</v>
          </cell>
          <cell r="I764" t="str">
            <v>見積２</v>
          </cell>
          <cell r="L764">
            <v>74200</v>
          </cell>
        </row>
        <row r="765">
          <cell r="B765" t="str">
            <v>電気ヒーター</v>
          </cell>
          <cell r="C765" t="str">
            <v>２５０ｗ　ＳＵＳケーシング</v>
          </cell>
          <cell r="E765" t="str">
            <v>〃</v>
          </cell>
          <cell r="F765">
            <v>2</v>
          </cell>
          <cell r="G765">
            <v>64000</v>
          </cell>
          <cell r="H765">
            <v>128000</v>
          </cell>
          <cell r="I765" t="str">
            <v>見積３</v>
          </cell>
          <cell r="L765">
            <v>128000</v>
          </cell>
        </row>
        <row r="766">
          <cell r="H766">
            <v>0</v>
          </cell>
        </row>
        <row r="767">
          <cell r="B767" t="str">
            <v>器具取り付け費</v>
          </cell>
          <cell r="E767" t="str">
            <v>式</v>
          </cell>
          <cell r="F767">
            <v>1</v>
          </cell>
          <cell r="G767">
            <v>59500</v>
          </cell>
          <cell r="H767">
            <v>59500</v>
          </cell>
          <cell r="I767" t="str">
            <v>調書１</v>
          </cell>
        </row>
        <row r="768">
          <cell r="H768">
            <v>0</v>
          </cell>
        </row>
        <row r="769">
          <cell r="H769">
            <v>0</v>
          </cell>
        </row>
        <row r="770">
          <cell r="H770">
            <v>0</v>
          </cell>
        </row>
        <row r="771">
          <cell r="H771">
            <v>0</v>
          </cell>
        </row>
        <row r="772">
          <cell r="H772">
            <v>0</v>
          </cell>
        </row>
        <row r="773">
          <cell r="H773">
            <v>0</v>
          </cell>
        </row>
        <row r="774">
          <cell r="H774">
            <v>0</v>
          </cell>
        </row>
        <row r="775">
          <cell r="H775">
            <v>0</v>
          </cell>
        </row>
        <row r="776">
          <cell r="H776">
            <v>0</v>
          </cell>
        </row>
        <row r="777">
          <cell r="H777">
            <v>0</v>
          </cell>
        </row>
        <row r="778">
          <cell r="H778">
            <v>0</v>
          </cell>
        </row>
        <row r="779">
          <cell r="H779">
            <v>0</v>
          </cell>
        </row>
        <row r="780">
          <cell r="H780">
            <v>0</v>
          </cell>
        </row>
        <row r="781">
          <cell r="H781">
            <v>0</v>
          </cell>
        </row>
        <row r="782">
          <cell r="H782">
            <v>0</v>
          </cell>
        </row>
        <row r="783">
          <cell r="B783" t="str">
            <v>合計</v>
          </cell>
          <cell r="H783">
            <v>493700</v>
          </cell>
          <cell r="L783">
            <v>434200</v>
          </cell>
        </row>
        <row r="784">
          <cell r="A784" t="str">
            <v>２</v>
          </cell>
          <cell r="B784" t="str">
            <v>換気設備</v>
          </cell>
          <cell r="H784">
            <v>0</v>
          </cell>
        </row>
        <row r="785">
          <cell r="H785">
            <v>0</v>
          </cell>
        </row>
        <row r="786">
          <cell r="B786" t="str">
            <v>天井扇</v>
          </cell>
          <cell r="C786" t="str">
            <v>低騒音４００ｍ3／ｈ</v>
          </cell>
          <cell r="E786" t="str">
            <v>台</v>
          </cell>
          <cell r="F786">
            <v>2</v>
          </cell>
          <cell r="G786">
            <v>22600</v>
          </cell>
          <cell r="H786">
            <v>45200</v>
          </cell>
        </row>
        <row r="787">
          <cell r="B787" t="str">
            <v>　 〃</v>
          </cell>
          <cell r="C787" t="str">
            <v>人感センサー１３０ｍ3／ｈ</v>
          </cell>
          <cell r="E787" t="str">
            <v>〃</v>
          </cell>
          <cell r="F787">
            <v>2</v>
          </cell>
          <cell r="G787">
            <v>18400</v>
          </cell>
          <cell r="H787">
            <v>36800</v>
          </cell>
        </row>
        <row r="788">
          <cell r="B788" t="str">
            <v>レンジフード</v>
          </cell>
          <cell r="C788" t="str">
            <v>ブース深型９０ｃｍ</v>
          </cell>
          <cell r="E788" t="str">
            <v>〃</v>
          </cell>
          <cell r="F788">
            <v>1</v>
          </cell>
          <cell r="G788">
            <v>77800</v>
          </cell>
          <cell r="H788">
            <v>77800</v>
          </cell>
        </row>
        <row r="789">
          <cell r="B789" t="str">
            <v>　　深型フード</v>
          </cell>
          <cell r="C789" t="str">
            <v>ＳＵＳ１５０φ</v>
          </cell>
          <cell r="E789" t="str">
            <v>ヶ</v>
          </cell>
          <cell r="F789">
            <v>3</v>
          </cell>
          <cell r="G789">
            <v>7120</v>
          </cell>
          <cell r="H789">
            <v>21360</v>
          </cell>
        </row>
        <row r="790">
          <cell r="B790" t="str">
            <v>　　　　〃</v>
          </cell>
          <cell r="C790" t="str">
            <v>ＳＵＳ１００φ</v>
          </cell>
          <cell r="E790" t="str">
            <v>〃</v>
          </cell>
          <cell r="F790">
            <v>2</v>
          </cell>
          <cell r="G790">
            <v>5200</v>
          </cell>
          <cell r="H790">
            <v>10400</v>
          </cell>
        </row>
        <row r="791">
          <cell r="B791" t="str">
            <v>　　強弱スイッチ</v>
          </cell>
          <cell r="E791" t="str">
            <v>〃</v>
          </cell>
          <cell r="F791">
            <v>2</v>
          </cell>
          <cell r="G791">
            <v>2120</v>
          </cell>
          <cell r="H791">
            <v>4240</v>
          </cell>
        </row>
        <row r="792">
          <cell r="H792">
            <v>0</v>
          </cell>
        </row>
        <row r="793">
          <cell r="B793" t="str">
            <v>ダクト工事</v>
          </cell>
          <cell r="C793" t="str">
            <v>スパイラル１５０φ</v>
          </cell>
          <cell r="E793" t="str">
            <v>ｍ</v>
          </cell>
          <cell r="F793">
            <v>7</v>
          </cell>
          <cell r="G793">
            <v>3540</v>
          </cell>
          <cell r="H793">
            <v>24780</v>
          </cell>
        </row>
        <row r="794">
          <cell r="B794" t="str">
            <v>　　〃</v>
          </cell>
          <cell r="C794" t="str">
            <v>スパイラル１００φ</v>
          </cell>
          <cell r="E794" t="str">
            <v>〃</v>
          </cell>
          <cell r="F794">
            <v>2</v>
          </cell>
          <cell r="G794">
            <v>2970</v>
          </cell>
          <cell r="H794">
            <v>5940</v>
          </cell>
        </row>
        <row r="795">
          <cell r="B795" t="str">
            <v>保温工事</v>
          </cell>
          <cell r="E795" t="str">
            <v>式</v>
          </cell>
          <cell r="F795">
            <v>1</v>
          </cell>
          <cell r="G795">
            <v>11700</v>
          </cell>
          <cell r="H795">
            <v>11700</v>
          </cell>
        </row>
        <row r="796">
          <cell r="B796" t="str">
            <v>器具取り付け費</v>
          </cell>
          <cell r="E796" t="str">
            <v>〃</v>
          </cell>
          <cell r="F796">
            <v>1</v>
          </cell>
          <cell r="G796">
            <v>59200</v>
          </cell>
          <cell r="H796">
            <v>59200</v>
          </cell>
        </row>
        <row r="797">
          <cell r="H797">
            <v>0</v>
          </cell>
        </row>
        <row r="798">
          <cell r="H798">
            <v>0</v>
          </cell>
        </row>
        <row r="799">
          <cell r="H799">
            <v>0</v>
          </cell>
        </row>
        <row r="800">
          <cell r="H800">
            <v>0</v>
          </cell>
        </row>
        <row r="801">
          <cell r="H801">
            <v>0</v>
          </cell>
        </row>
        <row r="802">
          <cell r="H802">
            <v>0</v>
          </cell>
        </row>
        <row r="803">
          <cell r="H803">
            <v>0</v>
          </cell>
        </row>
        <row r="804">
          <cell r="H804">
            <v>0</v>
          </cell>
        </row>
        <row r="805">
          <cell r="H805">
            <v>0</v>
          </cell>
        </row>
        <row r="806">
          <cell r="B806" t="str">
            <v>合計</v>
          </cell>
          <cell r="H806">
            <v>297420</v>
          </cell>
          <cell r="L806">
            <v>0</v>
          </cell>
        </row>
        <row r="807">
          <cell r="A807" t="str">
            <v>３</v>
          </cell>
          <cell r="B807" t="str">
            <v>油送設備</v>
          </cell>
          <cell r="H807">
            <v>0</v>
          </cell>
        </row>
        <row r="808">
          <cell r="H808">
            <v>0</v>
          </cell>
        </row>
        <row r="809">
          <cell r="B809" t="str">
            <v>配管用炭素鋼鋼管</v>
          </cell>
          <cell r="C809" t="str">
            <v>ＳＧＰ白１５</v>
          </cell>
          <cell r="E809" t="str">
            <v>ｍ</v>
          </cell>
          <cell r="F809">
            <v>21</v>
          </cell>
          <cell r="G809">
            <v>191</v>
          </cell>
          <cell r="H809">
            <v>4011</v>
          </cell>
          <cell r="I809" t="str">
            <v>物Ｐ５６５青森</v>
          </cell>
        </row>
        <row r="810">
          <cell r="B810" t="str">
            <v>継ぎ手　支持金物　接合材</v>
          </cell>
          <cell r="E810" t="str">
            <v>式</v>
          </cell>
          <cell r="F810">
            <v>1</v>
          </cell>
          <cell r="G810">
            <v>2999</v>
          </cell>
          <cell r="H810">
            <v>2999</v>
          </cell>
          <cell r="I810" t="str">
            <v>管×０．７５</v>
          </cell>
        </row>
        <row r="811">
          <cell r="H811">
            <v>0</v>
          </cell>
        </row>
        <row r="812">
          <cell r="B812" t="str">
            <v>オイルタンク</v>
          </cell>
          <cell r="C812" t="str">
            <v>１９８Ｌ型　付属品共</v>
          </cell>
          <cell r="E812" t="str">
            <v>台</v>
          </cell>
          <cell r="F812">
            <v>1</v>
          </cell>
          <cell r="G812">
            <v>31200</v>
          </cell>
          <cell r="H812">
            <v>31200</v>
          </cell>
          <cell r="I812" t="str">
            <v>見積１０</v>
          </cell>
          <cell r="L812">
            <v>31200</v>
          </cell>
        </row>
        <row r="813">
          <cell r="B813" t="str">
            <v>フレキシブル継ぎ手</v>
          </cell>
          <cell r="C813" t="str">
            <v>１５×３００</v>
          </cell>
          <cell r="E813" t="str">
            <v>ヶ</v>
          </cell>
          <cell r="F813">
            <v>1</v>
          </cell>
          <cell r="G813">
            <v>1600</v>
          </cell>
          <cell r="H813">
            <v>1600</v>
          </cell>
          <cell r="I813" t="str">
            <v>見積１１</v>
          </cell>
        </row>
        <row r="814">
          <cell r="B814" t="str">
            <v>オイルコック</v>
          </cell>
          <cell r="C814" t="str">
            <v>壁埋め込み型</v>
          </cell>
          <cell r="E814" t="str">
            <v>〃</v>
          </cell>
          <cell r="F814">
            <v>3</v>
          </cell>
          <cell r="G814">
            <v>1840</v>
          </cell>
          <cell r="H814">
            <v>5520</v>
          </cell>
          <cell r="I814" t="str">
            <v>見積１２</v>
          </cell>
        </row>
        <row r="815">
          <cell r="H815">
            <v>0</v>
          </cell>
        </row>
        <row r="816">
          <cell r="B816" t="str">
            <v>配管工事費</v>
          </cell>
          <cell r="E816" t="str">
            <v>式</v>
          </cell>
          <cell r="F816">
            <v>1</v>
          </cell>
          <cell r="G816">
            <v>26300</v>
          </cell>
          <cell r="H816">
            <v>26300</v>
          </cell>
          <cell r="I816" t="str">
            <v>調書３</v>
          </cell>
        </row>
        <row r="817">
          <cell r="B817" t="str">
            <v>器具取り付け費</v>
          </cell>
          <cell r="E817" t="str">
            <v>〃</v>
          </cell>
          <cell r="F817">
            <v>1</v>
          </cell>
          <cell r="G817">
            <v>19600</v>
          </cell>
          <cell r="H817">
            <v>19600</v>
          </cell>
          <cell r="I817" t="str">
            <v>調書３</v>
          </cell>
        </row>
        <row r="818">
          <cell r="B818" t="str">
            <v>塗装費</v>
          </cell>
          <cell r="E818" t="str">
            <v>〃</v>
          </cell>
          <cell r="F818">
            <v>1</v>
          </cell>
          <cell r="G818">
            <v>9400</v>
          </cell>
          <cell r="H818">
            <v>9400</v>
          </cell>
          <cell r="I818" t="str">
            <v>調書３</v>
          </cell>
        </row>
        <row r="819">
          <cell r="H819">
            <v>0</v>
          </cell>
        </row>
        <row r="820">
          <cell r="H820">
            <v>0</v>
          </cell>
        </row>
        <row r="821">
          <cell r="H821">
            <v>0</v>
          </cell>
        </row>
        <row r="822">
          <cell r="H822">
            <v>0</v>
          </cell>
        </row>
        <row r="823">
          <cell r="H823">
            <v>0</v>
          </cell>
        </row>
        <row r="824">
          <cell r="H824">
            <v>0</v>
          </cell>
        </row>
        <row r="825">
          <cell r="H825">
            <v>0</v>
          </cell>
        </row>
        <row r="826">
          <cell r="H826">
            <v>0</v>
          </cell>
        </row>
        <row r="827">
          <cell r="H827">
            <v>0</v>
          </cell>
        </row>
        <row r="828">
          <cell r="H828">
            <v>0</v>
          </cell>
        </row>
        <row r="829">
          <cell r="B829" t="str">
            <v>合計</v>
          </cell>
          <cell r="H829">
            <v>100630</v>
          </cell>
          <cell r="L829">
            <v>31200</v>
          </cell>
        </row>
        <row r="830">
          <cell r="A830" t="str">
            <v>４</v>
          </cell>
          <cell r="B830" t="str">
            <v>衛生器具設備</v>
          </cell>
          <cell r="H830">
            <v>0</v>
          </cell>
        </row>
        <row r="831">
          <cell r="H831">
            <v>0</v>
          </cell>
        </row>
        <row r="832">
          <cell r="B832" t="str">
            <v>洋風大便器</v>
          </cell>
          <cell r="C832" t="str">
            <v>Ｃ７８０Ｂ</v>
          </cell>
          <cell r="E832" t="str">
            <v>組</v>
          </cell>
          <cell r="F832">
            <v>2</v>
          </cell>
          <cell r="G832">
            <v>75100</v>
          </cell>
          <cell r="H832">
            <v>150200</v>
          </cell>
          <cell r="I832" t="str">
            <v>見積１３</v>
          </cell>
          <cell r="L832">
            <v>150200</v>
          </cell>
        </row>
        <row r="833">
          <cell r="B833" t="str">
            <v>手すり</v>
          </cell>
          <cell r="C833" t="str">
            <v>Ｔ１１２ＣＬ</v>
          </cell>
          <cell r="E833" t="str">
            <v>〃</v>
          </cell>
          <cell r="F833">
            <v>2</v>
          </cell>
          <cell r="G833">
            <v>24900</v>
          </cell>
          <cell r="H833">
            <v>49800</v>
          </cell>
          <cell r="I833" t="str">
            <v>見積１４</v>
          </cell>
          <cell r="L833">
            <v>49800</v>
          </cell>
        </row>
        <row r="834">
          <cell r="B834" t="str">
            <v>洗面器</v>
          </cell>
          <cell r="C834" t="str">
            <v>Ｌ２３０ＤＳ</v>
          </cell>
          <cell r="E834" t="str">
            <v>〃</v>
          </cell>
          <cell r="F834">
            <v>2</v>
          </cell>
          <cell r="G834">
            <v>12500</v>
          </cell>
          <cell r="H834">
            <v>25000</v>
          </cell>
          <cell r="I834" t="str">
            <v>見積１５</v>
          </cell>
          <cell r="L834">
            <v>25000</v>
          </cell>
        </row>
        <row r="835">
          <cell r="B835" t="str">
            <v>鏡</v>
          </cell>
          <cell r="C835" t="str">
            <v>４５０×６００</v>
          </cell>
          <cell r="E835" t="str">
            <v>〃</v>
          </cell>
          <cell r="F835">
            <v>2</v>
          </cell>
          <cell r="G835">
            <v>5760</v>
          </cell>
          <cell r="H835">
            <v>11520</v>
          </cell>
          <cell r="I835" t="str">
            <v>見積１６</v>
          </cell>
          <cell r="L835">
            <v>11520</v>
          </cell>
        </row>
        <row r="836">
          <cell r="B836" t="str">
            <v>掃除用流し</v>
          </cell>
          <cell r="C836" t="str">
            <v>ＳＫ２２Ａ</v>
          </cell>
          <cell r="E836" t="str">
            <v>〃</v>
          </cell>
          <cell r="F836">
            <v>1</v>
          </cell>
          <cell r="G836">
            <v>56800</v>
          </cell>
          <cell r="H836">
            <v>56800</v>
          </cell>
          <cell r="I836" t="str">
            <v>見積１７</v>
          </cell>
          <cell r="L836">
            <v>56800</v>
          </cell>
        </row>
        <row r="837">
          <cell r="B837" t="str">
            <v>小便器</v>
          </cell>
          <cell r="C837" t="str">
            <v>Ｕ３０７Ｃ</v>
          </cell>
          <cell r="E837" t="str">
            <v>〃</v>
          </cell>
          <cell r="F837">
            <v>1</v>
          </cell>
          <cell r="G837">
            <v>49600</v>
          </cell>
          <cell r="H837">
            <v>49600</v>
          </cell>
          <cell r="I837" t="str">
            <v>見積１８</v>
          </cell>
          <cell r="L837">
            <v>49600</v>
          </cell>
        </row>
        <row r="838">
          <cell r="B838" t="str">
            <v>仕切板</v>
          </cell>
          <cell r="C838" t="str">
            <v>Ａ１００</v>
          </cell>
          <cell r="E838" t="str">
            <v>〃</v>
          </cell>
          <cell r="F838">
            <v>1</v>
          </cell>
          <cell r="G838">
            <v>6240</v>
          </cell>
          <cell r="H838">
            <v>6240</v>
          </cell>
          <cell r="I838" t="str">
            <v>見積１９</v>
          </cell>
          <cell r="L838">
            <v>6240</v>
          </cell>
        </row>
        <row r="839">
          <cell r="B839" t="str">
            <v>湯水混合栓</v>
          </cell>
          <cell r="C839" t="str">
            <v>ＴＫＪ３０ＵＲＫＸ</v>
          </cell>
          <cell r="E839" t="str">
            <v>〃</v>
          </cell>
          <cell r="F839">
            <v>1</v>
          </cell>
          <cell r="G839">
            <v>16300</v>
          </cell>
          <cell r="H839">
            <v>16300</v>
          </cell>
          <cell r="I839" t="str">
            <v>見積２０</v>
          </cell>
        </row>
        <row r="840">
          <cell r="H840">
            <v>0</v>
          </cell>
        </row>
        <row r="841">
          <cell r="B841" t="str">
            <v>器具取り付け費</v>
          </cell>
          <cell r="E841" t="str">
            <v>式</v>
          </cell>
          <cell r="F841">
            <v>1</v>
          </cell>
          <cell r="G841">
            <v>128900</v>
          </cell>
          <cell r="H841">
            <v>128900</v>
          </cell>
          <cell r="I841" t="str">
            <v>調書４</v>
          </cell>
        </row>
        <row r="842">
          <cell r="H842">
            <v>0</v>
          </cell>
        </row>
        <row r="843">
          <cell r="H843">
            <v>0</v>
          </cell>
        </row>
        <row r="844">
          <cell r="H844">
            <v>0</v>
          </cell>
        </row>
        <row r="845">
          <cell r="H845">
            <v>0</v>
          </cell>
        </row>
        <row r="846">
          <cell r="H846">
            <v>0</v>
          </cell>
        </row>
        <row r="847">
          <cell r="H847">
            <v>0</v>
          </cell>
        </row>
        <row r="848">
          <cell r="H848">
            <v>0</v>
          </cell>
        </row>
        <row r="849">
          <cell r="H849">
            <v>0</v>
          </cell>
        </row>
        <row r="850">
          <cell r="H850">
            <v>0</v>
          </cell>
        </row>
        <row r="851">
          <cell r="H851">
            <v>0</v>
          </cell>
        </row>
        <row r="852">
          <cell r="B852" t="str">
            <v>合計</v>
          </cell>
          <cell r="H852">
            <v>494360</v>
          </cell>
          <cell r="L852">
            <v>349160</v>
          </cell>
        </row>
        <row r="853">
          <cell r="A853" t="str">
            <v>５</v>
          </cell>
          <cell r="B853" t="str">
            <v>屋内給水設備</v>
          </cell>
          <cell r="H853">
            <v>0</v>
          </cell>
        </row>
        <row r="854">
          <cell r="H854">
            <v>0</v>
          </cell>
        </row>
        <row r="855">
          <cell r="B855" t="str">
            <v>ポリ粉体ライニング鋼管</v>
          </cell>
          <cell r="C855" t="str">
            <v>ＳＧＰーＰＤ２０</v>
          </cell>
          <cell r="E855" t="str">
            <v>ｍ</v>
          </cell>
          <cell r="F855">
            <v>20</v>
          </cell>
          <cell r="G855">
            <v>482</v>
          </cell>
          <cell r="H855">
            <v>9640</v>
          </cell>
          <cell r="I855" t="str">
            <v>物Ｐ５６９盛岡</v>
          </cell>
        </row>
        <row r="856">
          <cell r="B856" t="str">
            <v>　　　　　　〃</v>
          </cell>
          <cell r="C856" t="str">
            <v>ＳＧＰーＰＢ２０</v>
          </cell>
          <cell r="E856" t="str">
            <v>〃</v>
          </cell>
          <cell r="F856">
            <v>11</v>
          </cell>
          <cell r="G856">
            <v>325</v>
          </cell>
          <cell r="H856">
            <v>3575</v>
          </cell>
          <cell r="I856" t="str">
            <v>物Ｐ５６９盛岡</v>
          </cell>
        </row>
        <row r="857">
          <cell r="B857" t="str">
            <v>継ぎ手　支持金物　接合材</v>
          </cell>
          <cell r="E857" t="str">
            <v>式</v>
          </cell>
          <cell r="F857">
            <v>1</v>
          </cell>
          <cell r="G857">
            <v>11225</v>
          </cell>
          <cell r="H857">
            <v>11225</v>
          </cell>
          <cell r="I857" t="str">
            <v>管×０．８５</v>
          </cell>
        </row>
        <row r="858">
          <cell r="H858">
            <v>0</v>
          </cell>
        </row>
        <row r="859">
          <cell r="B859" t="str">
            <v>水抜き栓</v>
          </cell>
          <cell r="C859" t="str">
            <v>２０×０．８</v>
          </cell>
          <cell r="E859" t="str">
            <v>ヶ</v>
          </cell>
          <cell r="F859">
            <v>3</v>
          </cell>
          <cell r="G859">
            <v>6420</v>
          </cell>
          <cell r="H859">
            <v>19260</v>
          </cell>
          <cell r="I859" t="str">
            <v>見積２１</v>
          </cell>
        </row>
        <row r="860">
          <cell r="B860" t="str">
            <v>浸透桝</v>
          </cell>
          <cell r="E860" t="str">
            <v>〃</v>
          </cell>
          <cell r="F860">
            <v>3</v>
          </cell>
          <cell r="G860">
            <v>1430</v>
          </cell>
          <cell r="H860">
            <v>4290</v>
          </cell>
          <cell r="I860" t="str">
            <v>見積２２</v>
          </cell>
        </row>
        <row r="861">
          <cell r="B861" t="str">
            <v>床点検口</v>
          </cell>
          <cell r="C861" t="str">
            <v>２００×２００</v>
          </cell>
          <cell r="E861" t="str">
            <v>〃</v>
          </cell>
          <cell r="F861">
            <v>3</v>
          </cell>
          <cell r="G861">
            <v>5760</v>
          </cell>
          <cell r="H861">
            <v>17280</v>
          </cell>
          <cell r="I861" t="str">
            <v>見積２３</v>
          </cell>
        </row>
        <row r="862">
          <cell r="B862" t="str">
            <v>ゲート弁</v>
          </cell>
          <cell r="C862" t="str">
            <v>１５×１０ｋ　コア付</v>
          </cell>
          <cell r="E862" t="str">
            <v>〃</v>
          </cell>
          <cell r="F862">
            <v>1</v>
          </cell>
          <cell r="G862">
            <v>1400</v>
          </cell>
          <cell r="H862">
            <v>1400</v>
          </cell>
          <cell r="I862" t="str">
            <v>物Ｐ５９７関東</v>
          </cell>
        </row>
        <row r="863">
          <cell r="H863">
            <v>0</v>
          </cell>
        </row>
        <row r="864">
          <cell r="B864" t="str">
            <v>配管工事費</v>
          </cell>
          <cell r="E864" t="str">
            <v>式</v>
          </cell>
          <cell r="F864">
            <v>1</v>
          </cell>
          <cell r="G864">
            <v>44700</v>
          </cell>
          <cell r="H864">
            <v>44700</v>
          </cell>
          <cell r="I864" t="str">
            <v>調書５</v>
          </cell>
        </row>
        <row r="865">
          <cell r="B865" t="str">
            <v>器具取り付け費</v>
          </cell>
          <cell r="E865" t="str">
            <v>〃</v>
          </cell>
          <cell r="F865">
            <v>1</v>
          </cell>
          <cell r="G865">
            <v>19300</v>
          </cell>
          <cell r="H865">
            <v>19300</v>
          </cell>
          <cell r="I865" t="str">
            <v>調書５</v>
          </cell>
        </row>
        <row r="866">
          <cell r="B866" t="str">
            <v>保温工事費</v>
          </cell>
          <cell r="E866" t="str">
            <v>〃</v>
          </cell>
          <cell r="F866">
            <v>1</v>
          </cell>
          <cell r="G866">
            <v>21600</v>
          </cell>
          <cell r="H866">
            <v>21600</v>
          </cell>
          <cell r="I866" t="str">
            <v>調書５</v>
          </cell>
        </row>
        <row r="867">
          <cell r="B867" t="str">
            <v>土工事</v>
          </cell>
          <cell r="E867" t="str">
            <v>〃</v>
          </cell>
          <cell r="F867">
            <v>1</v>
          </cell>
          <cell r="G867">
            <v>23500</v>
          </cell>
          <cell r="H867">
            <v>23500</v>
          </cell>
          <cell r="I867" t="str">
            <v>調書５</v>
          </cell>
        </row>
        <row r="868">
          <cell r="H868">
            <v>0</v>
          </cell>
        </row>
        <row r="869">
          <cell r="H869">
            <v>0</v>
          </cell>
        </row>
        <row r="870">
          <cell r="H870">
            <v>0</v>
          </cell>
        </row>
        <row r="871">
          <cell r="H871">
            <v>0</v>
          </cell>
        </row>
        <row r="872">
          <cell r="H872">
            <v>0</v>
          </cell>
        </row>
        <row r="873">
          <cell r="H873">
            <v>0</v>
          </cell>
        </row>
        <row r="874">
          <cell r="H874">
            <v>0</v>
          </cell>
        </row>
        <row r="875">
          <cell r="B875" t="str">
            <v>合計</v>
          </cell>
          <cell r="H875">
            <v>175770</v>
          </cell>
        </row>
        <row r="876">
          <cell r="A876" t="str">
            <v>６</v>
          </cell>
          <cell r="B876" t="str">
            <v>屋外給水設備</v>
          </cell>
          <cell r="H876">
            <v>0</v>
          </cell>
        </row>
        <row r="877">
          <cell r="H877">
            <v>0</v>
          </cell>
        </row>
        <row r="878">
          <cell r="B878" t="str">
            <v>ポリエチレン管</v>
          </cell>
          <cell r="C878" t="str">
            <v>ＰＰ２０</v>
          </cell>
          <cell r="E878" t="str">
            <v>ｍ</v>
          </cell>
          <cell r="F878">
            <v>44</v>
          </cell>
          <cell r="G878">
            <v>137</v>
          </cell>
          <cell r="H878">
            <v>6028</v>
          </cell>
          <cell r="I878" t="str">
            <v>物Ｐ５７８</v>
          </cell>
        </row>
        <row r="879">
          <cell r="B879" t="str">
            <v>継ぎ手類</v>
          </cell>
          <cell r="E879" t="str">
            <v>式</v>
          </cell>
          <cell r="F879">
            <v>1</v>
          </cell>
          <cell r="G879">
            <v>8280</v>
          </cell>
          <cell r="H879">
            <v>8280</v>
          </cell>
          <cell r="I879" t="str">
            <v>調書６</v>
          </cell>
        </row>
        <row r="880">
          <cell r="B880" t="str">
            <v>ポリ粉体ライニング鋼管</v>
          </cell>
          <cell r="C880" t="str">
            <v>ＳＧＰーＰＤ２０</v>
          </cell>
          <cell r="E880" t="str">
            <v>ｍ</v>
          </cell>
          <cell r="F880">
            <v>1</v>
          </cell>
          <cell r="G880">
            <v>482</v>
          </cell>
          <cell r="H880">
            <v>482</v>
          </cell>
          <cell r="I880" t="str">
            <v>物Ｐ５６９盛岡</v>
          </cell>
        </row>
        <row r="881">
          <cell r="B881" t="str">
            <v>継ぎ手　支持金物　接合材</v>
          </cell>
          <cell r="E881" t="str">
            <v>式</v>
          </cell>
          <cell r="F881">
            <v>1</v>
          </cell>
          <cell r="G881">
            <v>350</v>
          </cell>
          <cell r="H881">
            <v>350</v>
          </cell>
          <cell r="I881" t="str">
            <v>管×０．73</v>
          </cell>
        </row>
        <row r="882">
          <cell r="H882">
            <v>0</v>
          </cell>
        </row>
        <row r="883">
          <cell r="B883" t="str">
            <v>分岐材</v>
          </cell>
          <cell r="C883" t="str">
            <v>ＤＩＰ１００×２０</v>
          </cell>
          <cell r="E883" t="str">
            <v>組</v>
          </cell>
          <cell r="F883">
            <v>1</v>
          </cell>
          <cell r="G883">
            <v>8000</v>
          </cell>
          <cell r="H883">
            <v>8000</v>
          </cell>
          <cell r="I883" t="str">
            <v>見積２４</v>
          </cell>
        </row>
        <row r="884">
          <cell r="B884" t="str">
            <v>止水栓</v>
          </cell>
          <cell r="C884" t="str">
            <v>２０</v>
          </cell>
          <cell r="E884" t="str">
            <v>ヶ</v>
          </cell>
          <cell r="F884">
            <v>1</v>
          </cell>
          <cell r="G884">
            <v>2620</v>
          </cell>
          <cell r="H884">
            <v>2620</v>
          </cell>
          <cell r="I884" t="str">
            <v>見積２５</v>
          </cell>
        </row>
        <row r="885">
          <cell r="B885" t="str">
            <v>水道メーター</v>
          </cell>
          <cell r="C885" t="str">
            <v>２０</v>
          </cell>
          <cell r="E885" t="str">
            <v>〃</v>
          </cell>
          <cell r="F885">
            <v>1</v>
          </cell>
          <cell r="H885" t="str">
            <v>貸与品</v>
          </cell>
        </row>
        <row r="886">
          <cell r="B886" t="str">
            <v>メーターボックス</v>
          </cell>
          <cell r="E886" t="str">
            <v>〃</v>
          </cell>
          <cell r="F886">
            <v>1</v>
          </cell>
          <cell r="G886">
            <v>8560</v>
          </cell>
          <cell r="H886">
            <v>8560</v>
          </cell>
          <cell r="I886" t="str">
            <v>見積２６</v>
          </cell>
        </row>
        <row r="887">
          <cell r="B887" t="str">
            <v>水抜き栓</v>
          </cell>
          <cell r="C887" t="str">
            <v>２０×０．６</v>
          </cell>
          <cell r="E887" t="str">
            <v>〃</v>
          </cell>
          <cell r="F887">
            <v>1</v>
          </cell>
          <cell r="G887">
            <v>6100</v>
          </cell>
          <cell r="H887">
            <v>6100</v>
          </cell>
          <cell r="I887" t="str">
            <v>見積３５</v>
          </cell>
        </row>
        <row r="888">
          <cell r="B888" t="str">
            <v>浸透桝</v>
          </cell>
          <cell r="E888" t="str">
            <v>〃</v>
          </cell>
          <cell r="F888">
            <v>1</v>
          </cell>
          <cell r="G888">
            <v>1430</v>
          </cell>
          <cell r="H888">
            <v>1430</v>
          </cell>
          <cell r="I888" t="str">
            <v>見積２２</v>
          </cell>
        </row>
        <row r="889">
          <cell r="B889" t="str">
            <v>床点検口</v>
          </cell>
          <cell r="C889" t="str">
            <v>２００×２００</v>
          </cell>
          <cell r="E889" t="str">
            <v>〃</v>
          </cell>
          <cell r="F889">
            <v>1</v>
          </cell>
          <cell r="G889">
            <v>5760</v>
          </cell>
          <cell r="H889">
            <v>5760</v>
          </cell>
          <cell r="I889" t="str">
            <v>見積２３</v>
          </cell>
        </row>
        <row r="890">
          <cell r="B890" t="str">
            <v>散水栓</v>
          </cell>
          <cell r="C890" t="str">
            <v>１３</v>
          </cell>
          <cell r="E890" t="str">
            <v>〃</v>
          </cell>
          <cell r="F890">
            <v>1</v>
          </cell>
          <cell r="G890">
            <v>1430</v>
          </cell>
          <cell r="H890">
            <v>1430</v>
          </cell>
          <cell r="I890" t="str">
            <v>物Ｐ６５４</v>
          </cell>
        </row>
        <row r="891">
          <cell r="B891" t="str">
            <v>散水栓ボックス</v>
          </cell>
          <cell r="C891" t="str">
            <v>Ｂ−３</v>
          </cell>
          <cell r="E891" t="str">
            <v>〃</v>
          </cell>
          <cell r="F891">
            <v>1</v>
          </cell>
          <cell r="G891">
            <v>5110</v>
          </cell>
          <cell r="H891">
            <v>5110</v>
          </cell>
          <cell r="I891" t="str">
            <v>物Ｐ６５５伊藤</v>
          </cell>
        </row>
        <row r="892">
          <cell r="H892">
            <v>0</v>
          </cell>
        </row>
        <row r="893">
          <cell r="B893" t="str">
            <v>土工事</v>
          </cell>
          <cell r="E893" t="str">
            <v>式</v>
          </cell>
          <cell r="F893">
            <v>1</v>
          </cell>
          <cell r="G893">
            <v>22100</v>
          </cell>
          <cell r="H893">
            <v>22100</v>
          </cell>
          <cell r="I893" t="str">
            <v>調書６</v>
          </cell>
        </row>
        <row r="894">
          <cell r="B894" t="str">
            <v>配管工事費</v>
          </cell>
          <cell r="E894" t="str">
            <v>〃</v>
          </cell>
          <cell r="F894">
            <v>1</v>
          </cell>
          <cell r="G894">
            <v>27000</v>
          </cell>
          <cell r="H894">
            <v>27000</v>
          </cell>
          <cell r="I894" t="str">
            <v>調書６</v>
          </cell>
        </row>
        <row r="895">
          <cell r="B895" t="str">
            <v>器具取り付け費</v>
          </cell>
          <cell r="E895" t="str">
            <v>〃</v>
          </cell>
          <cell r="F895">
            <v>1</v>
          </cell>
          <cell r="G895">
            <v>27600</v>
          </cell>
          <cell r="H895">
            <v>27600</v>
          </cell>
          <cell r="I895" t="str">
            <v>調書６</v>
          </cell>
        </row>
        <row r="896">
          <cell r="H896">
            <v>0</v>
          </cell>
        </row>
        <row r="897">
          <cell r="H897">
            <v>0</v>
          </cell>
        </row>
        <row r="898">
          <cell r="B898" t="str">
            <v>合計</v>
          </cell>
          <cell r="H898">
            <v>130850</v>
          </cell>
        </row>
        <row r="899">
          <cell r="A899" t="str">
            <v>７</v>
          </cell>
          <cell r="B899" t="str">
            <v>屋内排水設備</v>
          </cell>
          <cell r="H899">
            <v>0</v>
          </cell>
        </row>
        <row r="900">
          <cell r="H900">
            <v>0</v>
          </cell>
        </row>
        <row r="901">
          <cell r="B901" t="str">
            <v>塩化ビニール管</v>
          </cell>
          <cell r="C901" t="str">
            <v>ＶＰ１００</v>
          </cell>
          <cell r="E901" t="str">
            <v>ｍ</v>
          </cell>
          <cell r="F901">
            <v>9</v>
          </cell>
          <cell r="G901">
            <v>930</v>
          </cell>
          <cell r="H901">
            <v>8370</v>
          </cell>
          <cell r="I901" t="str">
            <v>物Ｐ５８１青森</v>
          </cell>
        </row>
        <row r="902">
          <cell r="B902" t="str">
            <v>　　　　〃</v>
          </cell>
          <cell r="C902" t="str">
            <v>ＶＰ６５</v>
          </cell>
          <cell r="E902" t="str">
            <v>〃</v>
          </cell>
          <cell r="F902">
            <v>19</v>
          </cell>
          <cell r="G902">
            <v>412</v>
          </cell>
          <cell r="H902">
            <v>7828</v>
          </cell>
          <cell r="I902" t="str">
            <v>物Ｐ５８１青森</v>
          </cell>
        </row>
        <row r="903">
          <cell r="B903" t="str">
            <v>　　　　〃</v>
          </cell>
          <cell r="C903" t="str">
            <v>ＶＰ５０</v>
          </cell>
          <cell r="E903" t="str">
            <v>〃</v>
          </cell>
          <cell r="F903">
            <v>5</v>
          </cell>
          <cell r="G903">
            <v>322</v>
          </cell>
          <cell r="H903">
            <v>1610</v>
          </cell>
          <cell r="I903" t="str">
            <v>物Ｐ５８１青森</v>
          </cell>
        </row>
        <row r="904">
          <cell r="B904" t="str">
            <v>　　　　〃</v>
          </cell>
          <cell r="C904" t="str">
            <v>ＶＰ４０</v>
          </cell>
          <cell r="E904" t="str">
            <v>〃</v>
          </cell>
          <cell r="F904">
            <v>4</v>
          </cell>
          <cell r="G904">
            <v>228</v>
          </cell>
          <cell r="H904">
            <v>912</v>
          </cell>
          <cell r="I904" t="str">
            <v>物Ｐ５８１青森</v>
          </cell>
        </row>
        <row r="905">
          <cell r="B905" t="str">
            <v>継ぎ手　支持金物　接合材</v>
          </cell>
          <cell r="E905" t="str">
            <v>式</v>
          </cell>
          <cell r="F905">
            <v>1</v>
          </cell>
          <cell r="G905">
            <v>10290</v>
          </cell>
          <cell r="H905">
            <v>10290</v>
          </cell>
          <cell r="I905" t="str">
            <v>管×０．５５</v>
          </cell>
        </row>
        <row r="906">
          <cell r="H906">
            <v>0</v>
          </cell>
        </row>
        <row r="907">
          <cell r="B907" t="str">
            <v>床上掃除口</v>
          </cell>
          <cell r="C907" t="str">
            <v>ＣＯＡ１００</v>
          </cell>
          <cell r="E907" t="str">
            <v>ヶ</v>
          </cell>
          <cell r="F907">
            <v>1</v>
          </cell>
          <cell r="G907">
            <v>3310</v>
          </cell>
          <cell r="H907">
            <v>3310</v>
          </cell>
          <cell r="I907" t="str">
            <v>物Ｐ６５９</v>
          </cell>
        </row>
        <row r="908">
          <cell r="B908" t="str">
            <v>　　　〃</v>
          </cell>
          <cell r="C908" t="str">
            <v>ＣＯＡ６５</v>
          </cell>
          <cell r="E908" t="str">
            <v>〃</v>
          </cell>
          <cell r="F908">
            <v>2</v>
          </cell>
          <cell r="G908">
            <v>2290</v>
          </cell>
          <cell r="H908">
            <v>4580</v>
          </cell>
          <cell r="I908" t="str">
            <v>物Ｐ６５９</v>
          </cell>
        </row>
        <row r="909">
          <cell r="H909">
            <v>0</v>
          </cell>
        </row>
        <row r="910">
          <cell r="B910" t="str">
            <v>土工事</v>
          </cell>
          <cell r="E910" t="str">
            <v>式</v>
          </cell>
          <cell r="F910">
            <v>1</v>
          </cell>
          <cell r="G910">
            <v>27800</v>
          </cell>
          <cell r="H910">
            <v>27800</v>
          </cell>
          <cell r="I910" t="str">
            <v>調書７</v>
          </cell>
        </row>
        <row r="911">
          <cell r="B911" t="str">
            <v>配管工事管</v>
          </cell>
          <cell r="E911" t="str">
            <v>〃</v>
          </cell>
          <cell r="F911">
            <v>1</v>
          </cell>
          <cell r="G911">
            <v>89300</v>
          </cell>
          <cell r="H911">
            <v>89300</v>
          </cell>
          <cell r="I911" t="str">
            <v>調書７</v>
          </cell>
        </row>
        <row r="912">
          <cell r="B912" t="str">
            <v>器具取り付け費</v>
          </cell>
          <cell r="E912" t="str">
            <v>〃</v>
          </cell>
          <cell r="F912">
            <v>1</v>
          </cell>
          <cell r="G912">
            <v>12500</v>
          </cell>
          <cell r="H912">
            <v>12500</v>
          </cell>
          <cell r="I912" t="str">
            <v>調書７</v>
          </cell>
        </row>
        <row r="913">
          <cell r="B913" t="str">
            <v>保温工事費</v>
          </cell>
          <cell r="E913" t="str">
            <v>〃</v>
          </cell>
          <cell r="F913">
            <v>1</v>
          </cell>
          <cell r="G913">
            <v>1410</v>
          </cell>
          <cell r="H913">
            <v>1410</v>
          </cell>
          <cell r="I913" t="str">
            <v>調書７</v>
          </cell>
        </row>
        <row r="914">
          <cell r="H914">
            <v>0</v>
          </cell>
        </row>
        <row r="915">
          <cell r="H915">
            <v>0</v>
          </cell>
        </row>
        <row r="916">
          <cell r="H916">
            <v>0</v>
          </cell>
        </row>
        <row r="917">
          <cell r="H917">
            <v>0</v>
          </cell>
        </row>
        <row r="918">
          <cell r="H918">
            <v>0</v>
          </cell>
        </row>
        <row r="919">
          <cell r="H919">
            <v>0</v>
          </cell>
        </row>
        <row r="920">
          <cell r="H920">
            <v>0</v>
          </cell>
        </row>
        <row r="921">
          <cell r="B921" t="str">
            <v>合計</v>
          </cell>
          <cell r="H921">
            <v>167910</v>
          </cell>
        </row>
        <row r="922">
          <cell r="A922" t="str">
            <v>８</v>
          </cell>
          <cell r="B922" t="str">
            <v>屋外排水設備</v>
          </cell>
          <cell r="H922">
            <v>0</v>
          </cell>
        </row>
        <row r="923">
          <cell r="H923">
            <v>0</v>
          </cell>
        </row>
        <row r="924">
          <cell r="B924" t="str">
            <v>塩化ビニール管</v>
          </cell>
          <cell r="C924" t="str">
            <v>ＶＵ１００</v>
          </cell>
          <cell r="E924" t="str">
            <v>ｍ</v>
          </cell>
          <cell r="F924">
            <v>10</v>
          </cell>
          <cell r="G924">
            <v>452</v>
          </cell>
          <cell r="H924">
            <v>4520</v>
          </cell>
          <cell r="I924" t="str">
            <v>物Ｐ５８１青森</v>
          </cell>
        </row>
        <row r="925">
          <cell r="B925" t="str">
            <v>継ぎ手　接合材</v>
          </cell>
          <cell r="E925" t="str">
            <v>式</v>
          </cell>
          <cell r="F925">
            <v>1</v>
          </cell>
          <cell r="G925">
            <v>1130</v>
          </cell>
          <cell r="H925">
            <v>1130</v>
          </cell>
          <cell r="I925" t="str">
            <v>管×０．２５</v>
          </cell>
        </row>
        <row r="926">
          <cell r="H926">
            <v>0</v>
          </cell>
        </row>
        <row r="927">
          <cell r="B927" t="str">
            <v>塩ビインバート桝</v>
          </cell>
          <cell r="C927" t="str">
            <v>ＣＯＬＬ１００ー１５０</v>
          </cell>
          <cell r="E927" t="str">
            <v>ヶ所</v>
          </cell>
          <cell r="F927">
            <v>2</v>
          </cell>
          <cell r="G927">
            <v>10400</v>
          </cell>
          <cell r="H927">
            <v>20800</v>
          </cell>
          <cell r="I927" t="str">
            <v>調書８</v>
          </cell>
        </row>
        <row r="928">
          <cell r="B928" t="str">
            <v>　　　　　〃</v>
          </cell>
          <cell r="C928" t="str">
            <v>ＣＯＬＴ１００ー１５０</v>
          </cell>
          <cell r="E928" t="str">
            <v>〃</v>
          </cell>
          <cell r="F928">
            <v>3</v>
          </cell>
          <cell r="G928">
            <v>10200</v>
          </cell>
          <cell r="H928">
            <v>30600</v>
          </cell>
          <cell r="I928" t="str">
            <v>調書８</v>
          </cell>
        </row>
        <row r="929">
          <cell r="H929">
            <v>0</v>
          </cell>
        </row>
        <row r="930">
          <cell r="B930" t="str">
            <v>土工事</v>
          </cell>
          <cell r="E930" t="str">
            <v>式</v>
          </cell>
          <cell r="F930">
            <v>1</v>
          </cell>
          <cell r="G930">
            <v>4990</v>
          </cell>
          <cell r="H930">
            <v>4990</v>
          </cell>
          <cell r="I930" t="str">
            <v>調書８</v>
          </cell>
        </row>
        <row r="931">
          <cell r="B931" t="str">
            <v>配管工事費</v>
          </cell>
          <cell r="E931" t="str">
            <v>〃</v>
          </cell>
          <cell r="F931">
            <v>1</v>
          </cell>
          <cell r="G931">
            <v>25700</v>
          </cell>
          <cell r="H931">
            <v>25700</v>
          </cell>
          <cell r="I931" t="str">
            <v>調書８</v>
          </cell>
        </row>
        <row r="932">
          <cell r="H932">
            <v>0</v>
          </cell>
        </row>
        <row r="933">
          <cell r="H933">
            <v>0</v>
          </cell>
        </row>
        <row r="934">
          <cell r="H934">
            <v>0</v>
          </cell>
        </row>
        <row r="935">
          <cell r="H935">
            <v>0</v>
          </cell>
        </row>
        <row r="936">
          <cell r="H936">
            <v>0</v>
          </cell>
        </row>
        <row r="937">
          <cell r="H937">
            <v>0</v>
          </cell>
        </row>
        <row r="938">
          <cell r="H938">
            <v>0</v>
          </cell>
        </row>
        <row r="939">
          <cell r="H939">
            <v>0</v>
          </cell>
        </row>
        <row r="940">
          <cell r="H940">
            <v>0</v>
          </cell>
        </row>
        <row r="941">
          <cell r="H941">
            <v>0</v>
          </cell>
        </row>
        <row r="942">
          <cell r="H942">
            <v>0</v>
          </cell>
        </row>
        <row r="943">
          <cell r="H943">
            <v>0</v>
          </cell>
        </row>
        <row r="944">
          <cell r="B944" t="str">
            <v>合計</v>
          </cell>
          <cell r="H944">
            <v>87740</v>
          </cell>
        </row>
        <row r="945">
          <cell r="A945" t="str">
            <v>９</v>
          </cell>
          <cell r="B945" t="str">
            <v>給湯設備</v>
          </cell>
          <cell r="H945">
            <v>0</v>
          </cell>
        </row>
        <row r="946">
          <cell r="H946">
            <v>0</v>
          </cell>
        </row>
        <row r="947">
          <cell r="B947" t="str">
            <v>耐熱塩ビライニング鋼管</v>
          </cell>
          <cell r="C947" t="str">
            <v>ＨＴＬＰ１５</v>
          </cell>
          <cell r="E947" t="str">
            <v>ｍ</v>
          </cell>
          <cell r="F947">
            <v>3</v>
          </cell>
          <cell r="G947">
            <v>372</v>
          </cell>
          <cell r="H947">
            <v>1116</v>
          </cell>
          <cell r="I947" t="str">
            <v>物Ｐ５７０関東２</v>
          </cell>
        </row>
        <row r="948">
          <cell r="B948" t="str">
            <v>継ぎ手　支持金物　接合材</v>
          </cell>
          <cell r="E948" t="str">
            <v>式</v>
          </cell>
          <cell r="F948">
            <v>1</v>
          </cell>
          <cell r="G948">
            <v>834</v>
          </cell>
          <cell r="H948">
            <v>834</v>
          </cell>
          <cell r="I948" t="str">
            <v>管×０．７５</v>
          </cell>
        </row>
        <row r="949">
          <cell r="H949">
            <v>0</v>
          </cell>
        </row>
        <row r="950">
          <cell r="B950" t="str">
            <v>ガス湯沸器</v>
          </cell>
          <cell r="C950" t="str">
            <v>１０号強制排気型</v>
          </cell>
          <cell r="E950" t="str">
            <v>台</v>
          </cell>
          <cell r="F950">
            <v>1</v>
          </cell>
          <cell r="G950">
            <v>65600</v>
          </cell>
          <cell r="H950">
            <v>65600</v>
          </cell>
          <cell r="I950" t="str">
            <v>見積３０</v>
          </cell>
          <cell r="L950">
            <v>65600</v>
          </cell>
        </row>
        <row r="951">
          <cell r="H951">
            <v>0</v>
          </cell>
        </row>
        <row r="952">
          <cell r="B952" t="str">
            <v>器具取り付け費</v>
          </cell>
          <cell r="E952" t="str">
            <v>式</v>
          </cell>
          <cell r="F952">
            <v>1</v>
          </cell>
          <cell r="G952">
            <v>18700</v>
          </cell>
          <cell r="H952">
            <v>18700</v>
          </cell>
          <cell r="I952" t="str">
            <v>調書９</v>
          </cell>
        </row>
        <row r="953">
          <cell r="B953" t="str">
            <v>配管工事費</v>
          </cell>
          <cell r="E953" t="str">
            <v>〃</v>
          </cell>
          <cell r="F953">
            <v>1</v>
          </cell>
          <cell r="G953">
            <v>4060</v>
          </cell>
          <cell r="H953">
            <v>4060</v>
          </cell>
          <cell r="I953" t="str">
            <v>調書９</v>
          </cell>
        </row>
        <row r="954">
          <cell r="B954" t="str">
            <v>保温工事費</v>
          </cell>
          <cell r="E954" t="str">
            <v>〃</v>
          </cell>
          <cell r="F954">
            <v>1</v>
          </cell>
          <cell r="G954">
            <v>3450</v>
          </cell>
          <cell r="H954">
            <v>3450</v>
          </cell>
          <cell r="I954" t="str">
            <v>調書９</v>
          </cell>
        </row>
        <row r="955">
          <cell r="H955">
            <v>0</v>
          </cell>
        </row>
        <row r="956">
          <cell r="H956">
            <v>0</v>
          </cell>
        </row>
        <row r="957">
          <cell r="H957">
            <v>0</v>
          </cell>
        </row>
        <row r="958">
          <cell r="H958">
            <v>0</v>
          </cell>
        </row>
        <row r="959">
          <cell r="H959">
            <v>0</v>
          </cell>
        </row>
        <row r="960">
          <cell r="H960">
            <v>0</v>
          </cell>
        </row>
        <row r="961">
          <cell r="H961">
            <v>0</v>
          </cell>
        </row>
        <row r="962">
          <cell r="H962">
            <v>0</v>
          </cell>
        </row>
        <row r="963">
          <cell r="H963">
            <v>0</v>
          </cell>
        </row>
        <row r="964">
          <cell r="H964">
            <v>0</v>
          </cell>
        </row>
        <row r="965">
          <cell r="H965">
            <v>0</v>
          </cell>
        </row>
        <row r="966">
          <cell r="H966">
            <v>0</v>
          </cell>
        </row>
        <row r="967">
          <cell r="B967" t="str">
            <v>合計</v>
          </cell>
          <cell r="H967">
            <v>93760</v>
          </cell>
          <cell r="L967">
            <v>65600</v>
          </cell>
        </row>
        <row r="968">
          <cell r="A968" t="str">
            <v>１０</v>
          </cell>
          <cell r="B968" t="str">
            <v>ガス設備</v>
          </cell>
          <cell r="H968">
            <v>0</v>
          </cell>
        </row>
        <row r="969">
          <cell r="H969">
            <v>0</v>
          </cell>
        </row>
        <row r="970">
          <cell r="B970" t="str">
            <v>配管用炭素鋼鋼管</v>
          </cell>
          <cell r="C970" t="str">
            <v>ＳＧＰ白１５</v>
          </cell>
          <cell r="E970" t="str">
            <v>ｍ</v>
          </cell>
          <cell r="F970">
            <v>4</v>
          </cell>
          <cell r="G970">
            <v>191</v>
          </cell>
          <cell r="H970">
            <v>764</v>
          </cell>
          <cell r="I970" t="str">
            <v>物Ｐ５６５青森</v>
          </cell>
        </row>
        <row r="971">
          <cell r="B971" t="str">
            <v>継ぎ手　支持金物　接合材</v>
          </cell>
          <cell r="E971" t="str">
            <v>式</v>
          </cell>
          <cell r="F971">
            <v>1</v>
          </cell>
          <cell r="G971">
            <v>566</v>
          </cell>
          <cell r="H971">
            <v>566</v>
          </cell>
          <cell r="I971" t="str">
            <v>管×０．７５</v>
          </cell>
        </row>
        <row r="972">
          <cell r="H972">
            <v>0</v>
          </cell>
        </row>
        <row r="973">
          <cell r="B973" t="str">
            <v>２本立集合装置</v>
          </cell>
          <cell r="C973" t="str">
            <v>２０ｋ２本用</v>
          </cell>
          <cell r="E973" t="str">
            <v>ヶ</v>
          </cell>
          <cell r="F973">
            <v>1</v>
          </cell>
          <cell r="G973">
            <v>9600</v>
          </cell>
          <cell r="H973">
            <v>9600</v>
          </cell>
          <cell r="I973" t="str">
            <v>見積３１</v>
          </cell>
        </row>
        <row r="974">
          <cell r="B974" t="str">
            <v>ボンベボックス</v>
          </cell>
          <cell r="C974" t="str">
            <v>　　　〃</v>
          </cell>
          <cell r="E974" t="str">
            <v>〃</v>
          </cell>
          <cell r="F974">
            <v>1</v>
          </cell>
          <cell r="G974">
            <v>12800</v>
          </cell>
          <cell r="H974">
            <v>12800</v>
          </cell>
          <cell r="I974" t="str">
            <v>見積３２</v>
          </cell>
        </row>
        <row r="975">
          <cell r="B975" t="str">
            <v>ガスコック</v>
          </cell>
          <cell r="C975" t="str">
            <v>１５</v>
          </cell>
          <cell r="E975" t="str">
            <v>〃</v>
          </cell>
          <cell r="F975">
            <v>2</v>
          </cell>
          <cell r="G975">
            <v>1280</v>
          </cell>
          <cell r="H975">
            <v>2560</v>
          </cell>
          <cell r="I975" t="str">
            <v>見積３３</v>
          </cell>
        </row>
        <row r="976">
          <cell r="B976" t="str">
            <v>ガスメーター</v>
          </cell>
          <cell r="C976" t="str">
            <v>マイコン２号</v>
          </cell>
          <cell r="E976" t="str">
            <v>〃</v>
          </cell>
          <cell r="F976">
            <v>1</v>
          </cell>
          <cell r="H976" t="str">
            <v>貸与品</v>
          </cell>
        </row>
        <row r="977">
          <cell r="B977" t="str">
            <v>２口ガス栓</v>
          </cell>
          <cell r="C977" t="str">
            <v>１５×１０　ヒューズコック</v>
          </cell>
          <cell r="E977" t="str">
            <v>〃</v>
          </cell>
          <cell r="F977">
            <v>1</v>
          </cell>
          <cell r="G977">
            <v>3680</v>
          </cell>
          <cell r="H977">
            <v>3680</v>
          </cell>
          <cell r="I977" t="str">
            <v>見積３４</v>
          </cell>
        </row>
        <row r="978">
          <cell r="H978">
            <v>0</v>
          </cell>
        </row>
        <row r="979">
          <cell r="B979" t="str">
            <v>器具取り付け費</v>
          </cell>
          <cell r="E979" t="str">
            <v>式</v>
          </cell>
          <cell r="F979">
            <v>1</v>
          </cell>
          <cell r="G979">
            <v>14100</v>
          </cell>
          <cell r="H979">
            <v>14100</v>
          </cell>
          <cell r="I979" t="str">
            <v>調書１０</v>
          </cell>
        </row>
        <row r="980">
          <cell r="B980" t="str">
            <v>配管工事費</v>
          </cell>
          <cell r="E980" t="str">
            <v>〃</v>
          </cell>
          <cell r="F980">
            <v>1</v>
          </cell>
          <cell r="G980">
            <v>5040</v>
          </cell>
          <cell r="H980">
            <v>5040</v>
          </cell>
          <cell r="I980" t="str">
            <v>調書１０</v>
          </cell>
        </row>
        <row r="981">
          <cell r="B981" t="str">
            <v>塗装費</v>
          </cell>
          <cell r="E981" t="str">
            <v>〃</v>
          </cell>
          <cell r="F981">
            <v>1</v>
          </cell>
          <cell r="G981">
            <v>1000</v>
          </cell>
          <cell r="H981">
            <v>1000</v>
          </cell>
          <cell r="I981" t="str">
            <v>調書１０</v>
          </cell>
        </row>
        <row r="982">
          <cell r="H982">
            <v>0</v>
          </cell>
        </row>
        <row r="983">
          <cell r="H983">
            <v>0</v>
          </cell>
        </row>
        <row r="984">
          <cell r="H984">
            <v>0</v>
          </cell>
        </row>
        <row r="985">
          <cell r="H985">
            <v>0</v>
          </cell>
        </row>
        <row r="986">
          <cell r="H986">
            <v>0</v>
          </cell>
        </row>
        <row r="987">
          <cell r="H987">
            <v>0</v>
          </cell>
        </row>
        <row r="988">
          <cell r="H988">
            <v>0</v>
          </cell>
        </row>
        <row r="989">
          <cell r="H989">
            <v>0</v>
          </cell>
        </row>
        <row r="990">
          <cell r="B990" t="str">
            <v>合計</v>
          </cell>
          <cell r="H990">
            <v>50110</v>
          </cell>
        </row>
        <row r="991">
          <cell r="H991">
            <v>0</v>
          </cell>
        </row>
        <row r="992">
          <cell r="H992">
            <v>0</v>
          </cell>
        </row>
        <row r="993">
          <cell r="H993">
            <v>0</v>
          </cell>
        </row>
        <row r="994">
          <cell r="H994">
            <v>0</v>
          </cell>
        </row>
        <row r="995">
          <cell r="H995">
            <v>0</v>
          </cell>
        </row>
        <row r="996">
          <cell r="H996">
            <v>0</v>
          </cell>
        </row>
        <row r="997">
          <cell r="H997">
            <v>0</v>
          </cell>
        </row>
        <row r="998">
          <cell r="H998">
            <v>0</v>
          </cell>
        </row>
        <row r="999">
          <cell r="H999">
            <v>0</v>
          </cell>
        </row>
        <row r="1000">
          <cell r="H1000">
            <v>0</v>
          </cell>
        </row>
        <row r="1001">
          <cell r="H1001">
            <v>0</v>
          </cell>
        </row>
        <row r="1002">
          <cell r="H1002">
            <v>0</v>
          </cell>
        </row>
        <row r="1003">
          <cell r="H1003">
            <v>0</v>
          </cell>
        </row>
        <row r="1004">
          <cell r="H1004">
            <v>0</v>
          </cell>
        </row>
        <row r="1005">
          <cell r="H1005">
            <v>0</v>
          </cell>
        </row>
        <row r="1006">
          <cell r="H1006">
            <v>0</v>
          </cell>
        </row>
        <row r="1007">
          <cell r="H1007">
            <v>0</v>
          </cell>
        </row>
        <row r="1008">
          <cell r="H1008">
            <v>0</v>
          </cell>
        </row>
        <row r="1009">
          <cell r="H1009">
            <v>0</v>
          </cell>
        </row>
        <row r="1010">
          <cell r="H1010">
            <v>0</v>
          </cell>
        </row>
        <row r="1011">
          <cell r="H1011">
            <v>0</v>
          </cell>
        </row>
        <row r="1012">
          <cell r="H1012">
            <v>0</v>
          </cell>
        </row>
        <row r="1013">
          <cell r="H1013">
            <v>0</v>
          </cell>
        </row>
        <row r="1014">
          <cell r="H1014">
            <v>0</v>
          </cell>
        </row>
        <row r="1015">
          <cell r="H1015">
            <v>0</v>
          </cell>
        </row>
        <row r="1016">
          <cell r="H1016">
            <v>0</v>
          </cell>
        </row>
        <row r="1017">
          <cell r="H1017">
            <v>0</v>
          </cell>
        </row>
        <row r="1018">
          <cell r="H1018">
            <v>0</v>
          </cell>
        </row>
        <row r="1019">
          <cell r="H1019">
            <v>0</v>
          </cell>
        </row>
        <row r="1020">
          <cell r="H1020">
            <v>0</v>
          </cell>
        </row>
        <row r="1021">
          <cell r="H1021">
            <v>0</v>
          </cell>
        </row>
        <row r="1022">
          <cell r="H1022">
            <v>0</v>
          </cell>
        </row>
        <row r="1023">
          <cell r="H1023">
            <v>0</v>
          </cell>
        </row>
        <row r="1024">
          <cell r="H1024">
            <v>0</v>
          </cell>
        </row>
        <row r="1025">
          <cell r="H1025">
            <v>0</v>
          </cell>
        </row>
        <row r="1026">
          <cell r="H1026">
            <v>0</v>
          </cell>
        </row>
        <row r="1027">
          <cell r="H1027">
            <v>0</v>
          </cell>
        </row>
        <row r="1028">
          <cell r="H1028">
            <v>0</v>
          </cell>
        </row>
        <row r="1029">
          <cell r="H1029">
            <v>0</v>
          </cell>
        </row>
        <row r="1030">
          <cell r="H1030">
            <v>0</v>
          </cell>
        </row>
        <row r="1031">
          <cell r="H1031">
            <v>0</v>
          </cell>
        </row>
        <row r="1032">
          <cell r="H1032">
            <v>0</v>
          </cell>
        </row>
        <row r="1033">
          <cell r="H1033">
            <v>0</v>
          </cell>
        </row>
        <row r="1034">
          <cell r="H1034">
            <v>0</v>
          </cell>
        </row>
        <row r="1035">
          <cell r="H1035">
            <v>0</v>
          </cell>
        </row>
        <row r="1036">
          <cell r="H1036">
            <v>0</v>
          </cell>
        </row>
        <row r="1037">
          <cell r="H1037">
            <v>0</v>
          </cell>
        </row>
        <row r="1038">
          <cell r="H1038">
            <v>0</v>
          </cell>
        </row>
        <row r="1039">
          <cell r="H1039">
            <v>0</v>
          </cell>
        </row>
        <row r="1040">
          <cell r="H1040">
            <v>0</v>
          </cell>
        </row>
        <row r="1041">
          <cell r="H1041">
            <v>0</v>
          </cell>
        </row>
        <row r="1042">
          <cell r="H1042">
            <v>0</v>
          </cell>
        </row>
        <row r="1043">
          <cell r="H1043">
            <v>0</v>
          </cell>
        </row>
        <row r="1044">
          <cell r="H1044">
            <v>0</v>
          </cell>
        </row>
        <row r="1045">
          <cell r="H1045">
            <v>0</v>
          </cell>
        </row>
        <row r="1046">
          <cell r="H1046">
            <v>0</v>
          </cell>
        </row>
        <row r="1047">
          <cell r="H1047">
            <v>0</v>
          </cell>
        </row>
        <row r="1048">
          <cell r="H1048">
            <v>0</v>
          </cell>
        </row>
        <row r="1049">
          <cell r="H1049">
            <v>0</v>
          </cell>
        </row>
        <row r="1050">
          <cell r="H1050">
            <v>0</v>
          </cell>
        </row>
        <row r="1051">
          <cell r="H1051">
            <v>0</v>
          </cell>
        </row>
        <row r="1052">
          <cell r="H1052">
            <v>0</v>
          </cell>
        </row>
        <row r="1053">
          <cell r="H1053">
            <v>0</v>
          </cell>
        </row>
        <row r="1054">
          <cell r="H1054">
            <v>0</v>
          </cell>
        </row>
        <row r="1055">
          <cell r="H1055">
            <v>0</v>
          </cell>
        </row>
        <row r="1056">
          <cell r="H1056">
            <v>0</v>
          </cell>
        </row>
        <row r="1057">
          <cell r="H1057">
            <v>0</v>
          </cell>
        </row>
        <row r="1058">
          <cell r="H1058">
            <v>0</v>
          </cell>
        </row>
        <row r="1059">
          <cell r="H1059">
            <v>0</v>
          </cell>
        </row>
        <row r="1060">
          <cell r="H1060">
            <v>0</v>
          </cell>
        </row>
        <row r="1061">
          <cell r="H1061">
            <v>0</v>
          </cell>
        </row>
        <row r="1062">
          <cell r="H1062">
            <v>0</v>
          </cell>
        </row>
        <row r="1063">
          <cell r="H1063">
            <v>0</v>
          </cell>
        </row>
        <row r="1064">
          <cell r="H1064">
            <v>0</v>
          </cell>
        </row>
        <row r="1065">
          <cell r="H1065">
            <v>0</v>
          </cell>
        </row>
        <row r="1066">
          <cell r="H1066">
            <v>0</v>
          </cell>
        </row>
        <row r="1067">
          <cell r="H1067">
            <v>0</v>
          </cell>
        </row>
        <row r="1068">
          <cell r="H1068">
            <v>0</v>
          </cell>
        </row>
        <row r="1069">
          <cell r="H1069">
            <v>0</v>
          </cell>
        </row>
        <row r="1070">
          <cell r="H1070">
            <v>0</v>
          </cell>
        </row>
        <row r="1071">
          <cell r="H1071">
            <v>0</v>
          </cell>
        </row>
        <row r="1072">
          <cell r="H1072">
            <v>0</v>
          </cell>
        </row>
        <row r="1073">
          <cell r="H1073">
            <v>0</v>
          </cell>
        </row>
        <row r="1074">
          <cell r="H1074">
            <v>0</v>
          </cell>
        </row>
        <row r="1075">
          <cell r="H1075">
            <v>0</v>
          </cell>
        </row>
        <row r="1076">
          <cell r="H1076">
            <v>0</v>
          </cell>
        </row>
        <row r="1077">
          <cell r="H1077">
            <v>0</v>
          </cell>
        </row>
        <row r="1078">
          <cell r="H1078">
            <v>0</v>
          </cell>
        </row>
        <row r="1079">
          <cell r="H1079">
            <v>0</v>
          </cell>
        </row>
        <row r="1080">
          <cell r="H1080">
            <v>0</v>
          </cell>
        </row>
        <row r="1081">
          <cell r="H1081">
            <v>0</v>
          </cell>
        </row>
        <row r="1082">
          <cell r="H1082">
            <v>0</v>
          </cell>
        </row>
        <row r="1083">
          <cell r="H1083">
            <v>0</v>
          </cell>
        </row>
        <row r="1084">
          <cell r="H1084">
            <v>0</v>
          </cell>
        </row>
        <row r="1085">
          <cell r="H1085">
            <v>0</v>
          </cell>
        </row>
        <row r="1086">
          <cell r="H1086">
            <v>0</v>
          </cell>
        </row>
        <row r="1087">
          <cell r="H1087">
            <v>0</v>
          </cell>
        </row>
        <row r="1088">
          <cell r="H1088">
            <v>0</v>
          </cell>
        </row>
        <row r="1089">
          <cell r="H1089">
            <v>0</v>
          </cell>
        </row>
        <row r="1090">
          <cell r="H1090">
            <v>0</v>
          </cell>
        </row>
        <row r="1091">
          <cell r="H1091">
            <v>0</v>
          </cell>
        </row>
        <row r="1092">
          <cell r="H1092">
            <v>0</v>
          </cell>
        </row>
        <row r="1093">
          <cell r="H1093">
            <v>0</v>
          </cell>
        </row>
        <row r="1094">
          <cell r="H1094">
            <v>0</v>
          </cell>
        </row>
        <row r="1095">
          <cell r="H1095">
            <v>0</v>
          </cell>
        </row>
        <row r="1096">
          <cell r="H1096">
            <v>0</v>
          </cell>
        </row>
        <row r="1097">
          <cell r="H1097">
            <v>0</v>
          </cell>
        </row>
        <row r="1098">
          <cell r="H1098">
            <v>0</v>
          </cell>
        </row>
        <row r="1099">
          <cell r="H1099">
            <v>0</v>
          </cell>
        </row>
        <row r="1100">
          <cell r="H1100">
            <v>0</v>
          </cell>
        </row>
        <row r="1101">
          <cell r="H1101">
            <v>0</v>
          </cell>
        </row>
        <row r="1102">
          <cell r="H1102">
            <v>0</v>
          </cell>
        </row>
        <row r="1103">
          <cell r="H1103">
            <v>0</v>
          </cell>
        </row>
        <row r="1104">
          <cell r="H1104">
            <v>0</v>
          </cell>
        </row>
        <row r="1105">
          <cell r="H1105">
            <v>0</v>
          </cell>
        </row>
        <row r="1106">
          <cell r="H1106">
            <v>0</v>
          </cell>
        </row>
        <row r="1107">
          <cell r="H1107">
            <v>0</v>
          </cell>
        </row>
        <row r="1108">
          <cell r="H1108">
            <v>0</v>
          </cell>
        </row>
        <row r="1109">
          <cell r="H1109">
            <v>0</v>
          </cell>
        </row>
        <row r="1110">
          <cell r="H1110">
            <v>0</v>
          </cell>
        </row>
        <row r="1111">
          <cell r="H1111">
            <v>0</v>
          </cell>
        </row>
        <row r="1112">
          <cell r="H1112">
            <v>0</v>
          </cell>
        </row>
        <row r="1113">
          <cell r="H1113">
            <v>0</v>
          </cell>
        </row>
        <row r="1114">
          <cell r="H1114">
            <v>0</v>
          </cell>
        </row>
        <row r="1115">
          <cell r="H1115">
            <v>0</v>
          </cell>
        </row>
        <row r="1116">
          <cell r="H1116">
            <v>0</v>
          </cell>
        </row>
        <row r="1117">
          <cell r="H1117">
            <v>0</v>
          </cell>
        </row>
        <row r="1118">
          <cell r="H1118">
            <v>0</v>
          </cell>
        </row>
        <row r="1119">
          <cell r="H1119">
            <v>0</v>
          </cell>
        </row>
        <row r="1120">
          <cell r="H1120">
            <v>0</v>
          </cell>
        </row>
        <row r="1121">
          <cell r="H1121">
            <v>0</v>
          </cell>
        </row>
        <row r="1122">
          <cell r="H1122">
            <v>0</v>
          </cell>
        </row>
        <row r="1123">
          <cell r="H1123">
            <v>0</v>
          </cell>
        </row>
        <row r="1124">
          <cell r="H1124">
            <v>0</v>
          </cell>
        </row>
        <row r="1125">
          <cell r="H1125">
            <v>0</v>
          </cell>
        </row>
        <row r="1126">
          <cell r="H1126">
            <v>0</v>
          </cell>
        </row>
        <row r="1127">
          <cell r="H1127">
            <v>0</v>
          </cell>
        </row>
        <row r="1128">
          <cell r="H1128">
            <v>0</v>
          </cell>
        </row>
        <row r="1129">
          <cell r="H1129">
            <v>0</v>
          </cell>
        </row>
        <row r="1130">
          <cell r="H1130">
            <v>0</v>
          </cell>
        </row>
        <row r="1131">
          <cell r="H1131">
            <v>0</v>
          </cell>
        </row>
        <row r="1132">
          <cell r="H1132">
            <v>0</v>
          </cell>
        </row>
        <row r="1133">
          <cell r="H1133">
            <v>0</v>
          </cell>
        </row>
        <row r="1134">
          <cell r="H1134">
            <v>0</v>
          </cell>
        </row>
        <row r="1135">
          <cell r="H1135">
            <v>0</v>
          </cell>
        </row>
        <row r="1136">
          <cell r="H1136">
            <v>0</v>
          </cell>
        </row>
        <row r="1137">
          <cell r="H1137">
            <v>0</v>
          </cell>
        </row>
        <row r="1138">
          <cell r="H1138">
            <v>0</v>
          </cell>
        </row>
        <row r="1139">
          <cell r="H1139">
            <v>0</v>
          </cell>
        </row>
        <row r="1140">
          <cell r="H1140">
            <v>0</v>
          </cell>
        </row>
        <row r="1141">
          <cell r="H1141">
            <v>0</v>
          </cell>
        </row>
        <row r="1142">
          <cell r="H1142">
            <v>0</v>
          </cell>
        </row>
        <row r="1143">
          <cell r="H1143">
            <v>0</v>
          </cell>
        </row>
        <row r="1144">
          <cell r="H1144">
            <v>0</v>
          </cell>
        </row>
        <row r="1145">
          <cell r="H1145">
            <v>0</v>
          </cell>
        </row>
        <row r="1146">
          <cell r="H1146">
            <v>0</v>
          </cell>
        </row>
        <row r="1147">
          <cell r="H1147">
            <v>0</v>
          </cell>
        </row>
        <row r="1148">
          <cell r="H1148">
            <v>0</v>
          </cell>
        </row>
        <row r="1149">
          <cell r="H1149">
            <v>0</v>
          </cell>
        </row>
        <row r="1150">
          <cell r="H1150">
            <v>0</v>
          </cell>
        </row>
        <row r="1151">
          <cell r="H1151">
            <v>0</v>
          </cell>
        </row>
        <row r="1152">
          <cell r="H1152">
            <v>0</v>
          </cell>
        </row>
        <row r="1153">
          <cell r="H1153">
            <v>0</v>
          </cell>
        </row>
        <row r="1154">
          <cell r="H1154">
            <v>0</v>
          </cell>
        </row>
        <row r="1155">
          <cell r="H1155">
            <v>0</v>
          </cell>
        </row>
        <row r="1156">
          <cell r="H1156">
            <v>0</v>
          </cell>
        </row>
        <row r="1157">
          <cell r="H1157">
            <v>0</v>
          </cell>
        </row>
        <row r="1158">
          <cell r="H1158">
            <v>0</v>
          </cell>
        </row>
        <row r="1159">
          <cell r="H1159">
            <v>0</v>
          </cell>
        </row>
        <row r="1160">
          <cell r="H1160">
            <v>0</v>
          </cell>
        </row>
        <row r="1161">
          <cell r="H1161">
            <v>0</v>
          </cell>
        </row>
        <row r="1162">
          <cell r="H1162">
            <v>0</v>
          </cell>
        </row>
        <row r="1163">
          <cell r="H1163">
            <v>0</v>
          </cell>
        </row>
        <row r="1164">
          <cell r="H1164">
            <v>0</v>
          </cell>
        </row>
        <row r="1165">
          <cell r="H1165">
            <v>0</v>
          </cell>
        </row>
        <row r="1166">
          <cell r="H1166">
            <v>0</v>
          </cell>
        </row>
        <row r="1167">
          <cell r="H1167">
            <v>0</v>
          </cell>
        </row>
        <row r="1168">
          <cell r="H1168">
            <v>0</v>
          </cell>
        </row>
        <row r="1169">
          <cell r="H1169">
            <v>0</v>
          </cell>
        </row>
        <row r="1170">
          <cell r="H1170">
            <v>0</v>
          </cell>
        </row>
        <row r="1171">
          <cell r="H1171">
            <v>0</v>
          </cell>
        </row>
        <row r="1172">
          <cell r="H1172">
            <v>0</v>
          </cell>
        </row>
        <row r="1173">
          <cell r="H1173">
            <v>0</v>
          </cell>
        </row>
        <row r="1174">
          <cell r="H1174">
            <v>0</v>
          </cell>
        </row>
        <row r="1175">
          <cell r="H1175">
            <v>0</v>
          </cell>
        </row>
        <row r="1176">
          <cell r="H1176">
            <v>0</v>
          </cell>
        </row>
        <row r="1177">
          <cell r="H1177">
            <v>0</v>
          </cell>
        </row>
        <row r="1178">
          <cell r="H1178">
            <v>0</v>
          </cell>
        </row>
        <row r="1179">
          <cell r="H1179">
            <v>0</v>
          </cell>
        </row>
        <row r="1180">
          <cell r="H1180">
            <v>0</v>
          </cell>
        </row>
        <row r="1181">
          <cell r="H1181">
            <v>0</v>
          </cell>
        </row>
        <row r="1182">
          <cell r="H1182">
            <v>0</v>
          </cell>
        </row>
        <row r="1183">
          <cell r="H1183">
            <v>0</v>
          </cell>
        </row>
        <row r="1184">
          <cell r="H1184">
            <v>0</v>
          </cell>
        </row>
        <row r="1185">
          <cell r="H1185">
            <v>0</v>
          </cell>
        </row>
        <row r="1186">
          <cell r="H1186">
            <v>0</v>
          </cell>
        </row>
        <row r="1187">
          <cell r="H1187">
            <v>0</v>
          </cell>
        </row>
        <row r="1188">
          <cell r="H1188">
            <v>0</v>
          </cell>
        </row>
        <row r="1189">
          <cell r="H1189">
            <v>0</v>
          </cell>
        </row>
        <row r="1190">
          <cell r="H1190">
            <v>0</v>
          </cell>
        </row>
        <row r="1191">
          <cell r="H1191">
            <v>0</v>
          </cell>
        </row>
        <row r="1192">
          <cell r="H1192">
            <v>0</v>
          </cell>
        </row>
        <row r="1193">
          <cell r="H1193">
            <v>0</v>
          </cell>
        </row>
        <row r="1194">
          <cell r="H1194">
            <v>0</v>
          </cell>
        </row>
        <row r="1195">
          <cell r="H1195">
            <v>0</v>
          </cell>
        </row>
        <row r="1196">
          <cell r="H1196">
            <v>0</v>
          </cell>
        </row>
        <row r="1197">
          <cell r="H1197">
            <v>0</v>
          </cell>
        </row>
        <row r="1198">
          <cell r="H1198">
            <v>0</v>
          </cell>
        </row>
        <row r="1199">
          <cell r="H1199">
            <v>0</v>
          </cell>
        </row>
        <row r="1200">
          <cell r="H1200">
            <v>0</v>
          </cell>
        </row>
        <row r="1201">
          <cell r="H1201">
            <v>0</v>
          </cell>
        </row>
        <row r="1202">
          <cell r="H1202">
            <v>0</v>
          </cell>
        </row>
        <row r="1203">
          <cell r="H1203">
            <v>0</v>
          </cell>
        </row>
        <row r="1204">
          <cell r="H1204">
            <v>0</v>
          </cell>
        </row>
        <row r="1205">
          <cell r="H1205">
            <v>0</v>
          </cell>
        </row>
        <row r="1206">
          <cell r="H1206">
            <v>0</v>
          </cell>
        </row>
        <row r="1207">
          <cell r="H1207">
            <v>0</v>
          </cell>
        </row>
        <row r="1208">
          <cell r="H1208">
            <v>0</v>
          </cell>
        </row>
        <row r="1209">
          <cell r="H1209">
            <v>0</v>
          </cell>
        </row>
        <row r="1210">
          <cell r="H1210">
            <v>0</v>
          </cell>
        </row>
        <row r="1211">
          <cell r="H1211">
            <v>0</v>
          </cell>
        </row>
        <row r="1212">
          <cell r="H1212">
            <v>0</v>
          </cell>
        </row>
        <row r="1213">
          <cell r="H1213">
            <v>0</v>
          </cell>
        </row>
        <row r="1214">
          <cell r="H1214">
            <v>0</v>
          </cell>
        </row>
        <row r="1215">
          <cell r="H1215">
            <v>0</v>
          </cell>
        </row>
        <row r="1216">
          <cell r="H1216">
            <v>0</v>
          </cell>
        </row>
        <row r="1217">
          <cell r="H1217">
            <v>0</v>
          </cell>
        </row>
        <row r="1218">
          <cell r="H1218">
            <v>0</v>
          </cell>
        </row>
        <row r="1219">
          <cell r="H1219">
            <v>0</v>
          </cell>
        </row>
        <row r="1220">
          <cell r="H1220">
            <v>0</v>
          </cell>
        </row>
        <row r="1221">
          <cell r="H1221">
            <v>0</v>
          </cell>
        </row>
        <row r="1222">
          <cell r="H1222">
            <v>0</v>
          </cell>
        </row>
        <row r="1223">
          <cell r="H1223">
            <v>0</v>
          </cell>
        </row>
        <row r="1224">
          <cell r="H1224">
            <v>0</v>
          </cell>
        </row>
        <row r="1225">
          <cell r="H1225">
            <v>0</v>
          </cell>
        </row>
        <row r="1226">
          <cell r="H1226">
            <v>0</v>
          </cell>
        </row>
        <row r="1227">
          <cell r="H1227">
            <v>0</v>
          </cell>
        </row>
        <row r="1228">
          <cell r="H1228">
            <v>0</v>
          </cell>
        </row>
        <row r="1229">
          <cell r="H1229">
            <v>0</v>
          </cell>
        </row>
        <row r="1230">
          <cell r="H1230">
            <v>0</v>
          </cell>
        </row>
        <row r="1231">
          <cell r="H1231">
            <v>0</v>
          </cell>
        </row>
        <row r="1232">
          <cell r="H1232">
            <v>0</v>
          </cell>
        </row>
        <row r="1233">
          <cell r="H1233">
            <v>0</v>
          </cell>
        </row>
        <row r="1234">
          <cell r="H1234">
            <v>0</v>
          </cell>
        </row>
        <row r="1235">
          <cell r="H1235">
            <v>0</v>
          </cell>
        </row>
        <row r="1236">
          <cell r="H1236">
            <v>0</v>
          </cell>
        </row>
        <row r="1237">
          <cell r="H1237">
            <v>0</v>
          </cell>
        </row>
        <row r="1238">
          <cell r="H1238">
            <v>0</v>
          </cell>
        </row>
        <row r="1239">
          <cell r="H1239">
            <v>0</v>
          </cell>
        </row>
        <row r="1240">
          <cell r="H1240">
            <v>0</v>
          </cell>
        </row>
        <row r="1241">
          <cell r="H1241">
            <v>0</v>
          </cell>
        </row>
        <row r="1242">
          <cell r="H1242">
            <v>0</v>
          </cell>
        </row>
        <row r="1243">
          <cell r="H1243">
            <v>0</v>
          </cell>
        </row>
        <row r="1244">
          <cell r="H1244">
            <v>0</v>
          </cell>
        </row>
        <row r="1245">
          <cell r="H1245">
            <v>0</v>
          </cell>
        </row>
        <row r="1246">
          <cell r="H1246">
            <v>0</v>
          </cell>
        </row>
        <row r="1247">
          <cell r="H1247">
            <v>0</v>
          </cell>
        </row>
        <row r="1248">
          <cell r="H1248">
            <v>0</v>
          </cell>
        </row>
        <row r="1249">
          <cell r="H1249">
            <v>0</v>
          </cell>
        </row>
        <row r="1250">
          <cell r="H1250">
            <v>0</v>
          </cell>
        </row>
        <row r="1251">
          <cell r="H1251">
            <v>0</v>
          </cell>
        </row>
        <row r="1252">
          <cell r="H1252">
            <v>0</v>
          </cell>
        </row>
        <row r="1253">
          <cell r="H1253">
            <v>0</v>
          </cell>
        </row>
        <row r="1254">
          <cell r="H1254">
            <v>0</v>
          </cell>
        </row>
        <row r="1255">
          <cell r="H1255">
            <v>0</v>
          </cell>
        </row>
        <row r="1256">
          <cell r="H1256">
            <v>0</v>
          </cell>
        </row>
        <row r="1257">
          <cell r="H1257">
            <v>0</v>
          </cell>
        </row>
        <row r="1258">
          <cell r="H1258">
            <v>0</v>
          </cell>
        </row>
        <row r="1259">
          <cell r="H1259">
            <v>0</v>
          </cell>
        </row>
        <row r="1260">
          <cell r="H1260">
            <v>0</v>
          </cell>
        </row>
        <row r="1261">
          <cell r="H1261">
            <v>0</v>
          </cell>
        </row>
        <row r="1262">
          <cell r="H1262">
            <v>0</v>
          </cell>
        </row>
        <row r="1263">
          <cell r="H1263">
            <v>0</v>
          </cell>
        </row>
        <row r="1264">
          <cell r="H1264">
            <v>0</v>
          </cell>
        </row>
        <row r="1265">
          <cell r="H1265">
            <v>0</v>
          </cell>
        </row>
        <row r="1266">
          <cell r="H1266">
            <v>0</v>
          </cell>
        </row>
        <row r="1267">
          <cell r="H1267">
            <v>0</v>
          </cell>
        </row>
        <row r="1268">
          <cell r="H1268">
            <v>0</v>
          </cell>
        </row>
        <row r="1269">
          <cell r="H1269">
            <v>0</v>
          </cell>
        </row>
        <row r="1270">
          <cell r="H1270">
            <v>0</v>
          </cell>
        </row>
        <row r="1271">
          <cell r="H1271">
            <v>0</v>
          </cell>
        </row>
        <row r="1272">
          <cell r="H1272">
            <v>0</v>
          </cell>
        </row>
        <row r="1273">
          <cell r="H1273">
            <v>0</v>
          </cell>
        </row>
        <row r="1274">
          <cell r="H1274">
            <v>0</v>
          </cell>
        </row>
        <row r="1275">
          <cell r="H1275">
            <v>0</v>
          </cell>
        </row>
        <row r="1276">
          <cell r="H1276">
            <v>0</v>
          </cell>
        </row>
        <row r="1277">
          <cell r="H1277">
            <v>0</v>
          </cell>
        </row>
        <row r="1278">
          <cell r="H1278">
            <v>0</v>
          </cell>
        </row>
        <row r="1279">
          <cell r="H1279">
            <v>0</v>
          </cell>
        </row>
        <row r="1280">
          <cell r="H1280">
            <v>0</v>
          </cell>
        </row>
        <row r="1281">
          <cell r="H1281">
            <v>0</v>
          </cell>
        </row>
        <row r="1282">
          <cell r="H1282">
            <v>0</v>
          </cell>
        </row>
        <row r="1283">
          <cell r="H1283">
            <v>0</v>
          </cell>
        </row>
        <row r="1284">
          <cell r="H1284">
            <v>0</v>
          </cell>
        </row>
        <row r="1285">
          <cell r="H1285">
            <v>0</v>
          </cell>
        </row>
        <row r="1286">
          <cell r="H1286">
            <v>0</v>
          </cell>
        </row>
        <row r="1287">
          <cell r="H1287">
            <v>0</v>
          </cell>
        </row>
        <row r="1288">
          <cell r="H1288">
            <v>0</v>
          </cell>
        </row>
        <row r="1289">
          <cell r="H1289">
            <v>0</v>
          </cell>
        </row>
        <row r="1290">
          <cell r="H1290">
            <v>0</v>
          </cell>
        </row>
        <row r="1291">
          <cell r="H1291">
            <v>0</v>
          </cell>
        </row>
        <row r="1292">
          <cell r="H1292">
            <v>0</v>
          </cell>
        </row>
        <row r="1293">
          <cell r="H1293">
            <v>0</v>
          </cell>
        </row>
        <row r="1294">
          <cell r="H1294">
            <v>0</v>
          </cell>
        </row>
        <row r="1295">
          <cell r="H1295">
            <v>0</v>
          </cell>
        </row>
        <row r="1296">
          <cell r="H1296">
            <v>0</v>
          </cell>
        </row>
        <row r="1297">
          <cell r="H1297">
            <v>0</v>
          </cell>
        </row>
        <row r="1298">
          <cell r="H1298">
            <v>0</v>
          </cell>
        </row>
        <row r="1299">
          <cell r="H1299">
            <v>0</v>
          </cell>
        </row>
        <row r="1300">
          <cell r="H1300">
            <v>0</v>
          </cell>
        </row>
        <row r="1301">
          <cell r="H1301">
            <v>0</v>
          </cell>
        </row>
        <row r="1302">
          <cell r="H1302">
            <v>0</v>
          </cell>
        </row>
        <row r="1303">
          <cell r="H1303">
            <v>0</v>
          </cell>
        </row>
        <row r="1304">
          <cell r="H1304">
            <v>0</v>
          </cell>
        </row>
        <row r="1305">
          <cell r="H1305">
            <v>0</v>
          </cell>
        </row>
        <row r="1306">
          <cell r="H1306">
            <v>0</v>
          </cell>
        </row>
        <row r="1307">
          <cell r="H1307">
            <v>0</v>
          </cell>
        </row>
        <row r="1308">
          <cell r="H1308">
            <v>0</v>
          </cell>
        </row>
      </sheetData>
      <sheetData sheetId="2"/>
      <sheetData sheetId="3"/>
      <sheetData sheetId="4"/>
      <sheetData sheetId="5">
        <row r="1">
          <cell r="A1" t="str">
            <v>No.</v>
          </cell>
        </row>
      </sheetData>
      <sheetData sheetId="6"/>
      <sheetData sheetId="7">
        <row r="1">
          <cell r="A1" t="str">
            <v>No.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/>
      <sheetData sheetId="2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№1"/>
      <sheetName val="地盤伸縮計・地表"/>
      <sheetName val="地盤傾斜計・地表"/>
      <sheetName val="地下水位計"/>
      <sheetName val="垂直伸縮計"/>
      <sheetName val="孔内傾斜計"/>
      <sheetName val="№2-1"/>
      <sheetName val="№2-2"/>
      <sheetName val="配管工・φ30"/>
      <sheetName val="配管工・φ40"/>
      <sheetName val="配管工・φ50"/>
      <sheetName val="配管工・φ80"/>
      <sheetName val="配管工・φ100"/>
      <sheetName val="配線工・2PNCT-4c"/>
      <sheetName val="配線工・2PNCT-5C"/>
      <sheetName val="配線工・5p"/>
      <sheetName val="配線工・30p"/>
      <sheetName val="配線工・50p"/>
      <sheetName val="配線工・電源ｹｰﾌﾞﾙ"/>
      <sheetName val="建柱工（鋼管柱）A"/>
      <sheetName val="建柱工B"/>
      <sheetName val="支線工"/>
      <sheetName val="ﾒｯｾﾝｼﾞｬﾜｲﾔ"/>
      <sheetName val="接地工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起案"/>
      <sheetName val="措置請求書"/>
      <sheetName val="予定価格"/>
      <sheetName val="事前回覧"/>
      <sheetName val="見積もり"/>
      <sheetName val="管理技術"/>
      <sheetName val="着手"/>
      <sheetName val="完了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見積"/>
      <sheetName val="別紙1"/>
      <sheetName val="別紙2"/>
      <sheetName val="別紙3"/>
      <sheetName val="別紙4"/>
      <sheetName val="分担"/>
      <sheetName val="項目別直接経費"/>
    </sheetNames>
    <sheetDataSet>
      <sheetData sheetId="0"/>
      <sheetData sheetId="1" refreshError="1">
        <row r="3">
          <cell r="H3">
            <v>14642850</v>
          </cell>
        </row>
        <row r="11">
          <cell r="H11">
            <v>5861300</v>
          </cell>
        </row>
        <row r="27">
          <cell r="H27">
            <v>17571420</v>
          </cell>
        </row>
        <row r="31">
          <cell r="H31">
            <v>47739851</v>
          </cell>
        </row>
        <row r="33">
          <cell r="H33">
            <v>2386992.5500000003</v>
          </cell>
        </row>
      </sheetData>
      <sheetData sheetId="2"/>
      <sheetData sheetId="3" refreshError="1"/>
      <sheetData sheetId="4"/>
      <sheetData sheetId="5"/>
      <sheetData sheetId="6" refreshError="1"/>
      <sheetData sheetId="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 "/>
      <sheetName val="見積"/>
      <sheetName val="別紙1"/>
      <sheetName val="別紙2"/>
    </sheetNames>
    <sheetDataSet>
      <sheetData sheetId="0"/>
      <sheetData sheetId="1" refreshError="1">
        <row r="27">
          <cell r="H27">
            <v>9975000</v>
          </cell>
        </row>
      </sheetData>
      <sheetData sheetId="2"/>
      <sheetData sheetId="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初期条件"/>
      <sheetName val="設計書鏡"/>
      <sheetName val="当初設計書"/>
      <sheetName val="内訳書"/>
      <sheetName val="単価表"/>
      <sheetName val="間接費(測調)"/>
      <sheetName val="設計額"/>
      <sheetName val="設計額 (2)"/>
      <sheetName val="設計額 (3)"/>
      <sheetName val="予定価格下調書"/>
      <sheetName val="予定価格下調書 (2)"/>
      <sheetName val="契約措置請求"/>
      <sheetName val="予定価格"/>
      <sheetName val="日額"/>
      <sheetName val="率"/>
      <sheetName val="計算"/>
    </sheetNames>
    <sheetDataSet>
      <sheetData sheetId="0">
        <row r="11">
          <cell r="A11" t="str">
            <v>Ｎｏ</v>
          </cell>
          <cell r="B11" t="str">
            <v>工種</v>
          </cell>
          <cell r="C11" t="str">
            <v>種別</v>
          </cell>
          <cell r="D11" t="str">
            <v>細別</v>
          </cell>
          <cell r="E11" t="str">
            <v>名称</v>
          </cell>
          <cell r="F11" t="str">
            <v>単位</v>
          </cell>
          <cell r="G11" t="str">
            <v>員数</v>
          </cell>
          <cell r="H11" t="str">
            <v>内訳番号</v>
          </cell>
        </row>
        <row r="12">
          <cell r="A12">
            <v>1</v>
          </cell>
          <cell r="B12" t="str">
            <v>池田ダム貯水池周辺地すべり観測業務（大田地区）</v>
          </cell>
        </row>
        <row r="13">
          <cell r="A13">
            <v>2</v>
          </cell>
          <cell r="C13" t="str">
            <v>直接調査費</v>
          </cell>
          <cell r="F13" t="str">
            <v>式</v>
          </cell>
          <cell r="G13">
            <v>1</v>
          </cell>
        </row>
        <row r="14">
          <cell r="A14">
            <v>3</v>
          </cell>
          <cell r="C14" t="str">
            <v>　</v>
          </cell>
          <cell r="D14" t="str">
            <v>打合せ協議</v>
          </cell>
          <cell r="F14" t="str">
            <v>式</v>
          </cell>
          <cell r="G14">
            <v>1</v>
          </cell>
          <cell r="H14">
            <v>1</v>
          </cell>
        </row>
        <row r="15">
          <cell r="A15">
            <v>4</v>
          </cell>
          <cell r="D15" t="str">
            <v>観測業務</v>
          </cell>
          <cell r="F15" t="str">
            <v>式</v>
          </cell>
          <cell r="G15">
            <v>1</v>
          </cell>
          <cell r="H15">
            <v>2</v>
          </cell>
        </row>
        <row r="16">
          <cell r="A16">
            <v>5</v>
          </cell>
          <cell r="D16" t="str">
            <v>資料整理</v>
          </cell>
          <cell r="F16" t="str">
            <v>式</v>
          </cell>
          <cell r="G16">
            <v>1</v>
          </cell>
          <cell r="H16">
            <v>3</v>
          </cell>
        </row>
        <row r="17">
          <cell r="A17">
            <v>6</v>
          </cell>
          <cell r="D17" t="str">
            <v>報告書作成</v>
          </cell>
          <cell r="F17" t="str">
            <v>式</v>
          </cell>
          <cell r="G17">
            <v>1</v>
          </cell>
          <cell r="H17">
            <v>4</v>
          </cell>
        </row>
        <row r="18">
          <cell r="A18">
            <v>7</v>
          </cell>
          <cell r="C18" t="str">
            <v>間接調査費</v>
          </cell>
          <cell r="E18" t="str">
            <v>　</v>
          </cell>
          <cell r="F18" t="str">
            <v>式</v>
          </cell>
          <cell r="G18">
            <v>1</v>
          </cell>
        </row>
        <row r="19">
          <cell r="A19">
            <v>8</v>
          </cell>
          <cell r="C19" t="str">
            <v>　</v>
          </cell>
          <cell r="D19" t="str">
            <v>諸経費</v>
          </cell>
          <cell r="E19" t="str">
            <v>　</v>
          </cell>
          <cell r="F19" t="str">
            <v>式</v>
          </cell>
          <cell r="G19">
            <v>1</v>
          </cell>
        </row>
        <row r="20">
          <cell r="A20">
            <v>9</v>
          </cell>
          <cell r="B20" t="str">
            <v>調査価格</v>
          </cell>
        </row>
        <row r="21">
          <cell r="A21">
            <v>10</v>
          </cell>
          <cell r="B21" t="str">
            <v>改め</v>
          </cell>
        </row>
        <row r="22">
          <cell r="A22">
            <v>11</v>
          </cell>
          <cell r="B22" t="str">
            <v>消費税相当額</v>
          </cell>
        </row>
        <row r="23">
          <cell r="A23">
            <v>12</v>
          </cell>
          <cell r="B23" t="str">
            <v>水質調査費</v>
          </cell>
        </row>
        <row r="24">
          <cell r="A24">
            <v>13</v>
          </cell>
        </row>
        <row r="25">
          <cell r="A25">
            <v>14</v>
          </cell>
        </row>
        <row r="26">
          <cell r="A26">
            <v>15</v>
          </cell>
        </row>
        <row r="27">
          <cell r="A27">
            <v>16</v>
          </cell>
        </row>
        <row r="28">
          <cell r="A28">
            <v>17</v>
          </cell>
        </row>
        <row r="29">
          <cell r="A29">
            <v>18</v>
          </cell>
        </row>
        <row r="30">
          <cell r="A30">
            <v>19</v>
          </cell>
        </row>
        <row r="31">
          <cell r="A31">
            <v>20</v>
          </cell>
        </row>
        <row r="32">
          <cell r="A32">
            <v>21</v>
          </cell>
        </row>
        <row r="33">
          <cell r="A33">
            <v>22</v>
          </cell>
        </row>
        <row r="34">
          <cell r="A34">
            <v>23</v>
          </cell>
        </row>
        <row r="35">
          <cell r="A35">
            <v>24</v>
          </cell>
        </row>
        <row r="36">
          <cell r="A36">
            <v>25</v>
          </cell>
        </row>
        <row r="37">
          <cell r="A37">
            <v>26</v>
          </cell>
        </row>
        <row r="38">
          <cell r="A38">
            <v>27</v>
          </cell>
        </row>
        <row r="39">
          <cell r="A39">
            <v>28</v>
          </cell>
        </row>
        <row r="40">
          <cell r="A40">
            <v>29</v>
          </cell>
        </row>
        <row r="41">
          <cell r="A41">
            <v>30</v>
          </cell>
        </row>
        <row r="42">
          <cell r="A42">
            <v>31</v>
          </cell>
        </row>
        <row r="43">
          <cell r="A43">
            <v>32</v>
          </cell>
        </row>
        <row r="44">
          <cell r="A44">
            <v>33</v>
          </cell>
        </row>
        <row r="45">
          <cell r="A45">
            <v>34</v>
          </cell>
        </row>
        <row r="46">
          <cell r="A46">
            <v>35</v>
          </cell>
        </row>
        <row r="47">
          <cell r="A47">
            <v>36</v>
          </cell>
        </row>
        <row r="48">
          <cell r="A48">
            <v>37</v>
          </cell>
        </row>
        <row r="49">
          <cell r="A49">
            <v>38</v>
          </cell>
        </row>
        <row r="50">
          <cell r="A50">
            <v>39</v>
          </cell>
        </row>
        <row r="51">
          <cell r="A51">
            <v>40</v>
          </cell>
        </row>
        <row r="52">
          <cell r="A52">
            <v>41</v>
          </cell>
        </row>
        <row r="53">
          <cell r="A53">
            <v>42</v>
          </cell>
        </row>
        <row r="54">
          <cell r="A54">
            <v>43</v>
          </cell>
        </row>
        <row r="55">
          <cell r="A55">
            <v>44</v>
          </cell>
        </row>
        <row r="56">
          <cell r="A56">
            <v>45</v>
          </cell>
        </row>
        <row r="57">
          <cell r="A57">
            <v>46</v>
          </cell>
        </row>
        <row r="58">
          <cell r="A58">
            <v>47</v>
          </cell>
        </row>
        <row r="59">
          <cell r="A59">
            <v>48</v>
          </cell>
        </row>
        <row r="60">
          <cell r="A60">
            <v>49</v>
          </cell>
        </row>
        <row r="61">
          <cell r="A61">
            <v>50</v>
          </cell>
        </row>
        <row r="62">
          <cell r="A62">
            <v>51</v>
          </cell>
        </row>
        <row r="63">
          <cell r="A63">
            <v>52</v>
          </cell>
        </row>
        <row r="64">
          <cell r="A64">
            <v>53</v>
          </cell>
        </row>
        <row r="65">
          <cell r="A65">
            <v>54</v>
          </cell>
        </row>
        <row r="66">
          <cell r="A66">
            <v>55</v>
          </cell>
        </row>
        <row r="67">
          <cell r="A67">
            <v>56</v>
          </cell>
        </row>
        <row r="68">
          <cell r="A68">
            <v>57</v>
          </cell>
        </row>
        <row r="69">
          <cell r="A69">
            <v>58</v>
          </cell>
        </row>
        <row r="70">
          <cell r="A70">
            <v>59</v>
          </cell>
        </row>
        <row r="71">
          <cell r="A71">
            <v>60</v>
          </cell>
        </row>
      </sheetData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/>
      <sheetData sheetId="14"/>
      <sheetData sheetId="1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見積"/>
      <sheetName val="別紙1"/>
      <sheetName val="別紙2"/>
      <sheetName val="別紙3"/>
      <sheetName val="別紙4"/>
      <sheetName val="担当項目別"/>
      <sheetName val="項目別直接経費"/>
      <sheetName val="担当項目別20％"/>
    </sheetNames>
    <sheetDataSet>
      <sheetData sheetId="0"/>
      <sheetData sheetId="1" refreshError="1">
        <row r="3">
          <cell r="H3">
            <v>40354200</v>
          </cell>
        </row>
        <row r="11">
          <cell r="H11">
            <v>16638400</v>
          </cell>
        </row>
        <row r="33">
          <cell r="H33">
            <v>6592893</v>
          </cell>
        </row>
      </sheetData>
      <sheetData sheetId="2"/>
      <sheetData sheetId="3" refreshError="1"/>
      <sheetData sheetId="4"/>
      <sheetData sheetId="5" refreshError="1"/>
      <sheetData sheetId="6" refreshError="1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初期条件"/>
      <sheetName val="設計書鏡"/>
      <sheetName val="当初設計書"/>
      <sheetName val="内訳書"/>
      <sheetName val="単価表"/>
      <sheetName val="単価表 (2)"/>
      <sheetName val="積算資料"/>
      <sheetName val="設計額 (水質)"/>
      <sheetName val="予定価格下調書 (2)"/>
      <sheetName val="間接費(設計)"/>
      <sheetName val="間接費(測調)"/>
      <sheetName val="設計額"/>
      <sheetName val="設計額 (2)"/>
      <sheetName val="予定価格下調書"/>
      <sheetName val="予定価格"/>
      <sheetName val="契約措置請求"/>
      <sheetName val="日額"/>
      <sheetName val="率"/>
      <sheetName val="計算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4">
          <cell r="A24">
            <v>0</v>
          </cell>
        </row>
        <row r="25">
          <cell r="A25">
            <v>1</v>
          </cell>
          <cell r="B25" t="str">
            <v>測量上級主任技師</v>
          </cell>
          <cell r="C25" t="str">
            <v>人</v>
          </cell>
          <cell r="D25">
            <v>48300</v>
          </cell>
        </row>
        <row r="26">
          <cell r="A26">
            <v>2</v>
          </cell>
          <cell r="B26" t="str">
            <v>測量主任技師</v>
          </cell>
          <cell r="C26" t="str">
            <v>人</v>
          </cell>
          <cell r="D26">
            <v>39800</v>
          </cell>
        </row>
        <row r="27">
          <cell r="A27">
            <v>3</v>
          </cell>
          <cell r="B27" t="str">
            <v>測量技師</v>
          </cell>
          <cell r="C27" t="str">
            <v>人</v>
          </cell>
          <cell r="D27">
            <v>32000</v>
          </cell>
        </row>
        <row r="28">
          <cell r="A28">
            <v>4</v>
          </cell>
          <cell r="B28" t="str">
            <v>測量技師補</v>
          </cell>
          <cell r="C28" t="str">
            <v>人</v>
          </cell>
          <cell r="D28">
            <v>26200</v>
          </cell>
        </row>
        <row r="29">
          <cell r="A29">
            <v>5</v>
          </cell>
          <cell r="B29" t="str">
            <v>測量助手</v>
          </cell>
          <cell r="C29" t="str">
            <v>人</v>
          </cell>
          <cell r="D29">
            <v>20800</v>
          </cell>
        </row>
        <row r="30">
          <cell r="A30">
            <v>6</v>
          </cell>
          <cell r="B30" t="str">
            <v>操縦士</v>
          </cell>
          <cell r="C30" t="str">
            <v>人</v>
          </cell>
          <cell r="D30">
            <v>44700</v>
          </cell>
        </row>
        <row r="31">
          <cell r="A31">
            <v>7</v>
          </cell>
          <cell r="B31" t="str">
            <v>整備士</v>
          </cell>
          <cell r="C31" t="str">
            <v>人</v>
          </cell>
          <cell r="D31">
            <v>31300</v>
          </cell>
        </row>
        <row r="32">
          <cell r="A32">
            <v>8</v>
          </cell>
          <cell r="B32" t="str">
            <v>撮影士</v>
          </cell>
          <cell r="C32" t="str">
            <v>人</v>
          </cell>
          <cell r="D32">
            <v>35100</v>
          </cell>
        </row>
        <row r="33">
          <cell r="A33">
            <v>9</v>
          </cell>
          <cell r="B33" t="str">
            <v>撮影助手</v>
          </cell>
          <cell r="C33" t="str">
            <v>人</v>
          </cell>
          <cell r="D33">
            <v>27400</v>
          </cell>
        </row>
        <row r="34">
          <cell r="A34">
            <v>10</v>
          </cell>
          <cell r="B34" t="str">
            <v>舟夫</v>
          </cell>
          <cell r="C34" t="str">
            <v>人</v>
          </cell>
          <cell r="D34">
            <v>18400</v>
          </cell>
        </row>
      </sheetData>
      <sheetData sheetId="17"/>
      <sheetData sheetId="18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当初設計書"/>
      <sheetName val="内訳書"/>
      <sheetName val="単価表"/>
      <sheetName val="積算資料"/>
      <sheetName val="計算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使用説明"/>
      <sheetName val="フォーム"/>
      <sheetName val="単価"/>
      <sheetName val="初期入力シート"/>
      <sheetName val="技術部様式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使用説明"/>
      <sheetName val="フォーム"/>
      <sheetName val="単価"/>
      <sheetName val="初期入力シート"/>
      <sheetName val="技術部様式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D7816-D405-41CE-94B0-2E52D78EB3B9}">
  <sheetPr codeName="Sheet1">
    <tabColor theme="9" tint="0.59999389629810485"/>
    <pageSetUpPr fitToPage="1"/>
  </sheetPr>
  <dimension ref="A1:X81"/>
  <sheetViews>
    <sheetView view="pageBreakPreview" topLeftCell="A14" zoomScale="80" zoomScaleNormal="100" zoomScaleSheetLayoutView="80" workbookViewId="0">
      <selection activeCell="C8" sqref="C8:E9"/>
    </sheetView>
  </sheetViews>
  <sheetFormatPr defaultColWidth="8.25" defaultRowHeight="12"/>
  <cols>
    <col min="1" max="1" width="3" style="3" customWidth="1"/>
    <col min="2" max="2" width="10.5" style="4" customWidth="1"/>
    <col min="3" max="3" width="27" style="4" customWidth="1"/>
    <col min="4" max="9" width="8.125" style="5" customWidth="1"/>
    <col min="10" max="10" width="11.875" style="5" customWidth="1"/>
    <col min="11" max="11" width="2.875" style="5" customWidth="1"/>
    <col min="12" max="12" width="22" style="5" customWidth="1"/>
    <col min="13" max="13" width="13.375" style="1" customWidth="1"/>
    <col min="14" max="14" width="13.375" style="1" bestFit="1" customWidth="1"/>
    <col min="15" max="15" width="16.5" style="2" bestFit="1" customWidth="1"/>
    <col min="16" max="21" width="8.25" style="5"/>
    <col min="22" max="22" width="11.375" style="5" bestFit="1" customWidth="1"/>
    <col min="23" max="23" width="10.375" style="5" bestFit="1" customWidth="1"/>
    <col min="24" max="16384" width="8.25" style="5"/>
  </cols>
  <sheetData>
    <row r="1" spans="1:18" s="1" customFormat="1" ht="84" customHeight="1">
      <c r="A1" s="556" t="s">
        <v>0</v>
      </c>
      <c r="B1" s="556"/>
      <c r="C1" s="556"/>
      <c r="D1" s="556"/>
      <c r="E1" s="556"/>
      <c r="F1" s="556"/>
      <c r="G1" s="556"/>
      <c r="H1" s="556"/>
      <c r="I1" s="556"/>
      <c r="J1" s="556"/>
      <c r="K1" s="556"/>
      <c r="L1" s="556"/>
      <c r="O1" s="2"/>
    </row>
    <row r="2" spans="1:18" s="1" customFormat="1" ht="20.100000000000001" customHeight="1">
      <c r="A2" s="3"/>
      <c r="B2" s="4"/>
      <c r="C2" s="4"/>
      <c r="D2" s="5"/>
      <c r="E2" s="5"/>
      <c r="F2" s="5"/>
      <c r="G2" s="5"/>
      <c r="H2" s="5"/>
      <c r="I2" s="5"/>
      <c r="J2" s="5"/>
      <c r="K2" s="5"/>
      <c r="L2" s="136">
        <v>45321</v>
      </c>
      <c r="O2" s="2"/>
    </row>
    <row r="3" spans="1:18" s="1" customFormat="1" ht="20.100000000000001" customHeight="1">
      <c r="A3" s="557" t="s">
        <v>62</v>
      </c>
      <c r="B3" s="557"/>
      <c r="C3" s="557"/>
      <c r="D3" s="125"/>
      <c r="E3" s="6"/>
      <c r="F3" s="5"/>
      <c r="G3" s="5"/>
      <c r="H3" s="5"/>
      <c r="I3" s="5"/>
      <c r="J3" s="559" t="s">
        <v>1</v>
      </c>
      <c r="K3" s="559"/>
      <c r="L3" s="7" t="s">
        <v>50</v>
      </c>
      <c r="O3" s="2"/>
    </row>
    <row r="4" spans="1:18" s="1" customFormat="1" ht="20.100000000000001" customHeight="1">
      <c r="A4" s="558"/>
      <c r="B4" s="558"/>
      <c r="C4" s="558"/>
      <c r="D4" s="134"/>
      <c r="E4" s="134"/>
      <c r="F4" s="134"/>
      <c r="G4" s="5"/>
      <c r="H4" s="5"/>
      <c r="I4" s="5"/>
      <c r="J4" s="560" t="s">
        <v>57</v>
      </c>
      <c r="K4" s="561"/>
      <c r="L4" s="138">
        <v>45747</v>
      </c>
      <c r="O4" s="2"/>
    </row>
    <row r="5" spans="1:18" s="1" customFormat="1" ht="20.100000000000001" customHeight="1">
      <c r="A5" s="3"/>
      <c r="B5" s="8"/>
      <c r="C5" s="130"/>
      <c r="D5" s="130"/>
      <c r="E5" s="6"/>
      <c r="F5" s="5"/>
      <c r="G5" s="5"/>
      <c r="H5" s="5"/>
      <c r="I5" s="5"/>
      <c r="J5" s="554" t="s">
        <v>58</v>
      </c>
      <c r="K5" s="555"/>
      <c r="L5" s="11" t="s">
        <v>4</v>
      </c>
      <c r="O5" s="2"/>
    </row>
    <row r="6" spans="1:18" s="1" customFormat="1" ht="20.100000000000001" customHeight="1">
      <c r="A6" s="131" t="s">
        <v>52</v>
      </c>
      <c r="B6" s="131"/>
      <c r="C6" s="409">
        <f>+E47</f>
        <v>51128000</v>
      </c>
      <c r="D6" s="9" t="s">
        <v>2</v>
      </c>
      <c r="E6" s="553">
        <f>E26+E39</f>
        <v>4648000</v>
      </c>
      <c r="F6" s="553"/>
      <c r="G6" s="10" t="s">
        <v>282</v>
      </c>
      <c r="H6" s="135"/>
      <c r="I6" s="5"/>
      <c r="J6" s="554" t="s">
        <v>59</v>
      </c>
      <c r="K6" s="555"/>
      <c r="L6" s="11" t="s">
        <v>5</v>
      </c>
      <c r="O6" s="2"/>
      <c r="Q6" s="3"/>
      <c r="R6" s="121"/>
    </row>
    <row r="7" spans="1:18" s="1" customFormat="1" ht="20.100000000000001" customHeight="1">
      <c r="A7" s="132"/>
      <c r="B7" s="133"/>
      <c r="C7" s="124"/>
      <c r="D7" s="124"/>
      <c r="E7" s="124"/>
      <c r="F7" s="124"/>
      <c r="G7" s="124"/>
      <c r="H7" s="124"/>
      <c r="I7" s="5"/>
      <c r="J7" s="554" t="s">
        <v>60</v>
      </c>
      <c r="K7" s="555"/>
      <c r="L7" s="11" t="s">
        <v>63</v>
      </c>
      <c r="O7" s="2"/>
      <c r="Q7" s="3"/>
      <c r="R7" s="121"/>
    </row>
    <row r="8" spans="1:18" s="1" customFormat="1" ht="20.100000000000001" customHeight="1">
      <c r="A8" s="131" t="s">
        <v>6</v>
      </c>
      <c r="B8" s="131"/>
      <c r="C8" s="567" t="s">
        <v>61</v>
      </c>
      <c r="D8" s="567"/>
      <c r="E8" s="567"/>
      <c r="F8" s="567"/>
      <c r="G8" s="567"/>
      <c r="H8" s="124"/>
      <c r="I8" s="5"/>
      <c r="J8" s="566"/>
      <c r="K8" s="559"/>
      <c r="L8" s="12" t="s">
        <v>64</v>
      </c>
      <c r="O8" s="2"/>
      <c r="Q8" s="3"/>
      <c r="R8" s="7"/>
    </row>
    <row r="9" spans="1:18" s="1" customFormat="1" ht="20.100000000000001" customHeight="1">
      <c r="A9" s="568"/>
      <c r="B9" s="568"/>
      <c r="C9" s="124"/>
      <c r="D9" s="124"/>
      <c r="E9" s="124"/>
      <c r="F9" s="124"/>
      <c r="G9" s="124"/>
      <c r="H9" s="124"/>
      <c r="I9" s="5"/>
      <c r="J9" s="128"/>
      <c r="K9" s="128"/>
      <c r="L9" s="129"/>
      <c r="O9" s="2"/>
      <c r="Q9" s="3"/>
      <c r="R9" s="7"/>
    </row>
    <row r="10" spans="1:18" s="1" customFormat="1" ht="18" customHeight="1">
      <c r="A10" s="569"/>
      <c r="B10" s="569"/>
      <c r="C10" s="124"/>
      <c r="D10" s="126"/>
      <c r="E10" s="126"/>
      <c r="F10" s="126"/>
      <c r="G10" s="126"/>
      <c r="H10" s="127"/>
      <c r="I10" s="5"/>
      <c r="J10" s="5"/>
      <c r="K10" s="5"/>
      <c r="L10" s="5"/>
      <c r="O10" s="2"/>
      <c r="Q10" s="3"/>
      <c r="R10" s="7"/>
    </row>
    <row r="11" spans="1:18" s="1" customFormat="1" ht="18" customHeight="1">
      <c r="A11" s="3"/>
      <c r="B11" s="15" t="s">
        <v>7</v>
      </c>
      <c r="C11" s="4"/>
      <c r="D11" s="5"/>
      <c r="E11" s="5"/>
      <c r="F11" s="5"/>
      <c r="G11" s="5"/>
      <c r="H11" s="5"/>
      <c r="I11" s="5"/>
      <c r="J11" s="5"/>
      <c r="K11" s="5"/>
      <c r="L11" s="5"/>
      <c r="O11" s="2"/>
    </row>
    <row r="12" spans="1:18" s="1" customFormat="1" ht="18" customHeight="1">
      <c r="A12" s="3"/>
      <c r="B12" s="15" t="s">
        <v>8</v>
      </c>
      <c r="C12" s="4"/>
      <c r="D12" s="5"/>
      <c r="E12" s="5"/>
      <c r="F12" s="5"/>
      <c r="G12" s="5"/>
      <c r="H12" s="5"/>
      <c r="I12" s="5"/>
      <c r="J12" s="5"/>
      <c r="K12" s="5"/>
      <c r="L12" s="5"/>
      <c r="O12" s="2"/>
    </row>
    <row r="13" spans="1:18" s="1" customFormat="1" ht="18" customHeight="1">
      <c r="A13" s="3"/>
      <c r="B13" s="570" t="s">
        <v>51</v>
      </c>
      <c r="C13" s="571"/>
      <c r="D13" s="571"/>
      <c r="E13" s="571"/>
      <c r="F13" s="571"/>
      <c r="G13" s="572"/>
      <c r="H13" s="5"/>
      <c r="I13" s="579" t="s">
        <v>56</v>
      </c>
      <c r="J13" s="579"/>
      <c r="K13" s="579"/>
      <c r="L13" s="579"/>
      <c r="O13" s="2"/>
    </row>
    <row r="14" spans="1:18" s="1" customFormat="1" ht="18" customHeight="1">
      <c r="A14" s="13"/>
      <c r="B14" s="573"/>
      <c r="C14" s="574"/>
      <c r="D14" s="574"/>
      <c r="E14" s="574"/>
      <c r="F14" s="574"/>
      <c r="G14" s="575"/>
      <c r="H14" s="5"/>
      <c r="I14" s="579" t="s">
        <v>9</v>
      </c>
      <c r="J14" s="579"/>
      <c r="K14" s="579"/>
      <c r="L14" s="579"/>
      <c r="O14" s="2"/>
    </row>
    <row r="15" spans="1:18" s="1" customFormat="1" ht="18" customHeight="1">
      <c r="A15" s="13"/>
      <c r="B15" s="573"/>
      <c r="C15" s="574"/>
      <c r="D15" s="574"/>
      <c r="E15" s="574"/>
      <c r="F15" s="574"/>
      <c r="G15" s="575"/>
      <c r="H15" s="5"/>
      <c r="I15" s="579" t="s">
        <v>55</v>
      </c>
      <c r="J15" s="579"/>
      <c r="K15" s="579"/>
      <c r="L15" s="579"/>
      <c r="O15" s="2"/>
    </row>
    <row r="16" spans="1:18" s="1" customFormat="1" ht="18" customHeight="1">
      <c r="A16" s="13"/>
      <c r="B16" s="576"/>
      <c r="C16" s="577"/>
      <c r="D16" s="577"/>
      <c r="E16" s="577"/>
      <c r="F16" s="577"/>
      <c r="G16" s="578"/>
      <c r="H16" s="5"/>
      <c r="I16" s="579" t="s">
        <v>10</v>
      </c>
      <c r="J16" s="579"/>
      <c r="K16" s="579"/>
      <c r="L16" s="579"/>
      <c r="O16" s="2"/>
    </row>
    <row r="17" spans="1:15" s="1" customFormat="1" ht="18" customHeight="1">
      <c r="A17" s="13"/>
      <c r="B17" s="123"/>
      <c r="C17" s="123"/>
      <c r="D17" s="123"/>
      <c r="E17" s="123"/>
      <c r="F17" s="123"/>
      <c r="G17" s="123"/>
      <c r="H17" s="5"/>
      <c r="I17" s="120"/>
      <c r="J17" s="120"/>
      <c r="K17" s="120"/>
      <c r="L17" s="120"/>
      <c r="O17" s="2"/>
    </row>
    <row r="18" spans="1:15" ht="24" customHeight="1" thickBot="1">
      <c r="A18" s="13" t="s">
        <v>236</v>
      </c>
      <c r="B18" s="14"/>
      <c r="C18" s="14"/>
      <c r="D18" s="14"/>
      <c r="E18" s="15"/>
      <c r="F18" s="15"/>
      <c r="G18" s="15"/>
      <c r="H18" s="15"/>
      <c r="I18" s="15"/>
      <c r="J18" s="15"/>
      <c r="K18" s="15"/>
      <c r="L18" s="15"/>
      <c r="O18" s="5"/>
    </row>
    <row r="19" spans="1:15" s="15" customFormat="1" ht="24" customHeight="1" thickBot="1">
      <c r="A19" s="580" t="s">
        <v>12</v>
      </c>
      <c r="B19" s="581"/>
      <c r="C19" s="581"/>
      <c r="D19" s="582"/>
      <c r="E19" s="583" t="s">
        <v>13</v>
      </c>
      <c r="F19" s="582"/>
      <c r="G19" s="583" t="s">
        <v>14</v>
      </c>
      <c r="H19" s="581"/>
      <c r="I19" s="581"/>
      <c r="J19" s="581"/>
      <c r="K19" s="581"/>
      <c r="L19" s="584"/>
      <c r="M19" s="16"/>
      <c r="N19" s="16"/>
    </row>
    <row r="20" spans="1:15" s="15" customFormat="1" ht="24" customHeight="1" thickTop="1">
      <c r="A20" s="18">
        <v>1</v>
      </c>
      <c r="B20" s="19" t="s">
        <v>15</v>
      </c>
      <c r="C20" s="19"/>
      <c r="D20" s="20"/>
      <c r="E20" s="585">
        <f>'参考見積書（建築）_0202'!E21</f>
        <v>10680000</v>
      </c>
      <c r="F20" s="586"/>
      <c r="G20" s="21" t="s">
        <v>16</v>
      </c>
      <c r="H20" s="22"/>
      <c r="I20" s="22"/>
      <c r="J20" s="22"/>
      <c r="K20" s="22"/>
      <c r="L20" s="23"/>
      <c r="M20" s="587"/>
      <c r="N20" s="588"/>
    </row>
    <row r="21" spans="1:15" s="15" customFormat="1" ht="24" customHeight="1">
      <c r="A21" s="25">
        <v>2</v>
      </c>
      <c r="B21" s="26" t="s">
        <v>17</v>
      </c>
      <c r="C21" s="26"/>
      <c r="D21" s="27"/>
      <c r="E21" s="562">
        <v>0</v>
      </c>
      <c r="F21" s="563"/>
      <c r="G21" s="28" t="s">
        <v>230</v>
      </c>
      <c r="H21" s="29"/>
      <c r="I21" s="29"/>
      <c r="J21" s="29"/>
      <c r="K21" s="29"/>
      <c r="L21" s="30"/>
      <c r="M21" s="564"/>
      <c r="N21" s="565"/>
    </row>
    <row r="22" spans="1:15" s="15" customFormat="1" ht="24" customHeight="1">
      <c r="A22" s="25">
        <v>3</v>
      </c>
      <c r="B22" s="26" t="s">
        <v>231</v>
      </c>
      <c r="C22" s="26"/>
      <c r="D22" s="27"/>
      <c r="E22" s="562">
        <f>E20*1.1</f>
        <v>11748000.000000002</v>
      </c>
      <c r="F22" s="563"/>
      <c r="G22" s="28" t="s">
        <v>233</v>
      </c>
      <c r="H22" s="29"/>
      <c r="I22" s="29"/>
      <c r="J22" s="29"/>
      <c r="K22" s="29"/>
      <c r="L22" s="31"/>
      <c r="M22" s="564"/>
      <c r="N22" s="565"/>
      <c r="O22" s="1"/>
    </row>
    <row r="23" spans="1:15" s="15" customFormat="1" ht="24" customHeight="1">
      <c r="A23" s="33">
        <v>4</v>
      </c>
      <c r="B23" s="34" t="s">
        <v>232</v>
      </c>
      <c r="C23" s="34"/>
      <c r="D23" s="35"/>
      <c r="E23" s="589">
        <f>(E20+E22)*0.15</f>
        <v>3364200</v>
      </c>
      <c r="F23" s="590"/>
      <c r="G23" s="36" t="s">
        <v>234</v>
      </c>
      <c r="H23" s="37"/>
      <c r="I23" s="37"/>
      <c r="J23" s="38"/>
      <c r="K23" s="38"/>
      <c r="L23" s="39"/>
      <c r="M23" s="564"/>
      <c r="N23" s="565"/>
    </row>
    <row r="24" spans="1:15" s="15" customFormat="1" ht="24" customHeight="1">
      <c r="A24" s="40" t="s">
        <v>27</v>
      </c>
      <c r="B24" s="41"/>
      <c r="C24" s="41"/>
      <c r="D24" s="42"/>
      <c r="E24" s="591">
        <f>+E20+E21+E22+E23</f>
        <v>25792200</v>
      </c>
      <c r="F24" s="592"/>
      <c r="G24" s="43" t="s">
        <v>28</v>
      </c>
      <c r="H24" s="44"/>
      <c r="I24" s="44"/>
      <c r="J24" s="44"/>
      <c r="K24" s="44"/>
      <c r="L24" s="45"/>
      <c r="M24" s="564"/>
      <c r="N24" s="565"/>
    </row>
    <row r="25" spans="1:15" s="15" customFormat="1" ht="24" customHeight="1">
      <c r="A25" s="46" t="s">
        <v>29</v>
      </c>
      <c r="B25" s="26"/>
      <c r="C25" s="26"/>
      <c r="D25" s="27"/>
      <c r="E25" s="562">
        <f>ROUNDDOWN(E24,-4)</f>
        <v>25790000</v>
      </c>
      <c r="F25" s="563"/>
      <c r="G25" s="28" t="s">
        <v>30</v>
      </c>
      <c r="H25" s="29"/>
      <c r="I25" s="29"/>
      <c r="J25" s="29"/>
      <c r="K25" s="29"/>
      <c r="L25" s="47"/>
      <c r="M25" s="564"/>
      <c r="N25" s="565"/>
    </row>
    <row r="26" spans="1:15" s="15" customFormat="1" ht="24" customHeight="1">
      <c r="A26" s="46" t="s">
        <v>31</v>
      </c>
      <c r="B26" s="26"/>
      <c r="C26" s="26"/>
      <c r="D26" s="27"/>
      <c r="E26" s="562">
        <f>+E25*0.1</f>
        <v>2579000</v>
      </c>
      <c r="F26" s="563"/>
      <c r="G26" s="48">
        <v>0.1</v>
      </c>
      <c r="H26" s="29"/>
      <c r="I26" s="29"/>
      <c r="J26" s="29"/>
      <c r="K26" s="29"/>
      <c r="L26" s="47"/>
      <c r="M26" s="564"/>
      <c r="N26" s="565"/>
    </row>
    <row r="27" spans="1:15" s="15" customFormat="1" ht="24" customHeight="1" thickBot="1">
      <c r="A27" s="49" t="s">
        <v>32</v>
      </c>
      <c r="B27" s="50"/>
      <c r="C27" s="50"/>
      <c r="D27" s="50"/>
      <c r="E27" s="593">
        <f>+E25*1.1</f>
        <v>28369000.000000004</v>
      </c>
      <c r="F27" s="594"/>
      <c r="G27" s="51"/>
      <c r="H27" s="52"/>
      <c r="I27" s="52"/>
      <c r="J27" s="52"/>
      <c r="K27" s="52"/>
      <c r="L27" s="53"/>
      <c r="M27" s="564"/>
      <c r="N27" s="565"/>
    </row>
    <row r="28" spans="1:15" s="15" customFormat="1" ht="24" customHeight="1">
      <c r="A28" s="54"/>
      <c r="E28" s="55"/>
      <c r="F28" s="55"/>
      <c r="G28" s="5"/>
      <c r="H28" s="5"/>
      <c r="I28" s="5"/>
      <c r="J28" s="5"/>
      <c r="K28" s="5"/>
      <c r="L28" s="5"/>
      <c r="M28" s="410"/>
      <c r="N28" s="24"/>
    </row>
    <row r="29" spans="1:15" ht="24" customHeight="1" thickBot="1">
      <c r="A29" s="13" t="s">
        <v>235</v>
      </c>
      <c r="B29" s="14"/>
      <c r="C29" s="14"/>
      <c r="D29" s="14"/>
      <c r="E29" s="15"/>
      <c r="F29" s="15"/>
      <c r="G29" s="15"/>
      <c r="H29" s="15"/>
      <c r="I29" s="15"/>
      <c r="J29" s="15"/>
      <c r="K29" s="15"/>
      <c r="L29" s="15"/>
      <c r="M29" s="564"/>
      <c r="N29" s="565"/>
      <c r="O29" s="5"/>
    </row>
    <row r="30" spans="1:15" ht="24" customHeight="1" thickBot="1">
      <c r="A30" s="580" t="s">
        <v>12</v>
      </c>
      <c r="B30" s="581"/>
      <c r="C30" s="581"/>
      <c r="D30" s="582"/>
      <c r="E30" s="583" t="s">
        <v>13</v>
      </c>
      <c r="F30" s="582"/>
      <c r="G30" s="583" t="s">
        <v>14</v>
      </c>
      <c r="H30" s="581"/>
      <c r="I30" s="581"/>
      <c r="J30" s="581"/>
      <c r="K30" s="581"/>
      <c r="L30" s="584"/>
      <c r="M30" s="24"/>
      <c r="N30" s="24"/>
      <c r="O30" s="5"/>
    </row>
    <row r="31" spans="1:15" ht="24" customHeight="1" thickTop="1">
      <c r="A31" s="18">
        <v>1</v>
      </c>
      <c r="B31" s="19" t="s">
        <v>15</v>
      </c>
      <c r="C31" s="19"/>
      <c r="D31" s="20"/>
      <c r="E31" s="585">
        <f>'参考見積書（造園）_0202'!E24</f>
        <v>8713900</v>
      </c>
      <c r="F31" s="586"/>
      <c r="G31" s="21" t="s">
        <v>16</v>
      </c>
      <c r="H31" s="22"/>
      <c r="I31" s="22"/>
      <c r="J31" s="22"/>
      <c r="K31" s="22"/>
      <c r="L31" s="23"/>
      <c r="M31" s="24"/>
      <c r="N31" s="24"/>
      <c r="O31" s="5"/>
    </row>
    <row r="32" spans="1:15" ht="24" customHeight="1">
      <c r="A32" s="25">
        <v>2</v>
      </c>
      <c r="B32" s="26" t="s">
        <v>17</v>
      </c>
      <c r="C32" s="26"/>
      <c r="D32" s="27"/>
      <c r="E32" s="562">
        <f>'参考見積書（造園）_0202'!E25</f>
        <v>45000</v>
      </c>
      <c r="F32" s="563"/>
      <c r="G32" s="28" t="s">
        <v>18</v>
      </c>
      <c r="H32" s="29"/>
      <c r="I32" s="29"/>
      <c r="J32" s="29"/>
      <c r="K32" s="29"/>
      <c r="L32" s="30"/>
      <c r="M32" s="57"/>
      <c r="N32" s="58"/>
      <c r="O32" s="5"/>
    </row>
    <row r="33" spans="1:24" ht="24" customHeight="1">
      <c r="A33" s="25">
        <v>3</v>
      </c>
      <c r="B33" s="26" t="s">
        <v>19</v>
      </c>
      <c r="C33" s="26"/>
      <c r="D33" s="27"/>
      <c r="E33" s="562">
        <f>+E31+E32</f>
        <v>8758900</v>
      </c>
      <c r="F33" s="563"/>
      <c r="G33" s="28" t="s">
        <v>20</v>
      </c>
      <c r="H33" s="29"/>
      <c r="I33" s="29"/>
      <c r="J33" s="29"/>
      <c r="K33" s="29"/>
      <c r="L33" s="31"/>
      <c r="O33" s="62"/>
      <c r="P33" s="62"/>
      <c r="Q33" s="63"/>
      <c r="R33" s="64"/>
      <c r="S33" s="63"/>
      <c r="T33" s="63"/>
      <c r="U33" s="63"/>
      <c r="V33" s="63"/>
      <c r="W33" s="65"/>
      <c r="X33" s="66"/>
    </row>
    <row r="34" spans="1:24" ht="24" customHeight="1">
      <c r="A34" s="25">
        <v>4</v>
      </c>
      <c r="B34" s="26" t="s">
        <v>21</v>
      </c>
      <c r="C34" s="26"/>
      <c r="D34" s="27"/>
      <c r="E34" s="562">
        <f>+ROUNDDOWN(E31*0.5385,0)</f>
        <v>4692435</v>
      </c>
      <c r="F34" s="563"/>
      <c r="G34" s="28" t="s">
        <v>22</v>
      </c>
      <c r="H34" s="29"/>
      <c r="I34" s="29"/>
      <c r="J34" s="32"/>
      <c r="K34" s="32"/>
      <c r="L34" s="30"/>
    </row>
    <row r="35" spans="1:24" s="150" customFormat="1" ht="24" customHeight="1">
      <c r="A35" s="25">
        <v>5</v>
      </c>
      <c r="B35" s="26" t="s">
        <v>23</v>
      </c>
      <c r="C35" s="26"/>
      <c r="D35" s="27"/>
      <c r="E35" s="562">
        <f>E33+E34</f>
        <v>13451335</v>
      </c>
      <c r="F35" s="563"/>
      <c r="G35" s="28" t="s">
        <v>24</v>
      </c>
      <c r="H35" s="29"/>
      <c r="I35" s="29"/>
      <c r="J35" s="32"/>
      <c r="K35" s="32"/>
      <c r="L35" s="31"/>
      <c r="M35" s="353"/>
      <c r="N35" s="148"/>
      <c r="O35" s="149"/>
    </row>
    <row r="36" spans="1:24" s="15" customFormat="1" ht="24" customHeight="1">
      <c r="A36" s="33">
        <v>6</v>
      </c>
      <c r="B36" s="34" t="s">
        <v>25</v>
      </c>
      <c r="C36" s="34"/>
      <c r="D36" s="35"/>
      <c r="E36" s="589">
        <f>+ROUNDDOWN(E35*0.5385,0)</f>
        <v>7243543</v>
      </c>
      <c r="F36" s="590"/>
      <c r="G36" s="36" t="s">
        <v>26</v>
      </c>
      <c r="H36" s="37"/>
      <c r="I36" s="37"/>
      <c r="J36" s="38"/>
      <c r="K36" s="38"/>
      <c r="L36" s="39"/>
      <c r="M36" s="353"/>
      <c r="N36" s="68"/>
      <c r="O36" s="595"/>
      <c r="P36" s="595"/>
    </row>
    <row r="37" spans="1:24" s="15" customFormat="1" ht="24" customHeight="1">
      <c r="A37" s="40" t="s">
        <v>27</v>
      </c>
      <c r="B37" s="41"/>
      <c r="C37" s="41"/>
      <c r="D37" s="42"/>
      <c r="E37" s="591">
        <f>+E35+E36</f>
        <v>20694878</v>
      </c>
      <c r="F37" s="592"/>
      <c r="G37" s="43" t="s">
        <v>28</v>
      </c>
      <c r="H37" s="44"/>
      <c r="I37" s="44"/>
      <c r="J37" s="44"/>
      <c r="K37" s="44"/>
      <c r="L37" s="45"/>
      <c r="M37" s="353"/>
      <c r="N37" s="68"/>
      <c r="O37" s="71"/>
      <c r="P37" s="71"/>
    </row>
    <row r="38" spans="1:24" s="15" customFormat="1" ht="24" customHeight="1">
      <c r="A38" s="46" t="s">
        <v>29</v>
      </c>
      <c r="B38" s="26"/>
      <c r="C38" s="26"/>
      <c r="D38" s="27"/>
      <c r="E38" s="562">
        <f>ROUNDDOWN(E37,-4)</f>
        <v>20690000</v>
      </c>
      <c r="F38" s="563"/>
      <c r="G38" s="28" t="s">
        <v>30</v>
      </c>
      <c r="H38" s="29"/>
      <c r="I38" s="29"/>
      <c r="J38" s="29"/>
      <c r="K38" s="29"/>
      <c r="L38" s="47"/>
      <c r="M38" s="353"/>
      <c r="N38" s="68"/>
      <c r="O38" s="71"/>
      <c r="P38" s="71"/>
    </row>
    <row r="39" spans="1:24" s="15" customFormat="1" ht="24" customHeight="1">
      <c r="A39" s="46" t="s">
        <v>31</v>
      </c>
      <c r="B39" s="26"/>
      <c r="C39" s="26"/>
      <c r="D39" s="27"/>
      <c r="E39" s="562">
        <f>+E38*0.1</f>
        <v>2069000</v>
      </c>
      <c r="F39" s="563"/>
      <c r="G39" s="48">
        <v>0.1</v>
      </c>
      <c r="H39" s="29"/>
      <c r="I39" s="29"/>
      <c r="J39" s="29"/>
      <c r="K39" s="29"/>
      <c r="L39" s="47"/>
      <c r="M39" s="353"/>
      <c r="N39" s="68"/>
      <c r="O39" s="71"/>
      <c r="P39" s="71"/>
    </row>
    <row r="40" spans="1:24" s="15" customFormat="1" ht="24" customHeight="1" thickBot="1">
      <c r="A40" s="49" t="s">
        <v>32</v>
      </c>
      <c r="B40" s="50"/>
      <c r="C40" s="50"/>
      <c r="D40" s="50"/>
      <c r="E40" s="593">
        <f>+E38*1.1</f>
        <v>22759000</v>
      </c>
      <c r="F40" s="594"/>
      <c r="G40" s="51"/>
      <c r="H40" s="52"/>
      <c r="I40" s="52"/>
      <c r="J40" s="52"/>
      <c r="K40" s="52"/>
      <c r="L40" s="53"/>
      <c r="M40" s="353"/>
      <c r="N40" s="68"/>
      <c r="O40" s="71"/>
      <c r="P40" s="71"/>
    </row>
    <row r="41" spans="1:24" s="15" customFormat="1" ht="21.95" customHeight="1">
      <c r="A41" s="54"/>
      <c r="E41" s="55"/>
      <c r="F41" s="55"/>
      <c r="G41" s="5"/>
      <c r="H41" s="5"/>
      <c r="I41" s="5"/>
      <c r="J41" s="5"/>
      <c r="K41" s="5"/>
      <c r="L41" s="5"/>
      <c r="M41" s="353"/>
      <c r="N41" s="68"/>
      <c r="O41" s="69"/>
    </row>
    <row r="42" spans="1:24" s="15" customFormat="1" ht="22.5" customHeight="1" thickBot="1">
      <c r="A42" s="93" t="s">
        <v>263</v>
      </c>
      <c r="B42" s="444"/>
      <c r="C42" s="445"/>
      <c r="D42" s="111"/>
      <c r="E42" s="111"/>
      <c r="F42" s="111"/>
      <c r="G42" s="111"/>
      <c r="H42" s="111"/>
      <c r="I42" s="111"/>
      <c r="J42" s="111"/>
      <c r="K42" s="111"/>
      <c r="L42" s="111"/>
      <c r="M42" s="353"/>
      <c r="N42" s="117"/>
      <c r="O42" s="69"/>
    </row>
    <row r="43" spans="1:24" s="15" customFormat="1" ht="30" customHeight="1">
      <c r="A43" s="446"/>
      <c r="B43" s="447" t="s">
        <v>238</v>
      </c>
      <c r="C43" s="447"/>
      <c r="D43" s="448"/>
      <c r="E43" s="602">
        <f>E25</f>
        <v>25790000</v>
      </c>
      <c r="F43" s="603"/>
      <c r="G43" s="449" t="s">
        <v>274</v>
      </c>
      <c r="H43" s="449"/>
      <c r="I43" s="449"/>
      <c r="J43" s="449"/>
      <c r="K43" s="449"/>
      <c r="L43" s="458"/>
      <c r="M43" s="353"/>
      <c r="N43" s="117"/>
      <c r="O43" s="69"/>
    </row>
    <row r="44" spans="1:24" s="15" customFormat="1" ht="30" customHeight="1" thickBot="1">
      <c r="A44" s="440"/>
      <c r="B44" s="332" t="s">
        <v>237</v>
      </c>
      <c r="C44" s="332"/>
      <c r="D44" s="441"/>
      <c r="E44" s="604">
        <f>+E38</f>
        <v>20690000</v>
      </c>
      <c r="F44" s="605"/>
      <c r="G44" s="442" t="s">
        <v>274</v>
      </c>
      <c r="H44" s="5"/>
      <c r="I44" s="5"/>
      <c r="J44" s="5"/>
      <c r="K44" s="5"/>
      <c r="L44" s="443"/>
      <c r="M44" s="353"/>
      <c r="N44" s="117"/>
      <c r="O44" s="69"/>
    </row>
    <row r="45" spans="1:24" s="15" customFormat="1" ht="30" customHeight="1" thickTop="1">
      <c r="A45" s="452"/>
      <c r="B45" s="463" t="s">
        <v>202</v>
      </c>
      <c r="C45" s="453"/>
      <c r="D45" s="454"/>
      <c r="E45" s="606">
        <f>E44+E43</f>
        <v>46480000</v>
      </c>
      <c r="F45" s="607"/>
      <c r="G45" s="455" t="s">
        <v>273</v>
      </c>
      <c r="H45" s="456"/>
      <c r="I45" s="456"/>
      <c r="J45" s="456"/>
      <c r="K45" s="456"/>
      <c r="L45" s="457"/>
      <c r="M45" s="353"/>
      <c r="N45" s="117"/>
      <c r="O45" s="69"/>
    </row>
    <row r="46" spans="1:24" s="15" customFormat="1" ht="30" customHeight="1">
      <c r="A46" s="460"/>
      <c r="B46" s="596" t="s">
        <v>203</v>
      </c>
      <c r="C46" s="596"/>
      <c r="D46" s="461"/>
      <c r="E46" s="597">
        <f>E45*0.1</f>
        <v>4648000</v>
      </c>
      <c r="F46" s="598"/>
      <c r="G46" s="461"/>
      <c r="H46" s="461"/>
      <c r="I46" s="461"/>
      <c r="J46" s="461"/>
      <c r="K46" s="461"/>
      <c r="L46" s="462"/>
      <c r="M46" s="353"/>
      <c r="N46" s="117"/>
      <c r="O46" s="69"/>
    </row>
    <row r="47" spans="1:24" s="15" customFormat="1" ht="30" customHeight="1" thickBot="1">
      <c r="A47" s="459"/>
      <c r="B47" s="599" t="s">
        <v>279</v>
      </c>
      <c r="C47" s="599"/>
      <c r="D47" s="111"/>
      <c r="E47" s="600">
        <f>E45+E46</f>
        <v>51128000</v>
      </c>
      <c r="F47" s="601"/>
      <c r="G47" s="111" t="s">
        <v>281</v>
      </c>
      <c r="H47" s="111"/>
      <c r="I47" s="111"/>
      <c r="J47" s="111"/>
      <c r="K47" s="111"/>
      <c r="L47" s="112"/>
      <c r="M47" s="353"/>
      <c r="N47" s="117"/>
      <c r="O47" s="69"/>
    </row>
    <row r="48" spans="1:24" s="15" customFormat="1" ht="24.95" customHeight="1">
      <c r="A48" s="3"/>
      <c r="B48" s="4"/>
      <c r="C48" s="4"/>
      <c r="D48" s="5"/>
      <c r="E48" s="5"/>
      <c r="F48" s="5"/>
      <c r="G48" s="5"/>
      <c r="H48" s="5"/>
      <c r="I48" s="5"/>
      <c r="J48" s="5"/>
      <c r="K48" s="5"/>
      <c r="L48" s="5"/>
      <c r="M48" s="353"/>
      <c r="N48" s="117"/>
      <c r="O48" s="69"/>
    </row>
    <row r="49" spans="1:15" s="15" customFormat="1" ht="24.95" customHeight="1">
      <c r="A49" s="3"/>
      <c r="B49" s="4"/>
      <c r="C49" s="4"/>
      <c r="D49" s="5"/>
      <c r="E49" s="5"/>
      <c r="F49" s="5"/>
      <c r="G49" s="5"/>
      <c r="H49" s="5"/>
      <c r="I49" s="5"/>
      <c r="J49" s="5"/>
      <c r="K49" s="5"/>
      <c r="L49" s="5"/>
      <c r="M49" s="353"/>
      <c r="N49" s="117"/>
      <c r="O49" s="69"/>
    </row>
    <row r="50" spans="1:15" s="15" customFormat="1" ht="22.5" customHeight="1">
      <c r="A50" s="3"/>
      <c r="B50" s="4"/>
      <c r="C50" s="4"/>
      <c r="D50" s="5"/>
      <c r="E50" s="5"/>
      <c r="F50" s="5"/>
      <c r="G50" s="5"/>
      <c r="H50" s="5"/>
      <c r="I50" s="5"/>
      <c r="J50" s="5"/>
      <c r="K50" s="5"/>
      <c r="L50" s="5"/>
      <c r="M50" s="353"/>
      <c r="N50" s="117"/>
      <c r="O50" s="69"/>
    </row>
    <row r="51" spans="1:15" s="15" customFormat="1" ht="22.5" customHeight="1">
      <c r="A51" s="3"/>
      <c r="B51" s="4"/>
      <c r="C51" s="4"/>
      <c r="D51" s="5"/>
      <c r="E51" s="5"/>
      <c r="F51" s="5"/>
      <c r="G51" s="5"/>
      <c r="H51" s="5"/>
      <c r="I51" s="5"/>
      <c r="J51" s="5"/>
      <c r="K51" s="5"/>
      <c r="L51" s="5"/>
      <c r="M51" s="353"/>
      <c r="N51" s="117"/>
      <c r="O51" s="69"/>
    </row>
    <row r="52" spans="1:15" s="15" customFormat="1" ht="22.5" customHeight="1">
      <c r="A52" s="3"/>
      <c r="B52" s="4"/>
      <c r="C52" s="4"/>
      <c r="D52" s="5"/>
      <c r="E52" s="5"/>
      <c r="F52" s="5"/>
      <c r="G52" s="5"/>
      <c r="H52" s="5"/>
      <c r="I52" s="5"/>
      <c r="J52" s="5"/>
      <c r="K52" s="5"/>
      <c r="L52" s="5"/>
      <c r="M52" s="353"/>
      <c r="N52" s="117"/>
      <c r="O52" s="69"/>
    </row>
    <row r="53" spans="1:15" s="15" customFormat="1" ht="22.5" customHeight="1">
      <c r="A53" s="3"/>
      <c r="B53" s="4"/>
      <c r="C53" s="4"/>
      <c r="D53" s="5"/>
      <c r="E53" s="5"/>
      <c r="F53" s="5"/>
      <c r="G53" s="5"/>
      <c r="H53" s="5"/>
      <c r="I53" s="5"/>
      <c r="J53" s="5"/>
      <c r="K53" s="5"/>
      <c r="L53" s="5"/>
      <c r="M53" s="353"/>
      <c r="N53" s="117"/>
      <c r="O53" s="69"/>
    </row>
    <row r="54" spans="1:15" s="15" customFormat="1" ht="22.5" customHeight="1">
      <c r="A54" s="3"/>
      <c r="B54" s="4"/>
      <c r="C54" s="4"/>
      <c r="D54" s="5"/>
      <c r="E54" s="5"/>
      <c r="F54" s="5"/>
      <c r="G54" s="5"/>
      <c r="H54" s="5"/>
      <c r="I54" s="5"/>
      <c r="J54" s="5"/>
      <c r="K54" s="5"/>
      <c r="L54" s="5"/>
      <c r="M54" s="353"/>
      <c r="N54" s="117"/>
      <c r="O54" s="69"/>
    </row>
    <row r="55" spans="1:15" s="150" customFormat="1" ht="22.5" customHeight="1">
      <c r="A55" s="3"/>
      <c r="B55" s="4"/>
      <c r="C55" s="4"/>
      <c r="D55" s="5"/>
      <c r="E55" s="5"/>
      <c r="F55" s="5"/>
      <c r="G55" s="5"/>
      <c r="H55" s="5"/>
      <c r="I55" s="5"/>
      <c r="J55" s="5"/>
      <c r="K55" s="5"/>
      <c r="L55" s="5"/>
      <c r="M55" s="353"/>
      <c r="N55" s="155"/>
      <c r="O55" s="149"/>
    </row>
    <row r="56" spans="1:15" s="15" customFormat="1" ht="22.5" customHeight="1">
      <c r="A56" s="3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353"/>
      <c r="N56" s="117"/>
      <c r="O56" s="69"/>
    </row>
    <row r="57" spans="1:15" s="15" customFormat="1" ht="22.5" customHeight="1">
      <c r="A57" s="3"/>
      <c r="B57" s="4"/>
      <c r="C57" s="4"/>
      <c r="D57" s="5"/>
      <c r="E57" s="5"/>
      <c r="F57" s="5"/>
      <c r="G57" s="5"/>
      <c r="H57" s="5"/>
      <c r="I57" s="5"/>
      <c r="J57" s="5"/>
      <c r="K57" s="5"/>
      <c r="L57" s="5"/>
      <c r="M57" s="353"/>
      <c r="N57" s="117"/>
      <c r="O57" s="69"/>
    </row>
    <row r="58" spans="1:15" s="15" customFormat="1" ht="22.5" customHeight="1">
      <c r="A58" s="3"/>
      <c r="B58" s="4"/>
      <c r="C58" s="4"/>
      <c r="D58" s="5"/>
      <c r="E58" s="5"/>
      <c r="F58" s="5"/>
      <c r="G58" s="5"/>
      <c r="H58" s="5"/>
      <c r="I58" s="5"/>
      <c r="J58" s="5"/>
      <c r="K58" s="5"/>
      <c r="L58" s="5"/>
      <c r="M58" s="353"/>
      <c r="N58" s="117"/>
      <c r="O58" s="69"/>
    </row>
    <row r="59" spans="1:15" s="15" customFormat="1" ht="22.5" customHeight="1">
      <c r="A59" s="3"/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  <c r="M59" s="353"/>
      <c r="N59" s="117"/>
      <c r="O59" s="69"/>
    </row>
    <row r="60" spans="1:15" s="150" customFormat="1" ht="22.5" customHeight="1">
      <c r="A60" s="3"/>
      <c r="B60" s="4"/>
      <c r="C60" s="4"/>
      <c r="D60" s="5"/>
      <c r="E60" s="5"/>
      <c r="F60" s="5"/>
      <c r="G60" s="5"/>
      <c r="H60" s="5"/>
      <c r="I60" s="5"/>
      <c r="J60" s="5"/>
      <c r="K60" s="5"/>
      <c r="L60" s="5"/>
      <c r="M60" s="353"/>
      <c r="N60" s="155"/>
      <c r="O60" s="149"/>
    </row>
    <row r="61" spans="1:15" s="150" customFormat="1" ht="17.100000000000001" customHeight="1">
      <c r="A61" s="3"/>
      <c r="B61" s="4"/>
      <c r="C61" s="4"/>
      <c r="D61" s="5"/>
      <c r="E61" s="5"/>
      <c r="F61" s="5"/>
      <c r="G61" s="5"/>
      <c r="H61" s="5"/>
      <c r="I61" s="5"/>
      <c r="J61" s="5"/>
      <c r="K61" s="5"/>
      <c r="L61" s="5"/>
      <c r="M61" s="354"/>
      <c r="N61" s="155"/>
      <c r="O61" s="149"/>
    </row>
    <row r="62" spans="1:15" s="150" customFormat="1" ht="17.100000000000001" customHeight="1">
      <c r="A62" s="3"/>
      <c r="B62" s="4"/>
      <c r="C62" s="4"/>
      <c r="D62" s="5"/>
      <c r="E62" s="5"/>
      <c r="F62" s="5"/>
      <c r="G62" s="5"/>
      <c r="H62" s="5"/>
      <c r="I62" s="5"/>
      <c r="J62" s="5"/>
      <c r="K62" s="5"/>
      <c r="L62" s="5"/>
      <c r="M62" s="354"/>
      <c r="N62" s="155"/>
      <c r="O62" s="149"/>
    </row>
    <row r="63" spans="1:15" s="150" customFormat="1" ht="22.5" customHeight="1">
      <c r="A63" s="3"/>
      <c r="B63" s="4"/>
      <c r="C63" s="4"/>
      <c r="D63" s="5"/>
      <c r="E63" s="5"/>
      <c r="F63" s="5"/>
      <c r="G63" s="5"/>
      <c r="H63" s="5"/>
      <c r="I63" s="5"/>
      <c r="J63" s="5"/>
      <c r="K63" s="5"/>
      <c r="L63" s="5"/>
      <c r="M63" s="353"/>
      <c r="N63" s="155"/>
      <c r="O63" s="149"/>
    </row>
    <row r="64" spans="1:15" s="150" customFormat="1" ht="22.5" customHeight="1">
      <c r="A64" s="3"/>
      <c r="B64" s="4"/>
      <c r="C64" s="4"/>
      <c r="D64" s="5"/>
      <c r="E64" s="5"/>
      <c r="F64" s="5"/>
      <c r="G64" s="5"/>
      <c r="H64" s="5"/>
      <c r="I64" s="5"/>
      <c r="J64" s="5"/>
      <c r="K64" s="5"/>
      <c r="L64" s="5"/>
      <c r="M64" s="353"/>
      <c r="N64" s="155"/>
      <c r="O64" s="149"/>
    </row>
    <row r="65" spans="1:15" s="15" customFormat="1" ht="22.5" customHeight="1">
      <c r="A65" s="3"/>
      <c r="B65" s="4"/>
      <c r="C65" s="4"/>
      <c r="D65" s="5"/>
      <c r="E65" s="5"/>
      <c r="F65" s="5"/>
      <c r="G65" s="5"/>
      <c r="H65" s="5"/>
      <c r="I65" s="5"/>
      <c r="J65" s="5"/>
      <c r="K65" s="5"/>
      <c r="L65" s="5"/>
      <c r="M65" s="353"/>
      <c r="N65" s="116"/>
      <c r="O65" s="69"/>
    </row>
    <row r="66" spans="1:15" s="15" customFormat="1" ht="22.5" customHeight="1">
      <c r="A66" s="3"/>
      <c r="B66" s="4"/>
      <c r="C66" s="4"/>
      <c r="D66" s="5"/>
      <c r="E66" s="5"/>
      <c r="F66" s="5"/>
      <c r="G66" s="5"/>
      <c r="H66" s="5"/>
      <c r="I66" s="5"/>
      <c r="J66" s="5"/>
      <c r="K66" s="5"/>
      <c r="L66" s="5"/>
      <c r="M66" s="353"/>
      <c r="N66" s="68"/>
      <c r="O66" s="69"/>
    </row>
    <row r="67" spans="1:15" s="15" customFormat="1" ht="22.5" customHeight="1">
      <c r="A67" s="3"/>
      <c r="B67" s="4"/>
      <c r="C67" s="4"/>
      <c r="D67" s="5"/>
      <c r="E67" s="5"/>
      <c r="F67" s="5"/>
      <c r="G67" s="5"/>
      <c r="H67" s="5"/>
      <c r="I67" s="5"/>
      <c r="J67" s="5"/>
      <c r="K67" s="5"/>
      <c r="L67" s="5"/>
      <c r="M67" s="353"/>
      <c r="N67" s="68"/>
      <c r="O67" s="69"/>
    </row>
    <row r="68" spans="1:15" s="150" customFormat="1" ht="22.5" customHeight="1">
      <c r="A68" s="3"/>
      <c r="B68" s="4"/>
      <c r="C68" s="4"/>
      <c r="D68" s="5"/>
      <c r="E68" s="5"/>
      <c r="F68" s="5"/>
      <c r="G68" s="5"/>
      <c r="H68" s="5"/>
      <c r="I68" s="5"/>
      <c r="J68" s="5"/>
      <c r="K68" s="5"/>
      <c r="L68" s="5"/>
      <c r="M68" s="353"/>
      <c r="N68" s="148"/>
      <c r="O68" s="149"/>
    </row>
    <row r="69" spans="1:15" ht="22.5" customHeight="1">
      <c r="M69" s="82"/>
      <c r="N69" s="83"/>
      <c r="O69" s="84"/>
    </row>
    <row r="70" spans="1:15" ht="22.5" customHeight="1">
      <c r="M70" s="88"/>
      <c r="N70" s="5"/>
      <c r="O70" s="84"/>
    </row>
    <row r="71" spans="1:15" ht="18.95" customHeight="1">
      <c r="M71" s="88"/>
      <c r="N71" s="5"/>
      <c r="O71" s="92"/>
    </row>
    <row r="72" spans="1:15" ht="22.5" customHeight="1">
      <c r="M72" s="5"/>
      <c r="N72" s="5"/>
    </row>
    <row r="73" spans="1:15" ht="22.5" customHeight="1"/>
    <row r="74" spans="1:15" ht="22.5" customHeight="1"/>
    <row r="75" spans="1:15" ht="22.5" customHeight="1"/>
    <row r="76" spans="1:15" ht="22.5" customHeight="1"/>
    <row r="77" spans="1:15" ht="22.5" customHeight="1"/>
    <row r="78" spans="1:15" ht="22.5" customHeight="1"/>
    <row r="79" spans="1:15" ht="22.5" customHeight="1"/>
    <row r="80" spans="1:15" ht="22.5" customHeight="1">
      <c r="O80" s="84"/>
    </row>
    <row r="81" ht="22.5" customHeight="1"/>
  </sheetData>
  <mergeCells count="57">
    <mergeCell ref="O36:P36"/>
    <mergeCell ref="B46:C46"/>
    <mergeCell ref="E46:F46"/>
    <mergeCell ref="B47:C47"/>
    <mergeCell ref="E47:F47"/>
    <mergeCell ref="E38:F38"/>
    <mergeCell ref="E39:F39"/>
    <mergeCell ref="E40:F40"/>
    <mergeCell ref="E43:F43"/>
    <mergeCell ref="E44:F44"/>
    <mergeCell ref="E45:F45"/>
    <mergeCell ref="E37:F37"/>
    <mergeCell ref="M29:N29"/>
    <mergeCell ref="A30:D30"/>
    <mergeCell ref="E30:F30"/>
    <mergeCell ref="G30:L30"/>
    <mergeCell ref="E31:F31"/>
    <mergeCell ref="E32:F32"/>
    <mergeCell ref="E33:F33"/>
    <mergeCell ref="E34:F34"/>
    <mergeCell ref="E35:F35"/>
    <mergeCell ref="E36:F36"/>
    <mergeCell ref="E25:F25"/>
    <mergeCell ref="M25:N25"/>
    <mergeCell ref="E26:F26"/>
    <mergeCell ref="M26:N26"/>
    <mergeCell ref="E27:F27"/>
    <mergeCell ref="M27:N27"/>
    <mergeCell ref="E22:F22"/>
    <mergeCell ref="M22:N22"/>
    <mergeCell ref="E23:F23"/>
    <mergeCell ref="M23:N23"/>
    <mergeCell ref="E24:F24"/>
    <mergeCell ref="M24:N24"/>
    <mergeCell ref="E21:F21"/>
    <mergeCell ref="M21:N21"/>
    <mergeCell ref="J7:K8"/>
    <mergeCell ref="C8:G8"/>
    <mergeCell ref="A9:B9"/>
    <mergeCell ref="A10:B10"/>
    <mergeCell ref="B13:G16"/>
    <mergeCell ref="I13:L13"/>
    <mergeCell ref="I14:L14"/>
    <mergeCell ref="I15:L15"/>
    <mergeCell ref="I16:L16"/>
    <mergeCell ref="A19:D19"/>
    <mergeCell ref="E19:F19"/>
    <mergeCell ref="G19:L19"/>
    <mergeCell ref="E20:F20"/>
    <mergeCell ref="M20:N20"/>
    <mergeCell ref="E6:F6"/>
    <mergeCell ref="J6:K6"/>
    <mergeCell ref="A1:L1"/>
    <mergeCell ref="A3:C4"/>
    <mergeCell ref="J3:K3"/>
    <mergeCell ref="J4:K4"/>
    <mergeCell ref="J5:K5"/>
  </mergeCells>
  <phoneticPr fontId="4"/>
  <printOptions horizontalCentered="1"/>
  <pageMargins left="0.39370078740157483" right="0.39370078740157483" top="0.39370078740157483" bottom="0.39370078740157483" header="0.39370078740157483" footer="0.39370078740157483"/>
  <pageSetup paperSize="9" scale="69" orientation="portrait" r:id="rId1"/>
  <headerFooter>
    <oddFooter>&amp;R&amp;"BIZ UDPゴシック,標準"&amp;8株式会社プレック研究所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C63FD-8899-48EA-AFA0-02B2CF7E0A14}">
  <sheetPr codeName="Sheet2">
    <tabColor theme="9" tint="0.59999389629810485"/>
    <pageSetUpPr fitToPage="1"/>
  </sheetPr>
  <dimension ref="A1:X85"/>
  <sheetViews>
    <sheetView view="pageBreakPreview" topLeftCell="A35" zoomScale="80" zoomScaleNormal="100" zoomScaleSheetLayoutView="80" workbookViewId="0">
      <selection activeCell="C8" sqref="C8:E9"/>
    </sheetView>
  </sheetViews>
  <sheetFormatPr defaultColWidth="8.25" defaultRowHeight="12"/>
  <cols>
    <col min="1" max="1" width="3" style="3" customWidth="1"/>
    <col min="2" max="2" width="10.5" style="4" customWidth="1"/>
    <col min="3" max="3" width="27" style="4" customWidth="1"/>
    <col min="4" max="9" width="8.125" style="5" customWidth="1"/>
    <col min="10" max="10" width="11.875" style="5" customWidth="1"/>
    <col min="11" max="11" width="2.875" style="5" customWidth="1"/>
    <col min="12" max="12" width="22" style="5" customWidth="1"/>
    <col min="13" max="13" width="13.375" style="1" customWidth="1"/>
    <col min="14" max="14" width="13.375" style="1" bestFit="1" customWidth="1"/>
    <col min="15" max="15" width="16.5" style="2" bestFit="1" customWidth="1"/>
    <col min="16" max="21" width="8.25" style="5"/>
    <col min="22" max="22" width="11.375" style="5" bestFit="1" customWidth="1"/>
    <col min="23" max="23" width="10.375" style="5" bestFit="1" customWidth="1"/>
    <col min="24" max="16384" width="8.25" style="5"/>
  </cols>
  <sheetData>
    <row r="1" spans="1:18" s="1" customFormat="1" ht="84" customHeight="1">
      <c r="A1" s="556" t="s">
        <v>0</v>
      </c>
      <c r="B1" s="556"/>
      <c r="C1" s="556"/>
      <c r="D1" s="556"/>
      <c r="E1" s="556"/>
      <c r="F1" s="556"/>
      <c r="G1" s="556"/>
      <c r="H1" s="556"/>
      <c r="I1" s="556"/>
      <c r="J1" s="556"/>
      <c r="K1" s="556"/>
      <c r="L1" s="556"/>
      <c r="O1" s="2"/>
    </row>
    <row r="2" spans="1:18" s="1" customFormat="1" ht="20.100000000000001" customHeight="1">
      <c r="A2" s="3"/>
      <c r="B2" s="4"/>
      <c r="C2" s="4"/>
      <c r="D2" s="5"/>
      <c r="E2" s="5"/>
      <c r="F2" s="5"/>
      <c r="G2" s="5"/>
      <c r="H2" s="5"/>
      <c r="I2" s="5"/>
      <c r="J2" s="5"/>
      <c r="K2" s="5"/>
      <c r="L2" s="136">
        <v>45321</v>
      </c>
      <c r="O2" s="2"/>
    </row>
    <row r="3" spans="1:18" s="1" customFormat="1" ht="20.100000000000001" customHeight="1">
      <c r="A3" s="557" t="s">
        <v>62</v>
      </c>
      <c r="B3" s="557"/>
      <c r="C3" s="557"/>
      <c r="D3" s="125"/>
      <c r="E3" s="6"/>
      <c r="F3" s="5"/>
      <c r="G3" s="5"/>
      <c r="H3" s="5"/>
      <c r="I3" s="5"/>
      <c r="J3" s="559" t="s">
        <v>1</v>
      </c>
      <c r="K3" s="559"/>
      <c r="L3" s="7" t="s">
        <v>50</v>
      </c>
      <c r="O3" s="2"/>
    </row>
    <row r="4" spans="1:18" s="1" customFormat="1" ht="20.100000000000001" customHeight="1">
      <c r="A4" s="558"/>
      <c r="B4" s="558"/>
      <c r="C4" s="558"/>
      <c r="D4" s="134"/>
      <c r="E4" s="134"/>
      <c r="F4" s="134"/>
      <c r="G4" s="5"/>
      <c r="H4" s="5"/>
      <c r="I4" s="5"/>
      <c r="J4" s="560" t="s">
        <v>57</v>
      </c>
      <c r="K4" s="561"/>
      <c r="L4" s="138">
        <v>45747</v>
      </c>
      <c r="O4" s="2"/>
    </row>
    <row r="5" spans="1:18" s="1" customFormat="1" ht="20.100000000000001" customHeight="1">
      <c r="A5" s="3"/>
      <c r="B5" s="8"/>
      <c r="C5" s="130"/>
      <c r="D5" s="130"/>
      <c r="E5" s="6"/>
      <c r="F5" s="5"/>
      <c r="G5" s="5"/>
      <c r="H5" s="5"/>
      <c r="I5" s="5"/>
      <c r="J5" s="554" t="s">
        <v>58</v>
      </c>
      <c r="K5" s="555"/>
      <c r="L5" s="11" t="s">
        <v>4</v>
      </c>
      <c r="O5" s="2"/>
    </row>
    <row r="6" spans="1:18" s="1" customFormat="1" ht="20.100000000000001" customHeight="1">
      <c r="A6" s="131" t="s">
        <v>52</v>
      </c>
      <c r="B6" s="131"/>
      <c r="C6" s="113">
        <f>+E28</f>
        <v>28369000.000000004</v>
      </c>
      <c r="D6" s="9" t="s">
        <v>2</v>
      </c>
      <c r="E6" s="553">
        <f>+E26*0.1</f>
        <v>2579000</v>
      </c>
      <c r="F6" s="553"/>
      <c r="G6" s="10" t="s">
        <v>3</v>
      </c>
      <c r="H6" s="135"/>
      <c r="I6" s="5"/>
      <c r="J6" s="554" t="s">
        <v>59</v>
      </c>
      <c r="K6" s="555"/>
      <c r="L6" s="11" t="s">
        <v>5</v>
      </c>
      <c r="O6" s="2"/>
      <c r="Q6" s="3"/>
      <c r="R6" s="121"/>
    </row>
    <row r="7" spans="1:18" s="1" customFormat="1" ht="20.100000000000001" customHeight="1">
      <c r="A7" s="132"/>
      <c r="B7" s="133"/>
      <c r="C7" s="124"/>
      <c r="D7" s="124"/>
      <c r="E7" s="124"/>
      <c r="F7" s="124"/>
      <c r="G7" s="124"/>
      <c r="H7" s="124"/>
      <c r="I7" s="5"/>
      <c r="J7" s="554" t="s">
        <v>60</v>
      </c>
      <c r="K7" s="555"/>
      <c r="L7" s="11" t="s">
        <v>63</v>
      </c>
      <c r="O7" s="2"/>
      <c r="Q7" s="3"/>
      <c r="R7" s="121"/>
    </row>
    <row r="8" spans="1:18" s="1" customFormat="1" ht="20.100000000000001" customHeight="1">
      <c r="A8" s="131" t="s">
        <v>6</v>
      </c>
      <c r="B8" s="131"/>
      <c r="C8" s="567" t="s">
        <v>61</v>
      </c>
      <c r="D8" s="567"/>
      <c r="E8" s="567"/>
      <c r="F8" s="567"/>
      <c r="G8" s="567"/>
      <c r="H8" s="124"/>
      <c r="I8" s="5"/>
      <c r="J8" s="566"/>
      <c r="K8" s="559"/>
      <c r="L8" s="12" t="s">
        <v>64</v>
      </c>
      <c r="O8" s="2"/>
      <c r="Q8" s="3"/>
      <c r="R8" s="7"/>
    </row>
    <row r="9" spans="1:18" s="1" customFormat="1" ht="20.100000000000001" customHeight="1">
      <c r="A9" s="568"/>
      <c r="B9" s="568"/>
      <c r="C9" s="124"/>
      <c r="D9" s="124"/>
      <c r="E9" s="124"/>
      <c r="F9" s="124"/>
      <c r="G9" s="124"/>
      <c r="H9" s="124"/>
      <c r="I9" s="5"/>
      <c r="J9" s="128"/>
      <c r="K9" s="128"/>
      <c r="L9" s="129"/>
      <c r="O9" s="2"/>
      <c r="Q9" s="3"/>
      <c r="R9" s="7"/>
    </row>
    <row r="10" spans="1:18" s="1" customFormat="1" ht="18" customHeight="1">
      <c r="A10" s="569"/>
      <c r="B10" s="569"/>
      <c r="C10" s="124"/>
      <c r="D10" s="126"/>
      <c r="E10" s="126"/>
      <c r="F10" s="126"/>
      <c r="G10" s="126"/>
      <c r="H10" s="127"/>
      <c r="I10" s="5"/>
      <c r="J10" s="5"/>
      <c r="K10" s="5"/>
      <c r="L10" s="5"/>
      <c r="O10" s="2"/>
      <c r="Q10" s="3"/>
      <c r="R10" s="7"/>
    </row>
    <row r="11" spans="1:18" s="1" customFormat="1" ht="18" customHeight="1">
      <c r="A11" s="3"/>
      <c r="B11" s="15" t="s">
        <v>7</v>
      </c>
      <c r="C11" s="4"/>
      <c r="D11" s="5"/>
      <c r="E11" s="5"/>
      <c r="F11" s="5"/>
      <c r="G11" s="5"/>
      <c r="H11" s="5"/>
      <c r="I11" s="5"/>
      <c r="J11" s="5"/>
      <c r="K11" s="5"/>
      <c r="L11" s="5"/>
      <c r="O11" s="2"/>
    </row>
    <row r="12" spans="1:18" s="1" customFormat="1" ht="18" customHeight="1">
      <c r="A12" s="3"/>
      <c r="B12" s="15" t="s">
        <v>8</v>
      </c>
      <c r="C12" s="4"/>
      <c r="D12" s="5"/>
      <c r="E12" s="5"/>
      <c r="F12" s="5"/>
      <c r="G12" s="5"/>
      <c r="H12" s="5"/>
      <c r="I12" s="5"/>
      <c r="J12" s="5"/>
      <c r="K12" s="5"/>
      <c r="L12" s="5"/>
      <c r="O12" s="2"/>
    </row>
    <row r="13" spans="1:18" s="1" customFormat="1" ht="18" customHeight="1">
      <c r="A13" s="3"/>
      <c r="B13" s="570" t="s">
        <v>51</v>
      </c>
      <c r="C13" s="571"/>
      <c r="D13" s="571"/>
      <c r="E13" s="571"/>
      <c r="F13" s="571"/>
      <c r="G13" s="572"/>
      <c r="H13" s="5"/>
      <c r="I13" s="579" t="s">
        <v>56</v>
      </c>
      <c r="J13" s="579"/>
      <c r="K13" s="579"/>
      <c r="L13" s="579"/>
      <c r="O13" s="2"/>
    </row>
    <row r="14" spans="1:18" s="1" customFormat="1" ht="18" customHeight="1">
      <c r="A14" s="13"/>
      <c r="B14" s="573"/>
      <c r="C14" s="574"/>
      <c r="D14" s="574"/>
      <c r="E14" s="574"/>
      <c r="F14" s="574"/>
      <c r="G14" s="575"/>
      <c r="H14" s="5"/>
      <c r="I14" s="579" t="s">
        <v>9</v>
      </c>
      <c r="J14" s="579"/>
      <c r="K14" s="579"/>
      <c r="L14" s="579"/>
      <c r="O14" s="2"/>
    </row>
    <row r="15" spans="1:18" s="1" customFormat="1" ht="18" customHeight="1">
      <c r="A15" s="13"/>
      <c r="B15" s="573"/>
      <c r="C15" s="574"/>
      <c r="D15" s="574"/>
      <c r="E15" s="574"/>
      <c r="F15" s="574"/>
      <c r="G15" s="575"/>
      <c r="H15" s="5"/>
      <c r="I15" s="579" t="s">
        <v>55</v>
      </c>
      <c r="J15" s="579"/>
      <c r="K15" s="579"/>
      <c r="L15" s="579"/>
      <c r="O15" s="2"/>
    </row>
    <row r="16" spans="1:18" s="1" customFormat="1" ht="18" customHeight="1">
      <c r="A16" s="13"/>
      <c r="B16" s="576"/>
      <c r="C16" s="577"/>
      <c r="D16" s="577"/>
      <c r="E16" s="577"/>
      <c r="F16" s="577"/>
      <c r="G16" s="578"/>
      <c r="H16" s="5"/>
      <c r="I16" s="579" t="s">
        <v>10</v>
      </c>
      <c r="J16" s="579"/>
      <c r="K16" s="579"/>
      <c r="L16" s="579"/>
      <c r="O16" s="2"/>
    </row>
    <row r="17" spans="1:24" s="1" customFormat="1" ht="18" customHeight="1">
      <c r="A17" s="13"/>
      <c r="B17" s="123"/>
      <c r="C17" s="123"/>
      <c r="D17" s="123"/>
      <c r="E17" s="123"/>
      <c r="F17" s="123"/>
      <c r="G17" s="123"/>
      <c r="H17" s="5"/>
      <c r="I17" s="120"/>
      <c r="J17" s="120"/>
      <c r="K17" s="120"/>
      <c r="L17" s="120"/>
      <c r="O17" s="2"/>
    </row>
    <row r="18" spans="1:24" ht="18" customHeight="1">
      <c r="A18" s="13"/>
      <c r="B18" s="122"/>
      <c r="C18" s="122"/>
      <c r="D18" s="122"/>
      <c r="E18" s="122"/>
      <c r="F18" s="122"/>
      <c r="G18" s="122"/>
      <c r="I18" s="579"/>
      <c r="J18" s="579"/>
      <c r="K18" s="579"/>
      <c r="L18" s="579"/>
      <c r="O18" s="5"/>
    </row>
    <row r="19" spans="1:24" s="15" customFormat="1" ht="18.95" customHeight="1" thickBot="1">
      <c r="A19" s="13" t="s">
        <v>11</v>
      </c>
      <c r="B19" s="14"/>
      <c r="C19" s="14"/>
      <c r="D19" s="14"/>
      <c r="M19" s="16"/>
      <c r="N19" s="16"/>
    </row>
    <row r="20" spans="1:24" s="15" customFormat="1" ht="19.5" customHeight="1" thickBot="1">
      <c r="A20" s="580" t="s">
        <v>12</v>
      </c>
      <c r="B20" s="581"/>
      <c r="C20" s="581"/>
      <c r="D20" s="582"/>
      <c r="E20" s="583" t="s">
        <v>13</v>
      </c>
      <c r="F20" s="582"/>
      <c r="G20" s="583" t="s">
        <v>14</v>
      </c>
      <c r="H20" s="581"/>
      <c r="I20" s="581"/>
      <c r="J20" s="581"/>
      <c r="K20" s="581"/>
      <c r="L20" s="584"/>
      <c r="M20" s="587"/>
      <c r="N20" s="588"/>
    </row>
    <row r="21" spans="1:24" s="15" customFormat="1" ht="18.95" customHeight="1" thickTop="1">
      <c r="A21" s="18">
        <v>1</v>
      </c>
      <c r="B21" s="19" t="s">
        <v>15</v>
      </c>
      <c r="C21" s="19"/>
      <c r="D21" s="20"/>
      <c r="E21" s="585">
        <f>+J46</f>
        <v>10680000</v>
      </c>
      <c r="F21" s="586"/>
      <c r="G21" s="21" t="s">
        <v>16</v>
      </c>
      <c r="H21" s="22"/>
      <c r="I21" s="22"/>
      <c r="J21" s="22"/>
      <c r="K21" s="22"/>
      <c r="L21" s="23"/>
      <c r="M21" s="564"/>
      <c r="N21" s="565"/>
    </row>
    <row r="22" spans="1:24" s="15" customFormat="1" ht="18.95" customHeight="1">
      <c r="A22" s="25">
        <v>2</v>
      </c>
      <c r="B22" s="26" t="s">
        <v>17</v>
      </c>
      <c r="C22" s="26"/>
      <c r="D22" s="27"/>
      <c r="E22" s="562">
        <v>0</v>
      </c>
      <c r="F22" s="563"/>
      <c r="G22" s="28" t="s">
        <v>230</v>
      </c>
      <c r="H22" s="29"/>
      <c r="I22" s="29"/>
      <c r="J22" s="29"/>
      <c r="K22" s="29"/>
      <c r="L22" s="30"/>
      <c r="M22" s="564"/>
      <c r="N22" s="565"/>
      <c r="O22" s="1"/>
    </row>
    <row r="23" spans="1:24" s="15" customFormat="1" ht="18.95" customHeight="1">
      <c r="A23" s="25">
        <v>3</v>
      </c>
      <c r="B23" s="26" t="s">
        <v>231</v>
      </c>
      <c r="C23" s="26"/>
      <c r="D23" s="27"/>
      <c r="E23" s="562">
        <f>E21*1.1</f>
        <v>11748000.000000002</v>
      </c>
      <c r="F23" s="563"/>
      <c r="G23" s="28" t="s">
        <v>233</v>
      </c>
      <c r="H23" s="29"/>
      <c r="I23" s="29"/>
      <c r="J23" s="29"/>
      <c r="K23" s="29"/>
      <c r="L23" s="31"/>
      <c r="M23" s="564"/>
      <c r="N23" s="565"/>
    </row>
    <row r="24" spans="1:24" s="15" customFormat="1" ht="18.95" customHeight="1">
      <c r="A24" s="33">
        <v>4</v>
      </c>
      <c r="B24" s="34" t="s">
        <v>232</v>
      </c>
      <c r="C24" s="34"/>
      <c r="D24" s="35"/>
      <c r="E24" s="589">
        <f>(E21+E23)*0.15</f>
        <v>3364200</v>
      </c>
      <c r="F24" s="590"/>
      <c r="G24" s="36" t="s">
        <v>234</v>
      </c>
      <c r="H24" s="37"/>
      <c r="I24" s="37"/>
      <c r="J24" s="38"/>
      <c r="K24" s="38"/>
      <c r="L24" s="39"/>
      <c r="M24" s="564"/>
      <c r="N24" s="565"/>
    </row>
    <row r="25" spans="1:24" s="15" customFormat="1" ht="18.95" customHeight="1">
      <c r="A25" s="40" t="s">
        <v>27</v>
      </c>
      <c r="B25" s="41"/>
      <c r="C25" s="41"/>
      <c r="D25" s="42"/>
      <c r="E25" s="591">
        <f>+E21+E22+E23+E24</f>
        <v>25792200</v>
      </c>
      <c r="F25" s="592"/>
      <c r="G25" s="43" t="s">
        <v>28</v>
      </c>
      <c r="H25" s="44"/>
      <c r="I25" s="44"/>
      <c r="J25" s="44"/>
      <c r="K25" s="44"/>
      <c r="L25" s="45"/>
      <c r="M25" s="564"/>
      <c r="N25" s="565"/>
    </row>
    <row r="26" spans="1:24" s="15" customFormat="1" ht="18.95" customHeight="1">
      <c r="A26" s="46" t="s">
        <v>29</v>
      </c>
      <c r="B26" s="26"/>
      <c r="C26" s="26"/>
      <c r="D26" s="27"/>
      <c r="E26" s="562">
        <f>ROUNDDOWN(E25,-4)</f>
        <v>25790000</v>
      </c>
      <c r="F26" s="563"/>
      <c r="G26" s="28" t="s">
        <v>30</v>
      </c>
      <c r="H26" s="29"/>
      <c r="I26" s="29"/>
      <c r="J26" s="29"/>
      <c r="K26" s="29"/>
      <c r="L26" s="47"/>
      <c r="M26" s="564"/>
      <c r="N26" s="565"/>
    </row>
    <row r="27" spans="1:24" s="15" customFormat="1" ht="18.95" customHeight="1">
      <c r="A27" s="46" t="s">
        <v>31</v>
      </c>
      <c r="B27" s="26"/>
      <c r="C27" s="26"/>
      <c r="D27" s="27"/>
      <c r="E27" s="562">
        <f>+E26*0.1</f>
        <v>2579000</v>
      </c>
      <c r="F27" s="563"/>
      <c r="G27" s="48">
        <v>0.1</v>
      </c>
      <c r="H27" s="29"/>
      <c r="I27" s="29"/>
      <c r="J27" s="29"/>
      <c r="K27" s="29"/>
      <c r="L27" s="47"/>
      <c r="M27" s="564"/>
      <c r="N27" s="565"/>
    </row>
    <row r="28" spans="1:24" ht="18.95" customHeight="1">
      <c r="A28" s="412" t="s">
        <v>32</v>
      </c>
      <c r="B28" s="413"/>
      <c r="C28" s="413"/>
      <c r="D28" s="413"/>
      <c r="E28" s="608">
        <f>+E26*1.1</f>
        <v>28369000.000000004</v>
      </c>
      <c r="F28" s="609"/>
      <c r="G28" s="414"/>
      <c r="H28" s="415"/>
      <c r="I28" s="415"/>
      <c r="J28" s="415"/>
      <c r="K28" s="415"/>
      <c r="L28" s="416"/>
      <c r="M28" s="564"/>
      <c r="N28" s="565"/>
      <c r="O28" s="5"/>
    </row>
    <row r="29" spans="1:24" ht="42.6" customHeight="1">
      <c r="A29" s="610" t="s">
        <v>256</v>
      </c>
      <c r="B29" s="610"/>
      <c r="C29" s="610"/>
      <c r="D29" s="610"/>
      <c r="E29" s="610"/>
      <c r="F29" s="610"/>
      <c r="G29" s="610"/>
      <c r="H29" s="610"/>
      <c r="I29" s="610"/>
      <c r="J29" s="610"/>
      <c r="K29" s="610"/>
      <c r="L29" s="610"/>
      <c r="M29" s="24"/>
      <c r="N29" s="24"/>
      <c r="O29" s="5"/>
    </row>
    <row r="30" spans="1:24" ht="22.5" customHeight="1" thickBot="1">
      <c r="A30" s="13" t="s">
        <v>53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56"/>
      <c r="M30" s="57"/>
      <c r="N30" s="58"/>
      <c r="O30" s="5"/>
    </row>
    <row r="31" spans="1:24" ht="22.5" customHeight="1">
      <c r="A31" s="611" t="s">
        <v>33</v>
      </c>
      <c r="B31" s="612"/>
      <c r="C31" s="613"/>
      <c r="D31" s="59" t="s">
        <v>34</v>
      </c>
      <c r="E31" s="60" t="s">
        <v>35</v>
      </c>
      <c r="F31" s="60" t="s">
        <v>36</v>
      </c>
      <c r="G31" s="60" t="s">
        <v>37</v>
      </c>
      <c r="H31" s="60" t="s">
        <v>38</v>
      </c>
      <c r="I31" s="59" t="s">
        <v>39</v>
      </c>
      <c r="J31" s="61" t="s">
        <v>40</v>
      </c>
      <c r="K31" s="617" t="s">
        <v>14</v>
      </c>
      <c r="L31" s="618"/>
      <c r="O31" s="62"/>
      <c r="P31" s="62"/>
      <c r="Q31" s="63"/>
      <c r="R31" s="64"/>
      <c r="S31" s="63"/>
      <c r="T31" s="63"/>
      <c r="U31" s="63"/>
      <c r="V31" s="63"/>
      <c r="W31" s="65"/>
      <c r="X31" s="66"/>
    </row>
    <row r="32" spans="1:24" ht="22.5" customHeight="1" thickBot="1">
      <c r="A32" s="614"/>
      <c r="B32" s="615"/>
      <c r="C32" s="616"/>
      <c r="D32" s="114">
        <v>70900</v>
      </c>
      <c r="E32" s="115">
        <v>62200</v>
      </c>
      <c r="F32" s="115">
        <v>55200</v>
      </c>
      <c r="G32" s="115">
        <v>45300</v>
      </c>
      <c r="H32" s="115">
        <v>35600</v>
      </c>
      <c r="I32" s="114">
        <v>31600</v>
      </c>
      <c r="J32" s="137" t="s">
        <v>41</v>
      </c>
      <c r="K32" s="619"/>
      <c r="L32" s="620"/>
    </row>
    <row r="33" spans="1:17" s="150" customFormat="1" ht="22.5" customHeight="1" thickTop="1">
      <c r="A33" s="144" t="s">
        <v>65</v>
      </c>
      <c r="B33" s="621" t="s">
        <v>66</v>
      </c>
      <c r="C33" s="622"/>
      <c r="D33" s="145"/>
      <c r="E33" s="146"/>
      <c r="F33" s="146"/>
      <c r="G33" s="146"/>
      <c r="H33" s="146"/>
      <c r="I33" s="146"/>
      <c r="J33" s="147">
        <f t="shared" ref="J33:J72" si="0">+$D$32*D33+$E$32*E33+$F$32*F33+$G$32*G33+$H$32*H33+$I$32*I33</f>
        <v>0</v>
      </c>
      <c r="K33" s="623" t="s">
        <v>249</v>
      </c>
      <c r="L33" s="624"/>
      <c r="M33" s="291">
        <f>+$D$32*D33+$E$32*E33+$F$32*F33+$G$32*G33+$H$32*H33+$I$32*I33</f>
        <v>0</v>
      </c>
      <c r="N33" s="148"/>
      <c r="O33" s="149"/>
    </row>
    <row r="34" spans="1:17" s="15" customFormat="1" ht="22.5" customHeight="1">
      <c r="A34" s="70"/>
      <c r="B34" s="625" t="s">
        <v>69</v>
      </c>
      <c r="C34" s="626"/>
      <c r="D34" s="289"/>
      <c r="E34" s="345"/>
      <c r="F34" s="345"/>
      <c r="G34" s="345"/>
      <c r="H34" s="345"/>
      <c r="I34" s="345"/>
      <c r="J34" s="290">
        <f t="shared" si="0"/>
        <v>0</v>
      </c>
      <c r="K34" s="635"/>
      <c r="L34" s="636"/>
      <c r="M34" s="291">
        <f t="shared" ref="M34:M72" si="1">+$D$32*D34+$E$32*E34+$F$32*F34+$G$32*G34+$H$32*H34+$I$32*I34</f>
        <v>0</v>
      </c>
      <c r="N34" s="68"/>
      <c r="O34" s="595"/>
      <c r="P34" s="595"/>
    </row>
    <row r="35" spans="1:17" s="15" customFormat="1" ht="22.5" customHeight="1">
      <c r="A35" s="70"/>
      <c r="B35" s="637" t="s">
        <v>229</v>
      </c>
      <c r="C35" s="638"/>
      <c r="D35" s="289"/>
      <c r="E35" s="345"/>
      <c r="F35" s="345"/>
      <c r="G35" s="345"/>
      <c r="H35" s="345"/>
      <c r="I35" s="345"/>
      <c r="J35" s="290">
        <f t="shared" si="0"/>
        <v>0</v>
      </c>
      <c r="K35" s="627"/>
      <c r="L35" s="628"/>
      <c r="M35" s="291">
        <f t="shared" si="1"/>
        <v>0</v>
      </c>
      <c r="N35" s="68"/>
      <c r="O35" s="71"/>
      <c r="P35" s="71"/>
    </row>
    <row r="36" spans="1:17" s="15" customFormat="1" ht="22.5" customHeight="1">
      <c r="A36" s="70"/>
      <c r="B36" s="625" t="s">
        <v>72</v>
      </c>
      <c r="C36" s="626"/>
      <c r="D36" s="289"/>
      <c r="E36" s="345"/>
      <c r="F36" s="345"/>
      <c r="G36" s="345"/>
      <c r="H36" s="345"/>
      <c r="I36" s="345"/>
      <c r="J36" s="290">
        <f t="shared" si="0"/>
        <v>0</v>
      </c>
      <c r="K36" s="635"/>
      <c r="L36" s="636"/>
      <c r="M36" s="291">
        <f t="shared" si="1"/>
        <v>0</v>
      </c>
      <c r="N36" s="68"/>
      <c r="O36" s="71"/>
      <c r="P36" s="71"/>
    </row>
    <row r="37" spans="1:17" s="15" customFormat="1" ht="22.5" customHeight="1">
      <c r="A37" s="70"/>
      <c r="B37" s="625" t="s">
        <v>73</v>
      </c>
      <c r="C37" s="626"/>
      <c r="D37" s="289"/>
      <c r="E37" s="345"/>
      <c r="F37" s="345"/>
      <c r="G37" s="345"/>
      <c r="H37" s="345"/>
      <c r="I37" s="345"/>
      <c r="J37" s="290">
        <f t="shared" si="0"/>
        <v>0</v>
      </c>
      <c r="K37" s="627"/>
      <c r="L37" s="628"/>
      <c r="M37" s="291">
        <f t="shared" si="1"/>
        <v>0</v>
      </c>
      <c r="N37" s="68"/>
      <c r="O37" s="69"/>
    </row>
    <row r="38" spans="1:17" s="150" customFormat="1" ht="22.5" customHeight="1">
      <c r="A38" s="151" t="s">
        <v>68</v>
      </c>
      <c r="B38" s="621" t="s">
        <v>67</v>
      </c>
      <c r="C38" s="622"/>
      <c r="D38" s="152"/>
      <c r="E38" s="152"/>
      <c r="F38" s="152"/>
      <c r="G38" s="152"/>
      <c r="H38" s="152">
        <f>H46</f>
        <v>300</v>
      </c>
      <c r="I38" s="152"/>
      <c r="J38" s="346">
        <f t="shared" si="0"/>
        <v>10680000</v>
      </c>
      <c r="K38" s="629" t="s">
        <v>255</v>
      </c>
      <c r="L38" s="630"/>
      <c r="M38" s="291">
        <f t="shared" si="1"/>
        <v>10680000</v>
      </c>
      <c r="N38" s="148"/>
      <c r="O38" s="149"/>
    </row>
    <row r="39" spans="1:17" s="15" customFormat="1" ht="22.5" customHeight="1">
      <c r="A39" s="70"/>
      <c r="B39" s="631" t="s">
        <v>74</v>
      </c>
      <c r="C39" s="632"/>
      <c r="D39" s="289"/>
      <c r="E39" s="345"/>
      <c r="F39" s="345"/>
      <c r="G39" s="345"/>
      <c r="H39" s="345"/>
      <c r="I39" s="345"/>
      <c r="J39" s="290">
        <f t="shared" si="0"/>
        <v>0</v>
      </c>
      <c r="K39" s="633"/>
      <c r="L39" s="634"/>
      <c r="M39" s="291">
        <f t="shared" si="1"/>
        <v>0</v>
      </c>
      <c r="N39" s="68"/>
      <c r="O39" s="595"/>
      <c r="P39" s="595"/>
      <c r="Q39" s="595"/>
    </row>
    <row r="40" spans="1:17" s="15" customFormat="1" ht="22.5" customHeight="1">
      <c r="A40" s="70"/>
      <c r="B40" s="625" t="s">
        <v>85</v>
      </c>
      <c r="C40" s="626"/>
      <c r="D40" s="289"/>
      <c r="E40" s="345"/>
      <c r="F40" s="345"/>
      <c r="G40" s="345"/>
      <c r="H40" s="345"/>
      <c r="I40" s="345"/>
      <c r="J40" s="290">
        <f t="shared" si="0"/>
        <v>0</v>
      </c>
      <c r="K40" s="633"/>
      <c r="L40" s="634"/>
      <c r="M40" s="291">
        <f t="shared" si="1"/>
        <v>0</v>
      </c>
      <c r="N40" s="117"/>
      <c r="O40" s="69"/>
    </row>
    <row r="41" spans="1:17" s="15" customFormat="1" ht="22.5" customHeight="1">
      <c r="A41" s="70"/>
      <c r="B41" s="639" t="s">
        <v>79</v>
      </c>
      <c r="C41" s="640"/>
      <c r="D41" s="289"/>
      <c r="E41" s="323"/>
      <c r="F41" s="323"/>
      <c r="G41" s="323"/>
      <c r="H41" s="323"/>
      <c r="I41" s="323"/>
      <c r="J41" s="347">
        <f>+$D$35*D41+$E$35*E41+$F$35*F41+$G$35*G41+$H$35*H41+$I$35*I41</f>
        <v>0</v>
      </c>
      <c r="K41" s="635"/>
      <c r="L41" s="636"/>
      <c r="M41" s="291">
        <f>+$D$35*D41+$E$35*E41+$F$35*F41+$G$35*G41+$H$35*H41+$I$35*I41</f>
        <v>0</v>
      </c>
      <c r="N41" s="117"/>
      <c r="O41" s="69"/>
    </row>
    <row r="42" spans="1:17" s="15" customFormat="1" ht="22.5" customHeight="1">
      <c r="A42" s="70"/>
      <c r="B42" s="639" t="s">
        <v>80</v>
      </c>
      <c r="C42" s="640"/>
      <c r="D42" s="289"/>
      <c r="E42" s="323"/>
      <c r="F42" s="323"/>
      <c r="G42" s="323"/>
      <c r="H42" s="323"/>
      <c r="I42" s="323"/>
      <c r="J42" s="347">
        <f>+$D$35*D42+$E$35*E42+$F$35*F42+$G$35*G42+$H$35*H42+$I$35*I42</f>
        <v>0</v>
      </c>
      <c r="K42" s="635"/>
      <c r="L42" s="636"/>
      <c r="M42" s="291">
        <f>+$D$35*D42+$E$35*E42+$F$35*F42+$G$35*G42+$H$35*H42+$I$35*I42</f>
        <v>0</v>
      </c>
      <c r="N42" s="117"/>
      <c r="O42" s="69"/>
    </row>
    <row r="43" spans="1:17" s="15" customFormat="1" ht="22.5" customHeight="1">
      <c r="A43" s="70"/>
      <c r="B43" s="639" t="s">
        <v>81</v>
      </c>
      <c r="C43" s="640"/>
      <c r="D43" s="289"/>
      <c r="E43" s="323"/>
      <c r="F43" s="323"/>
      <c r="G43" s="323"/>
      <c r="H43" s="323"/>
      <c r="I43" s="323"/>
      <c r="J43" s="347">
        <f>+$D$35*D43+$E$35*E43+$F$35*F43+$G$35*G43+$H$35*H43+$I$35*I43</f>
        <v>0</v>
      </c>
      <c r="K43" s="635"/>
      <c r="L43" s="636"/>
      <c r="M43" s="291">
        <f>+$D$35*D43+$E$35*E43+$F$35*F43+$G$35*G43+$H$35*H43+$I$35*I43</f>
        <v>0</v>
      </c>
      <c r="N43" s="117"/>
      <c r="O43" s="69"/>
    </row>
    <row r="44" spans="1:17" s="15" customFormat="1" ht="22.5" customHeight="1">
      <c r="A44" s="70"/>
      <c r="B44" s="639" t="s">
        <v>82</v>
      </c>
      <c r="C44" s="640"/>
      <c r="D44" s="289"/>
      <c r="E44" s="323"/>
      <c r="F44" s="323"/>
      <c r="G44" s="323"/>
      <c r="H44" s="323"/>
      <c r="I44" s="323"/>
      <c r="J44" s="347">
        <f>+$D$35*D44+$E$35*E44+$F$35*F44+$G$35*G44+$H$35*H44+$I$35*I44</f>
        <v>0</v>
      </c>
      <c r="K44" s="635"/>
      <c r="L44" s="636"/>
      <c r="M44" s="291">
        <f>+$D$35*D44+$E$35*E44+$F$35*F44+$G$35*G44+$H$35*H44+$I$35*I44</f>
        <v>0</v>
      </c>
      <c r="N44" s="117"/>
      <c r="O44" s="69"/>
    </row>
    <row r="45" spans="1:17" s="15" customFormat="1" ht="22.5" customHeight="1">
      <c r="A45" s="70"/>
      <c r="B45" s="639" t="s">
        <v>83</v>
      </c>
      <c r="C45" s="640"/>
      <c r="D45" s="289"/>
      <c r="E45" s="323"/>
      <c r="F45" s="323"/>
      <c r="G45" s="323"/>
      <c r="H45" s="323"/>
      <c r="I45" s="323"/>
      <c r="J45" s="347">
        <f>+$D$35*D45+$E$35*E45+$F$35*F45+$G$35*G45+$H$35*H45+$I$35*I45</f>
        <v>0</v>
      </c>
      <c r="K45" s="635"/>
      <c r="L45" s="636"/>
      <c r="M45" s="291">
        <f>+$D$35*D45+$E$35*E45+$F$35*F45+$G$35*G45+$H$35*H45+$I$35*I45</f>
        <v>0</v>
      </c>
      <c r="N45" s="117"/>
      <c r="O45" s="69"/>
    </row>
    <row r="46" spans="1:17" s="15" customFormat="1" ht="22.5" customHeight="1">
      <c r="A46" s="70"/>
      <c r="B46" s="639" t="s">
        <v>84</v>
      </c>
      <c r="C46" s="640"/>
      <c r="D46" s="289"/>
      <c r="E46" s="344"/>
      <c r="F46" s="344"/>
      <c r="G46" s="344"/>
      <c r="H46" s="417">
        <f>SUM(H47+H48+H52+H53)</f>
        <v>300</v>
      </c>
      <c r="I46" s="344"/>
      <c r="J46" s="347">
        <f t="shared" si="0"/>
        <v>10680000</v>
      </c>
      <c r="K46" s="635"/>
      <c r="L46" s="636"/>
      <c r="M46" s="291">
        <f t="shared" si="1"/>
        <v>10680000</v>
      </c>
      <c r="N46" s="117"/>
      <c r="O46" s="69"/>
    </row>
    <row r="47" spans="1:17" s="15" customFormat="1" ht="22.5" customHeight="1">
      <c r="A47" s="70"/>
      <c r="B47" s="639" t="s">
        <v>213</v>
      </c>
      <c r="C47" s="640"/>
      <c r="D47" s="289"/>
      <c r="E47" s="323"/>
      <c r="F47" s="323"/>
      <c r="G47" s="323"/>
      <c r="H47" s="418">
        <f>ROUNDUP(32.9/2,0)</f>
        <v>17</v>
      </c>
      <c r="I47" s="323"/>
      <c r="J47" s="343">
        <f t="shared" si="0"/>
        <v>605200</v>
      </c>
      <c r="K47" s="635" t="s">
        <v>300</v>
      </c>
      <c r="L47" s="636"/>
      <c r="M47" s="291">
        <f t="shared" si="1"/>
        <v>605200</v>
      </c>
      <c r="N47" s="117"/>
      <c r="O47" s="69"/>
    </row>
    <row r="48" spans="1:17" s="15" customFormat="1" ht="22.5" customHeight="1">
      <c r="A48" s="70"/>
      <c r="B48" s="639" t="s">
        <v>214</v>
      </c>
      <c r="C48" s="640"/>
      <c r="D48" s="289"/>
      <c r="E48" s="323"/>
      <c r="F48" s="323"/>
      <c r="G48" s="323"/>
      <c r="H48" s="418">
        <f>SUM(H49:H51)</f>
        <v>232</v>
      </c>
      <c r="I48" s="323"/>
      <c r="J48" s="343">
        <f t="shared" si="0"/>
        <v>8259200</v>
      </c>
      <c r="K48" s="635"/>
      <c r="L48" s="636"/>
      <c r="M48" s="291">
        <f t="shared" si="1"/>
        <v>8259200</v>
      </c>
      <c r="N48" s="117"/>
      <c r="O48" s="69"/>
    </row>
    <row r="49" spans="1:15" s="15" customFormat="1" ht="22.5" customHeight="1">
      <c r="A49" s="70"/>
      <c r="B49" s="641" t="s">
        <v>251</v>
      </c>
      <c r="C49" s="642"/>
      <c r="D49" s="289"/>
      <c r="E49" s="323"/>
      <c r="F49" s="323"/>
      <c r="G49" s="323"/>
      <c r="H49" s="323">
        <v>30</v>
      </c>
      <c r="I49" s="323"/>
      <c r="J49" s="343">
        <f t="shared" si="0"/>
        <v>1068000</v>
      </c>
      <c r="K49" s="635"/>
      <c r="L49" s="636"/>
      <c r="M49" s="291">
        <f t="shared" si="1"/>
        <v>1068000</v>
      </c>
      <c r="N49" s="117"/>
      <c r="O49" s="69"/>
    </row>
    <row r="50" spans="1:15" s="15" customFormat="1" ht="22.5" customHeight="1">
      <c r="A50" s="70"/>
      <c r="B50" s="641" t="s">
        <v>252</v>
      </c>
      <c r="C50" s="642"/>
      <c r="D50" s="289"/>
      <c r="E50" s="323"/>
      <c r="F50" s="323"/>
      <c r="G50" s="323"/>
      <c r="H50" s="323">
        <f>ROUNDUP((282.7/10)*5,0)</f>
        <v>142</v>
      </c>
      <c r="I50" s="323"/>
      <c r="J50" s="343">
        <f t="shared" si="0"/>
        <v>5055200</v>
      </c>
      <c r="K50" s="635" t="s">
        <v>301</v>
      </c>
      <c r="L50" s="636"/>
      <c r="M50" s="291">
        <f t="shared" si="1"/>
        <v>5055200</v>
      </c>
      <c r="N50" s="117"/>
      <c r="O50" s="69"/>
    </row>
    <row r="51" spans="1:15" s="15" customFormat="1" ht="22.5" customHeight="1">
      <c r="A51" s="70"/>
      <c r="B51" s="641" t="s">
        <v>253</v>
      </c>
      <c r="C51" s="642"/>
      <c r="D51" s="289"/>
      <c r="E51" s="323"/>
      <c r="F51" s="323"/>
      <c r="G51" s="323"/>
      <c r="H51" s="323">
        <v>60</v>
      </c>
      <c r="I51" s="323"/>
      <c r="J51" s="343">
        <f t="shared" si="0"/>
        <v>2136000</v>
      </c>
      <c r="K51" s="635"/>
      <c r="L51" s="636"/>
      <c r="M51" s="291">
        <f t="shared" si="1"/>
        <v>2136000</v>
      </c>
      <c r="N51" s="117"/>
      <c r="O51" s="69"/>
    </row>
    <row r="52" spans="1:15" s="15" customFormat="1" ht="22.5" customHeight="1">
      <c r="A52" s="70"/>
      <c r="B52" s="639" t="s">
        <v>216</v>
      </c>
      <c r="C52" s="640"/>
      <c r="D52" s="289"/>
      <c r="E52" s="323"/>
      <c r="F52" s="323"/>
      <c r="G52" s="323"/>
      <c r="H52" s="418">
        <f>ROUNDUP(34.3/2,0)</f>
        <v>18</v>
      </c>
      <c r="I52" s="323"/>
      <c r="J52" s="343">
        <f t="shared" si="0"/>
        <v>640800</v>
      </c>
      <c r="K52" s="635" t="s">
        <v>300</v>
      </c>
      <c r="L52" s="636"/>
      <c r="M52" s="291">
        <f t="shared" si="1"/>
        <v>640800</v>
      </c>
      <c r="N52" s="117"/>
      <c r="O52" s="69"/>
    </row>
    <row r="53" spans="1:15" s="15" customFormat="1" ht="22.5" customHeight="1">
      <c r="A53" s="70"/>
      <c r="B53" s="639" t="s">
        <v>217</v>
      </c>
      <c r="C53" s="640"/>
      <c r="D53" s="289"/>
      <c r="E53" s="323"/>
      <c r="F53" s="323"/>
      <c r="G53" s="323"/>
      <c r="H53" s="418">
        <f>ROUNDUP((65.4/10)*5,0)</f>
        <v>33</v>
      </c>
      <c r="I53" s="323"/>
      <c r="J53" s="343">
        <f t="shared" si="0"/>
        <v>1174800</v>
      </c>
      <c r="K53" s="635" t="s">
        <v>299</v>
      </c>
      <c r="L53" s="636"/>
      <c r="M53" s="291">
        <f t="shared" si="1"/>
        <v>1174800</v>
      </c>
      <c r="N53" s="117"/>
      <c r="O53" s="69"/>
    </row>
    <row r="54" spans="1:15" s="15" customFormat="1" ht="24.95" customHeight="1">
      <c r="A54" s="70"/>
      <c r="B54" s="631" t="s">
        <v>86</v>
      </c>
      <c r="C54" s="643"/>
      <c r="D54" s="289"/>
      <c r="E54" s="345"/>
      <c r="F54" s="345"/>
      <c r="G54" s="345"/>
      <c r="H54" s="345"/>
      <c r="I54" s="345"/>
      <c r="J54" s="290">
        <f t="shared" si="0"/>
        <v>0</v>
      </c>
      <c r="K54" s="644"/>
      <c r="L54" s="645"/>
      <c r="M54" s="291">
        <f t="shared" si="1"/>
        <v>0</v>
      </c>
      <c r="N54" s="117"/>
      <c r="O54" s="69"/>
    </row>
    <row r="55" spans="1:15" s="15" customFormat="1" ht="24.95" customHeight="1">
      <c r="A55" s="70"/>
      <c r="B55" s="639" t="s">
        <v>87</v>
      </c>
      <c r="C55" s="640"/>
      <c r="D55" s="289"/>
      <c r="E55" s="345"/>
      <c r="F55" s="345"/>
      <c r="G55" s="345"/>
      <c r="H55" s="345"/>
      <c r="I55" s="345"/>
      <c r="J55" s="290">
        <f t="shared" si="0"/>
        <v>0</v>
      </c>
      <c r="K55" s="635"/>
      <c r="L55" s="636"/>
      <c r="M55" s="291">
        <f t="shared" si="1"/>
        <v>0</v>
      </c>
      <c r="N55" s="117"/>
      <c r="O55" s="69"/>
    </row>
    <row r="56" spans="1:15" s="15" customFormat="1" ht="22.5" customHeight="1">
      <c r="A56" s="70"/>
      <c r="B56" s="639" t="s">
        <v>88</v>
      </c>
      <c r="C56" s="640"/>
      <c r="D56" s="289"/>
      <c r="E56" s="323"/>
      <c r="F56" s="323"/>
      <c r="G56" s="323"/>
      <c r="H56" s="323"/>
      <c r="I56" s="323"/>
      <c r="J56" s="347">
        <f>+$D$35*D56+$E$35*E56+$F$35*F56+$G$35*G56+$H$35*H56+$I$35*I56</f>
        <v>0</v>
      </c>
      <c r="K56" s="633"/>
      <c r="L56" s="634"/>
      <c r="M56" s="291">
        <f>+$D$35*D56+$E$35*E56+$F$35*F56+$G$35*G56+$H$35*H56+$I$35*I56</f>
        <v>0</v>
      </c>
      <c r="N56" s="117"/>
      <c r="O56" s="69"/>
    </row>
    <row r="57" spans="1:15" s="15" customFormat="1" ht="22.5" customHeight="1">
      <c r="A57" s="70"/>
      <c r="B57" s="639" t="s">
        <v>89</v>
      </c>
      <c r="C57" s="640"/>
      <c r="D57" s="289"/>
      <c r="E57" s="323"/>
      <c r="F57" s="323"/>
      <c r="G57" s="323"/>
      <c r="H57" s="323"/>
      <c r="I57" s="323"/>
      <c r="J57" s="347">
        <f>+$D$35*D57+$E$35*E57+$F$35*F57+$G$35*G57+$H$35*H57+$I$35*I57</f>
        <v>0</v>
      </c>
      <c r="K57" s="635"/>
      <c r="L57" s="636"/>
      <c r="M57" s="291">
        <f>+$D$35*D57+$E$35*E57+$F$35*F57+$G$35*G57+$H$35*H57+$I$35*I57</f>
        <v>0</v>
      </c>
      <c r="N57" s="117"/>
      <c r="O57" s="69"/>
    </row>
    <row r="58" spans="1:15" s="15" customFormat="1" ht="22.5" customHeight="1">
      <c r="A58" s="70"/>
      <c r="B58" s="639" t="s">
        <v>90</v>
      </c>
      <c r="C58" s="640"/>
      <c r="D58" s="289"/>
      <c r="E58" s="323"/>
      <c r="F58" s="323"/>
      <c r="G58" s="323"/>
      <c r="H58" s="323"/>
      <c r="I58" s="323"/>
      <c r="J58" s="347">
        <f>+$D$35*D58+$E$35*E58+$F$35*F58+$G$35*G58+$H$35*H58+$I$35*I58</f>
        <v>0</v>
      </c>
      <c r="K58" s="635"/>
      <c r="L58" s="636"/>
      <c r="M58" s="291">
        <f>+$D$35*D58+$E$35*E58+$F$35*F58+$G$35*G58+$H$35*H58+$I$35*I58</f>
        <v>0</v>
      </c>
      <c r="N58" s="117"/>
      <c r="O58" s="69"/>
    </row>
    <row r="59" spans="1:15" s="15" customFormat="1" ht="22.5" customHeight="1">
      <c r="A59" s="70"/>
      <c r="B59" s="639" t="s">
        <v>91</v>
      </c>
      <c r="C59" s="640"/>
      <c r="D59" s="289"/>
      <c r="E59" s="345"/>
      <c r="F59" s="345"/>
      <c r="G59" s="345"/>
      <c r="H59" s="345"/>
      <c r="I59" s="345"/>
      <c r="J59" s="290">
        <f t="shared" si="0"/>
        <v>0</v>
      </c>
      <c r="K59" s="635"/>
      <c r="L59" s="636"/>
      <c r="M59" s="291">
        <f t="shared" si="1"/>
        <v>0</v>
      </c>
      <c r="N59" s="117"/>
      <c r="O59" s="69"/>
    </row>
    <row r="60" spans="1:15" s="15" customFormat="1" ht="22.5" customHeight="1">
      <c r="A60" s="70"/>
      <c r="B60" s="639" t="s">
        <v>92</v>
      </c>
      <c r="C60" s="640"/>
      <c r="D60" s="289"/>
      <c r="E60" s="345"/>
      <c r="F60" s="345"/>
      <c r="G60" s="345"/>
      <c r="H60" s="345"/>
      <c r="I60" s="345"/>
      <c r="J60" s="290">
        <f t="shared" si="0"/>
        <v>0</v>
      </c>
      <c r="K60" s="635"/>
      <c r="L60" s="636"/>
      <c r="M60" s="291">
        <f t="shared" si="1"/>
        <v>0</v>
      </c>
      <c r="N60" s="117"/>
      <c r="O60" s="69"/>
    </row>
    <row r="61" spans="1:15" s="150" customFormat="1" ht="22.5" customHeight="1">
      <c r="A61" s="151" t="s">
        <v>93</v>
      </c>
      <c r="B61" s="646" t="s">
        <v>94</v>
      </c>
      <c r="C61" s="647"/>
      <c r="D61" s="152"/>
      <c r="E61" s="154"/>
      <c r="F61" s="154"/>
      <c r="G61" s="154"/>
      <c r="H61" s="154"/>
      <c r="I61" s="154"/>
      <c r="J61" s="153">
        <f t="shared" si="0"/>
        <v>0</v>
      </c>
      <c r="K61" s="648" t="s">
        <v>250</v>
      </c>
      <c r="L61" s="649"/>
      <c r="M61" s="291">
        <f t="shared" si="1"/>
        <v>0</v>
      </c>
      <c r="N61" s="155"/>
      <c r="O61" s="149"/>
    </row>
    <row r="62" spans="1:15" s="15" customFormat="1" ht="22.5" customHeight="1">
      <c r="A62" s="70"/>
      <c r="B62" s="639" t="s">
        <v>95</v>
      </c>
      <c r="C62" s="640"/>
      <c r="D62" s="289"/>
      <c r="E62" s="345"/>
      <c r="F62" s="345"/>
      <c r="G62" s="345"/>
      <c r="H62" s="345"/>
      <c r="I62" s="345"/>
      <c r="J62" s="290">
        <f t="shared" si="0"/>
        <v>0</v>
      </c>
      <c r="K62" s="635"/>
      <c r="L62" s="636"/>
      <c r="M62" s="291">
        <f t="shared" si="1"/>
        <v>0</v>
      </c>
      <c r="N62" s="117"/>
      <c r="O62" s="69"/>
    </row>
    <row r="63" spans="1:15" s="15" customFormat="1" ht="22.5" customHeight="1">
      <c r="A63" s="70"/>
      <c r="B63" s="639" t="s">
        <v>96</v>
      </c>
      <c r="C63" s="640"/>
      <c r="D63" s="289"/>
      <c r="E63" s="345"/>
      <c r="F63" s="345"/>
      <c r="G63" s="345"/>
      <c r="H63" s="345"/>
      <c r="I63" s="345"/>
      <c r="J63" s="290">
        <f t="shared" si="0"/>
        <v>0</v>
      </c>
      <c r="K63" s="627"/>
      <c r="L63" s="628"/>
      <c r="M63" s="291">
        <f t="shared" si="1"/>
        <v>0</v>
      </c>
      <c r="N63" s="117"/>
      <c r="O63" s="69"/>
    </row>
    <row r="64" spans="1:15" s="15" customFormat="1" ht="22.5" customHeight="1">
      <c r="A64" s="70"/>
      <c r="B64" s="639" t="s">
        <v>98</v>
      </c>
      <c r="C64" s="640"/>
      <c r="D64" s="289"/>
      <c r="E64" s="345"/>
      <c r="F64" s="345"/>
      <c r="G64" s="345"/>
      <c r="H64" s="345"/>
      <c r="I64" s="345"/>
      <c r="J64" s="290">
        <f t="shared" si="0"/>
        <v>0</v>
      </c>
      <c r="K64" s="627"/>
      <c r="L64" s="628"/>
      <c r="M64" s="291">
        <f t="shared" si="1"/>
        <v>0</v>
      </c>
      <c r="N64" s="117"/>
      <c r="O64" s="69"/>
    </row>
    <row r="65" spans="1:15" s="15" customFormat="1" ht="22.5" customHeight="1">
      <c r="A65" s="70"/>
      <c r="B65" s="639" t="s">
        <v>100</v>
      </c>
      <c r="C65" s="640"/>
      <c r="D65" s="289"/>
      <c r="E65" s="345"/>
      <c r="F65" s="345"/>
      <c r="G65" s="345"/>
      <c r="H65" s="345"/>
      <c r="I65" s="345"/>
      <c r="J65" s="290">
        <f t="shared" si="0"/>
        <v>0</v>
      </c>
      <c r="K65" s="650"/>
      <c r="L65" s="634"/>
      <c r="M65" s="291">
        <f t="shared" si="1"/>
        <v>0</v>
      </c>
      <c r="N65" s="117"/>
      <c r="O65" s="69"/>
    </row>
    <row r="66" spans="1:15" s="150" customFormat="1" ht="22.5" customHeight="1">
      <c r="A66" s="151" t="s">
        <v>101</v>
      </c>
      <c r="B66" s="646" t="s">
        <v>102</v>
      </c>
      <c r="C66" s="647"/>
      <c r="D66" s="152"/>
      <c r="E66" s="154"/>
      <c r="F66" s="154"/>
      <c r="G66" s="154"/>
      <c r="H66" s="154"/>
      <c r="I66" s="154"/>
      <c r="J66" s="153">
        <f t="shared" si="0"/>
        <v>0</v>
      </c>
      <c r="K66" s="648" t="s">
        <v>250</v>
      </c>
      <c r="L66" s="649"/>
      <c r="M66" s="291">
        <f t="shared" si="1"/>
        <v>0</v>
      </c>
      <c r="N66" s="155"/>
      <c r="O66" s="149"/>
    </row>
    <row r="67" spans="1:15" s="150" customFormat="1" ht="22.5" customHeight="1">
      <c r="A67" s="151" t="s">
        <v>103</v>
      </c>
      <c r="B67" s="646" t="s">
        <v>104</v>
      </c>
      <c r="C67" s="647"/>
      <c r="D67" s="152"/>
      <c r="E67" s="154"/>
      <c r="F67" s="154"/>
      <c r="G67" s="154"/>
      <c r="H67" s="154"/>
      <c r="I67" s="154"/>
      <c r="J67" s="153">
        <f t="shared" si="0"/>
        <v>0</v>
      </c>
      <c r="K67" s="648" t="s">
        <v>250</v>
      </c>
      <c r="L67" s="649"/>
      <c r="M67" s="291">
        <f t="shared" si="1"/>
        <v>0</v>
      </c>
      <c r="N67" s="155"/>
      <c r="O67" s="149"/>
    </row>
    <row r="68" spans="1:15" s="150" customFormat="1" ht="22.5" customHeight="1">
      <c r="A68" s="151" t="s">
        <v>105</v>
      </c>
      <c r="B68" s="646" t="s">
        <v>106</v>
      </c>
      <c r="C68" s="647"/>
      <c r="D68" s="152"/>
      <c r="E68" s="154"/>
      <c r="F68" s="154"/>
      <c r="G68" s="154"/>
      <c r="H68" s="154"/>
      <c r="I68" s="154"/>
      <c r="J68" s="153">
        <f t="shared" si="0"/>
        <v>0</v>
      </c>
      <c r="K68" s="648" t="s">
        <v>250</v>
      </c>
      <c r="L68" s="649"/>
      <c r="M68" s="291">
        <f t="shared" si="1"/>
        <v>0</v>
      </c>
      <c r="N68" s="155"/>
      <c r="O68" s="149"/>
    </row>
    <row r="69" spans="1:15" s="15" customFormat="1" ht="22.5" customHeight="1">
      <c r="A69" s="70"/>
      <c r="B69" s="639" t="s">
        <v>109</v>
      </c>
      <c r="C69" s="640"/>
      <c r="D69" s="73"/>
      <c r="E69" s="345"/>
      <c r="F69" s="345"/>
      <c r="G69" s="345"/>
      <c r="H69" s="345"/>
      <c r="I69" s="345"/>
      <c r="J69" s="290">
        <f t="shared" si="0"/>
        <v>0</v>
      </c>
      <c r="K69" s="635"/>
      <c r="L69" s="636"/>
      <c r="M69" s="291">
        <f t="shared" si="1"/>
        <v>0</v>
      </c>
      <c r="N69" s="116"/>
      <c r="O69" s="69"/>
    </row>
    <row r="70" spans="1:15" s="15" customFormat="1" ht="22.5" customHeight="1">
      <c r="A70" s="70"/>
      <c r="B70" s="639" t="s">
        <v>110</v>
      </c>
      <c r="C70" s="640"/>
      <c r="D70" s="74"/>
      <c r="E70" s="345"/>
      <c r="F70" s="345"/>
      <c r="G70" s="345"/>
      <c r="H70" s="345"/>
      <c r="I70" s="345"/>
      <c r="J70" s="290">
        <f t="shared" si="0"/>
        <v>0</v>
      </c>
      <c r="K70" s="627"/>
      <c r="L70" s="628"/>
      <c r="M70" s="291">
        <f t="shared" si="1"/>
        <v>0</v>
      </c>
      <c r="N70" s="68"/>
      <c r="O70" s="69"/>
    </row>
    <row r="71" spans="1:15" s="15" customFormat="1" ht="22.5" customHeight="1">
      <c r="A71" s="70"/>
      <c r="B71" s="639" t="s">
        <v>111</v>
      </c>
      <c r="C71" s="640"/>
      <c r="D71" s="74"/>
      <c r="E71" s="345"/>
      <c r="F71" s="345"/>
      <c r="G71" s="345"/>
      <c r="H71" s="345"/>
      <c r="I71" s="345"/>
      <c r="J71" s="290">
        <f t="shared" si="0"/>
        <v>0</v>
      </c>
      <c r="K71" s="635"/>
      <c r="L71" s="636"/>
      <c r="M71" s="291">
        <f t="shared" si="1"/>
        <v>0</v>
      </c>
      <c r="N71" s="68"/>
      <c r="O71" s="69"/>
    </row>
    <row r="72" spans="1:15" s="150" customFormat="1" ht="22.5" customHeight="1" thickBot="1">
      <c r="A72" s="156" t="s">
        <v>107</v>
      </c>
      <c r="B72" s="665" t="s">
        <v>108</v>
      </c>
      <c r="C72" s="666"/>
      <c r="D72" s="157"/>
      <c r="E72" s="158"/>
      <c r="F72" s="158"/>
      <c r="G72" s="158"/>
      <c r="H72" s="158"/>
      <c r="I72" s="158"/>
      <c r="J72" s="153">
        <f t="shared" si="0"/>
        <v>0</v>
      </c>
      <c r="K72" s="648" t="s">
        <v>250</v>
      </c>
      <c r="L72" s="649"/>
      <c r="M72" s="291">
        <f t="shared" si="1"/>
        <v>0</v>
      </c>
      <c r="N72" s="148"/>
      <c r="O72" s="149"/>
    </row>
    <row r="73" spans="1:15" ht="22.5" customHeight="1">
      <c r="A73" s="77"/>
      <c r="B73" s="78" t="s">
        <v>40</v>
      </c>
      <c r="C73" s="79" t="s">
        <v>42</v>
      </c>
      <c r="D73" s="80">
        <f t="shared" ref="D73:I73" si="2">D33+D38+D61+D66+D67+D68+D72</f>
        <v>0</v>
      </c>
      <c r="E73" s="80">
        <f t="shared" si="2"/>
        <v>0</v>
      </c>
      <c r="F73" s="80">
        <f t="shared" si="2"/>
        <v>0</v>
      </c>
      <c r="G73" s="80">
        <f t="shared" si="2"/>
        <v>0</v>
      </c>
      <c r="H73" s="80">
        <f t="shared" si="2"/>
        <v>300</v>
      </c>
      <c r="I73" s="80">
        <f t="shared" si="2"/>
        <v>0</v>
      </c>
      <c r="J73" s="81">
        <f>SUM(D73:I73)</f>
        <v>300</v>
      </c>
      <c r="K73" s="651" t="s">
        <v>43</v>
      </c>
      <c r="L73" s="652"/>
      <c r="M73" s="82"/>
      <c r="N73" s="83"/>
      <c r="O73" s="84"/>
    </row>
    <row r="74" spans="1:15" ht="22.5" customHeight="1" thickBot="1">
      <c r="A74" s="85"/>
      <c r="B74" s="86"/>
      <c r="C74" s="87" t="s">
        <v>44</v>
      </c>
      <c r="D74" s="118">
        <f t="shared" ref="D74:I74" si="3">D73*D32</f>
        <v>0</v>
      </c>
      <c r="E74" s="118">
        <f t="shared" si="3"/>
        <v>0</v>
      </c>
      <c r="F74" s="118">
        <f t="shared" si="3"/>
        <v>0</v>
      </c>
      <c r="G74" s="118">
        <f t="shared" si="3"/>
        <v>0</v>
      </c>
      <c r="H74" s="118">
        <f t="shared" si="3"/>
        <v>10680000</v>
      </c>
      <c r="I74" s="118">
        <f t="shared" si="3"/>
        <v>0</v>
      </c>
      <c r="J74" s="341">
        <f>+D32*D73+E32*E73+F32*F73+G32*G73+H32*H73+I32*I73</f>
        <v>10680000</v>
      </c>
      <c r="K74" s="653" t="s">
        <v>45</v>
      </c>
      <c r="L74" s="654"/>
      <c r="M74" s="88"/>
      <c r="N74" s="5"/>
      <c r="O74" s="84"/>
    </row>
    <row r="75" spans="1:15" ht="18.95" customHeight="1">
      <c r="A75" s="89"/>
      <c r="B75" s="90"/>
      <c r="C75" s="90"/>
      <c r="D75" s="90"/>
      <c r="E75" s="91"/>
      <c r="F75" s="91"/>
      <c r="G75" s="91"/>
      <c r="H75" s="91"/>
      <c r="I75" s="91"/>
      <c r="J75" s="91"/>
      <c r="K75" s="91"/>
      <c r="L75" s="91"/>
      <c r="M75" s="88"/>
      <c r="N75" s="5"/>
      <c r="O75" s="92"/>
    </row>
    <row r="76" spans="1:15" ht="22.5" customHeight="1" thickBot="1">
      <c r="A76" s="93" t="s">
        <v>54</v>
      </c>
      <c r="B76" s="94"/>
      <c r="C76" s="94"/>
      <c r="D76" s="94"/>
      <c r="E76" s="95"/>
      <c r="F76" s="95"/>
      <c r="G76" s="95"/>
      <c r="H76" s="95"/>
      <c r="I76" s="95"/>
      <c r="J76" s="95"/>
      <c r="K76" s="95"/>
      <c r="L76" s="95"/>
      <c r="M76" s="5"/>
      <c r="N76" s="5"/>
    </row>
    <row r="77" spans="1:15" ht="22.5" customHeight="1" thickBot="1">
      <c r="A77" s="655" t="s">
        <v>46</v>
      </c>
      <c r="B77" s="656"/>
      <c r="C77" s="657"/>
      <c r="D77" s="17" t="s">
        <v>47</v>
      </c>
      <c r="E77" s="96" t="s">
        <v>48</v>
      </c>
      <c r="F77" s="17" t="s">
        <v>49</v>
      </c>
      <c r="G77" s="658" t="s">
        <v>13</v>
      </c>
      <c r="H77" s="657"/>
      <c r="I77" s="658" t="s">
        <v>14</v>
      </c>
      <c r="J77" s="656"/>
      <c r="K77" s="656"/>
      <c r="L77" s="659"/>
    </row>
    <row r="78" spans="1:15" ht="22.5" customHeight="1" thickTop="1">
      <c r="A78" s="67" t="s">
        <v>65</v>
      </c>
      <c r="B78" s="97" t="s">
        <v>112</v>
      </c>
      <c r="C78" s="98"/>
      <c r="D78" s="99" t="s">
        <v>183</v>
      </c>
      <c r="E78" s="100">
        <v>1</v>
      </c>
      <c r="F78" s="119"/>
      <c r="G78" s="660">
        <f>+E78*F78</f>
        <v>0</v>
      </c>
      <c r="H78" s="661"/>
      <c r="I78" s="662" t="s">
        <v>250</v>
      </c>
      <c r="J78" s="663"/>
      <c r="K78" s="663"/>
      <c r="L78" s="664"/>
    </row>
    <row r="79" spans="1:15" ht="22.5" customHeight="1">
      <c r="A79" s="139"/>
      <c r="B79" s="140" t="s">
        <v>180</v>
      </c>
      <c r="C79" s="141"/>
      <c r="D79" s="142" t="s">
        <v>179</v>
      </c>
      <c r="E79" s="450">
        <v>3</v>
      </c>
      <c r="F79" s="143"/>
      <c r="G79" s="667">
        <f>+E79*F79</f>
        <v>0</v>
      </c>
      <c r="H79" s="668"/>
      <c r="I79" s="669"/>
      <c r="J79" s="670"/>
      <c r="K79" s="670"/>
      <c r="L79" s="671"/>
    </row>
    <row r="80" spans="1:15" ht="22.5" customHeight="1">
      <c r="A80" s="139"/>
      <c r="B80" s="140" t="s">
        <v>113</v>
      </c>
      <c r="C80" s="141"/>
      <c r="D80" s="321" t="s">
        <v>179</v>
      </c>
      <c r="E80" s="451">
        <v>36</v>
      </c>
      <c r="F80" s="143"/>
      <c r="G80" s="667">
        <f>+E80*F80</f>
        <v>0</v>
      </c>
      <c r="H80" s="668"/>
      <c r="I80" s="669"/>
      <c r="J80" s="670"/>
      <c r="K80" s="670"/>
      <c r="L80" s="671"/>
    </row>
    <row r="81" spans="1:15" ht="22.5" customHeight="1">
      <c r="A81" s="70" t="s">
        <v>68</v>
      </c>
      <c r="B81" s="101" t="s">
        <v>114</v>
      </c>
      <c r="C81" s="102"/>
      <c r="D81" s="142" t="s">
        <v>183</v>
      </c>
      <c r="E81" s="320">
        <v>1</v>
      </c>
      <c r="F81" s="103"/>
      <c r="G81" s="679">
        <v>0</v>
      </c>
      <c r="H81" s="680"/>
      <c r="I81" s="669" t="s">
        <v>249</v>
      </c>
      <c r="J81" s="670"/>
      <c r="K81" s="670"/>
      <c r="L81" s="671"/>
    </row>
    <row r="82" spans="1:15" ht="22.5" customHeight="1">
      <c r="A82" s="160"/>
      <c r="B82" s="161" t="s">
        <v>115</v>
      </c>
      <c r="C82" s="162"/>
      <c r="D82" s="163" t="s">
        <v>183</v>
      </c>
      <c r="E82" s="164">
        <v>1</v>
      </c>
      <c r="F82" s="165"/>
      <c r="G82" s="667">
        <v>0</v>
      </c>
      <c r="H82" s="668"/>
      <c r="I82" s="669"/>
      <c r="J82" s="670"/>
      <c r="K82" s="670"/>
      <c r="L82" s="671"/>
    </row>
    <row r="83" spans="1:15" ht="22.5" customHeight="1" thickBot="1">
      <c r="A83" s="75"/>
      <c r="B83" s="334" t="s">
        <v>116</v>
      </c>
      <c r="C83" s="335"/>
      <c r="D83" s="104" t="s">
        <v>183</v>
      </c>
      <c r="E83" s="76">
        <v>1</v>
      </c>
      <c r="F83" s="105"/>
      <c r="G83" s="672">
        <v>0</v>
      </c>
      <c r="H83" s="673"/>
      <c r="I83" s="674"/>
      <c r="J83" s="675"/>
      <c r="K83" s="675"/>
      <c r="L83" s="676"/>
    </row>
    <row r="84" spans="1:15" ht="22.5" customHeight="1" thickBot="1">
      <c r="A84" s="106"/>
      <c r="B84" s="95" t="s">
        <v>40</v>
      </c>
      <c r="C84" s="107"/>
      <c r="D84" s="108"/>
      <c r="E84" s="109"/>
      <c r="F84" s="110"/>
      <c r="G84" s="677">
        <f>G78+G81</f>
        <v>0</v>
      </c>
      <c r="H84" s="678"/>
      <c r="I84" s="111"/>
      <c r="J84" s="111"/>
      <c r="K84" s="111"/>
      <c r="L84" s="112"/>
      <c r="O84" s="84"/>
    </row>
    <row r="85" spans="1:15" ht="22.5" customHeight="1"/>
  </sheetData>
  <mergeCells count="140">
    <mergeCell ref="G82:H82"/>
    <mergeCell ref="I82:L82"/>
    <mergeCell ref="G83:H83"/>
    <mergeCell ref="I83:L83"/>
    <mergeCell ref="G84:H84"/>
    <mergeCell ref="G79:H79"/>
    <mergeCell ref="I79:L79"/>
    <mergeCell ref="G80:H80"/>
    <mergeCell ref="I80:L80"/>
    <mergeCell ref="G81:H81"/>
    <mergeCell ref="I81:L81"/>
    <mergeCell ref="K73:L73"/>
    <mergeCell ref="K74:L74"/>
    <mergeCell ref="A77:C77"/>
    <mergeCell ref="G77:H77"/>
    <mergeCell ref="I77:L77"/>
    <mergeCell ref="G78:H78"/>
    <mergeCell ref="I78:L78"/>
    <mergeCell ref="B70:C70"/>
    <mergeCell ref="K70:L70"/>
    <mergeCell ref="B71:C71"/>
    <mergeCell ref="K71:L71"/>
    <mergeCell ref="B72:C72"/>
    <mergeCell ref="K72:L72"/>
    <mergeCell ref="B67:C67"/>
    <mergeCell ref="K67:L67"/>
    <mergeCell ref="B68:C68"/>
    <mergeCell ref="K68:L68"/>
    <mergeCell ref="B69:C69"/>
    <mergeCell ref="K69:L69"/>
    <mergeCell ref="B64:C64"/>
    <mergeCell ref="K64:L64"/>
    <mergeCell ref="B65:C65"/>
    <mergeCell ref="K65:L65"/>
    <mergeCell ref="B66:C66"/>
    <mergeCell ref="K66:L66"/>
    <mergeCell ref="B61:C61"/>
    <mergeCell ref="K61:L61"/>
    <mergeCell ref="B62:C62"/>
    <mergeCell ref="K62:L62"/>
    <mergeCell ref="B63:C63"/>
    <mergeCell ref="K63:L63"/>
    <mergeCell ref="B58:C58"/>
    <mergeCell ref="K58:L58"/>
    <mergeCell ref="B59:C59"/>
    <mergeCell ref="K59:L59"/>
    <mergeCell ref="B60:C60"/>
    <mergeCell ref="K60:L60"/>
    <mergeCell ref="B55:C55"/>
    <mergeCell ref="K55:L55"/>
    <mergeCell ref="B56:C56"/>
    <mergeCell ref="K56:L56"/>
    <mergeCell ref="B57:C57"/>
    <mergeCell ref="K57:L57"/>
    <mergeCell ref="B52:C52"/>
    <mergeCell ref="K52:L52"/>
    <mergeCell ref="B53:C53"/>
    <mergeCell ref="K53:L53"/>
    <mergeCell ref="B54:C54"/>
    <mergeCell ref="K54:L54"/>
    <mergeCell ref="B49:C49"/>
    <mergeCell ref="K49:L49"/>
    <mergeCell ref="B50:C50"/>
    <mergeCell ref="K50:L50"/>
    <mergeCell ref="B51:C51"/>
    <mergeCell ref="K51:L51"/>
    <mergeCell ref="B46:C46"/>
    <mergeCell ref="K46:L46"/>
    <mergeCell ref="B47:C47"/>
    <mergeCell ref="K47:L47"/>
    <mergeCell ref="B48:C48"/>
    <mergeCell ref="K48:L48"/>
    <mergeCell ref="B43:C43"/>
    <mergeCell ref="K43:L43"/>
    <mergeCell ref="B44:C44"/>
    <mergeCell ref="K44:L44"/>
    <mergeCell ref="B45:C45"/>
    <mergeCell ref="K45:L45"/>
    <mergeCell ref="O39:Q39"/>
    <mergeCell ref="B40:C40"/>
    <mergeCell ref="K40:L40"/>
    <mergeCell ref="B41:C41"/>
    <mergeCell ref="K41:L41"/>
    <mergeCell ref="B42:C42"/>
    <mergeCell ref="K42:L42"/>
    <mergeCell ref="B37:C37"/>
    <mergeCell ref="K37:L37"/>
    <mergeCell ref="B38:C38"/>
    <mergeCell ref="K38:L38"/>
    <mergeCell ref="B39:C39"/>
    <mergeCell ref="K39:L39"/>
    <mergeCell ref="B34:C34"/>
    <mergeCell ref="K34:L34"/>
    <mergeCell ref="O34:P34"/>
    <mergeCell ref="B35:C35"/>
    <mergeCell ref="K35:L35"/>
    <mergeCell ref="B36:C36"/>
    <mergeCell ref="K36:L36"/>
    <mergeCell ref="E28:F28"/>
    <mergeCell ref="M28:N28"/>
    <mergeCell ref="A29:L29"/>
    <mergeCell ref="A31:C32"/>
    <mergeCell ref="K31:L32"/>
    <mergeCell ref="B33:C33"/>
    <mergeCell ref="K33:L33"/>
    <mergeCell ref="E25:F25"/>
    <mergeCell ref="M25:N25"/>
    <mergeCell ref="E26:F26"/>
    <mergeCell ref="M26:N26"/>
    <mergeCell ref="E27:F27"/>
    <mergeCell ref="M27:N27"/>
    <mergeCell ref="E23:F23"/>
    <mergeCell ref="M23:N23"/>
    <mergeCell ref="E24:F24"/>
    <mergeCell ref="M24:N24"/>
    <mergeCell ref="I18:L18"/>
    <mergeCell ref="A20:D20"/>
    <mergeCell ref="E20:F20"/>
    <mergeCell ref="G20:L20"/>
    <mergeCell ref="M20:N20"/>
    <mergeCell ref="E21:F21"/>
    <mergeCell ref="M21:N21"/>
    <mergeCell ref="A9:B9"/>
    <mergeCell ref="A10:B10"/>
    <mergeCell ref="B13:G16"/>
    <mergeCell ref="I13:L13"/>
    <mergeCell ref="I14:L14"/>
    <mergeCell ref="I15:L15"/>
    <mergeCell ref="I16:L16"/>
    <mergeCell ref="E22:F22"/>
    <mergeCell ref="M22:N22"/>
    <mergeCell ref="A1:L1"/>
    <mergeCell ref="A3:C4"/>
    <mergeCell ref="J3:K3"/>
    <mergeCell ref="J4:K4"/>
    <mergeCell ref="J5:K5"/>
    <mergeCell ref="E6:F6"/>
    <mergeCell ref="J6:K6"/>
    <mergeCell ref="J7:K8"/>
    <mergeCell ref="C8:G8"/>
  </mergeCells>
  <phoneticPr fontId="4"/>
  <printOptions horizontalCentered="1"/>
  <pageMargins left="0.39370078740157483" right="0.39370078740157483" top="0.39370078740157483" bottom="0.39370078740157483" header="0.39370078740157483" footer="0.39370078740157483"/>
  <pageSetup paperSize="9" scale="62" orientation="portrait" r:id="rId1"/>
  <headerFooter>
    <oddFooter>&amp;R&amp;"BIZ UDPゴシック,標準"&amp;8株式会社プレック研究所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6927A-55A8-4FA1-AF2B-7E7B7DE4ADC4}">
  <sheetPr codeName="Sheet3">
    <tabColor theme="9" tint="0.59999389629810485"/>
    <pageSetUpPr fitToPage="1"/>
  </sheetPr>
  <dimension ref="A1:X96"/>
  <sheetViews>
    <sheetView view="pageBreakPreview" topLeftCell="A60" zoomScale="80" zoomScaleNormal="100" zoomScaleSheetLayoutView="80" workbookViewId="0">
      <selection activeCell="C8" sqref="C8:E9"/>
    </sheetView>
  </sheetViews>
  <sheetFormatPr defaultColWidth="8.25" defaultRowHeight="12"/>
  <cols>
    <col min="1" max="1" width="3" style="3" customWidth="1"/>
    <col min="2" max="2" width="10.5" style="4" customWidth="1"/>
    <col min="3" max="3" width="27" style="4" customWidth="1"/>
    <col min="4" max="9" width="8.125" style="5" customWidth="1"/>
    <col min="10" max="10" width="11.875" style="5" customWidth="1"/>
    <col min="11" max="11" width="2.875" style="5" customWidth="1"/>
    <col min="12" max="12" width="22" style="5" customWidth="1"/>
    <col min="13" max="13" width="13.375" style="1" customWidth="1"/>
    <col min="14" max="14" width="13.375" style="1" bestFit="1" customWidth="1"/>
    <col min="15" max="15" width="16.5" style="2" bestFit="1" customWidth="1"/>
    <col min="16" max="21" width="8.25" style="5"/>
    <col min="22" max="22" width="11.375" style="5" bestFit="1" customWidth="1"/>
    <col min="23" max="23" width="10.375" style="5" bestFit="1" customWidth="1"/>
    <col min="24" max="16384" width="8.25" style="5"/>
  </cols>
  <sheetData>
    <row r="1" spans="1:18" s="1" customFormat="1" ht="84" customHeight="1">
      <c r="A1" s="556" t="s">
        <v>0</v>
      </c>
      <c r="B1" s="556"/>
      <c r="C1" s="556"/>
      <c r="D1" s="556"/>
      <c r="E1" s="556"/>
      <c r="F1" s="556"/>
      <c r="G1" s="556"/>
      <c r="H1" s="556"/>
      <c r="I1" s="556"/>
      <c r="J1" s="556"/>
      <c r="K1" s="556"/>
      <c r="L1" s="556"/>
      <c r="O1" s="2"/>
    </row>
    <row r="2" spans="1:18" s="1" customFormat="1" ht="23.45" customHeight="1">
      <c r="A2" s="352"/>
      <c r="B2" s="352"/>
      <c r="C2" s="352"/>
      <c r="D2" s="352"/>
      <c r="E2" s="352"/>
      <c r="F2" s="352"/>
      <c r="G2" s="352"/>
      <c r="H2" s="352"/>
      <c r="I2" s="352"/>
      <c r="J2" s="352"/>
      <c r="K2" s="352"/>
      <c r="L2" s="352"/>
      <c r="O2" s="2"/>
    </row>
    <row r="3" spans="1:18" s="1" customFormat="1" ht="20.100000000000001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136">
        <v>45321</v>
      </c>
      <c r="O3" s="2"/>
    </row>
    <row r="4" spans="1:18" s="1" customFormat="1" ht="20.100000000000001" customHeight="1">
      <c r="A4" s="557" t="s">
        <v>62</v>
      </c>
      <c r="B4" s="557"/>
      <c r="C4" s="557"/>
      <c r="D4" s="125"/>
      <c r="E4" s="6"/>
      <c r="F4" s="5"/>
      <c r="G4" s="5"/>
      <c r="H4" s="5"/>
      <c r="I4" s="5"/>
      <c r="J4" s="559" t="s">
        <v>1</v>
      </c>
      <c r="K4" s="559"/>
      <c r="L4" s="7" t="s">
        <v>50</v>
      </c>
      <c r="O4" s="2"/>
    </row>
    <row r="5" spans="1:18" s="1" customFormat="1" ht="20.100000000000001" customHeight="1">
      <c r="A5" s="558"/>
      <c r="B5" s="558"/>
      <c r="C5" s="558"/>
      <c r="D5" s="134"/>
      <c r="E5" s="134"/>
      <c r="F5" s="134"/>
      <c r="G5" s="5"/>
      <c r="H5" s="5"/>
      <c r="I5" s="5"/>
      <c r="J5" s="560" t="s">
        <v>57</v>
      </c>
      <c r="K5" s="561"/>
      <c r="L5" s="138">
        <v>45747</v>
      </c>
      <c r="O5" s="2"/>
    </row>
    <row r="6" spans="1:18" s="1" customFormat="1" ht="20.100000000000001" customHeight="1">
      <c r="A6" s="3"/>
      <c r="B6" s="8"/>
      <c r="C6" s="130"/>
      <c r="D6" s="130"/>
      <c r="E6" s="6"/>
      <c r="F6" s="5"/>
      <c r="G6" s="5"/>
      <c r="H6" s="5"/>
      <c r="I6" s="5"/>
      <c r="J6" s="554" t="s">
        <v>58</v>
      </c>
      <c r="K6" s="555"/>
      <c r="L6" s="11" t="s">
        <v>4</v>
      </c>
      <c r="O6" s="2"/>
    </row>
    <row r="7" spans="1:18" s="1" customFormat="1" ht="20.100000000000001" customHeight="1">
      <c r="A7" s="131" t="s">
        <v>52</v>
      </c>
      <c r="B7" s="131"/>
      <c r="C7" s="409">
        <f>+E33</f>
        <v>22759000</v>
      </c>
      <c r="D7" s="393" t="s">
        <v>2</v>
      </c>
      <c r="E7" s="681">
        <f>+E31*0.1</f>
        <v>2069000</v>
      </c>
      <c r="F7" s="681"/>
      <c r="G7" s="394" t="s">
        <v>3</v>
      </c>
      <c r="H7" s="135"/>
      <c r="I7" s="5"/>
      <c r="J7" s="554" t="s">
        <v>59</v>
      </c>
      <c r="K7" s="555"/>
      <c r="L7" s="11" t="s">
        <v>5</v>
      </c>
      <c r="O7" s="2"/>
      <c r="Q7" s="3"/>
      <c r="R7" s="121"/>
    </row>
    <row r="8" spans="1:18" s="1" customFormat="1" ht="20.100000000000001" customHeight="1">
      <c r="A8" s="132"/>
      <c r="B8" s="133"/>
      <c r="C8" s="124"/>
      <c r="D8" s="124"/>
      <c r="E8" s="124"/>
      <c r="F8" s="124"/>
      <c r="G8" s="124"/>
      <c r="H8" s="124"/>
      <c r="I8" s="5"/>
      <c r="J8" s="554" t="s">
        <v>60</v>
      </c>
      <c r="K8" s="555"/>
      <c r="L8" s="11" t="s">
        <v>63</v>
      </c>
      <c r="O8" s="2"/>
      <c r="Q8" s="3"/>
      <c r="R8" s="121"/>
    </row>
    <row r="9" spans="1:18" s="1" customFormat="1" ht="20.100000000000001" customHeight="1">
      <c r="A9" s="131" t="s">
        <v>6</v>
      </c>
      <c r="B9" s="131"/>
      <c r="C9" s="567" t="s">
        <v>61</v>
      </c>
      <c r="D9" s="567"/>
      <c r="E9" s="567"/>
      <c r="F9" s="567"/>
      <c r="G9" s="567"/>
      <c r="H9" s="124"/>
      <c r="I9" s="5"/>
      <c r="J9" s="566"/>
      <c r="K9" s="559"/>
      <c r="L9" s="12" t="s">
        <v>64</v>
      </c>
      <c r="O9" s="2"/>
      <c r="Q9" s="3"/>
      <c r="R9" s="7"/>
    </row>
    <row r="10" spans="1:18" s="1" customFormat="1" ht="20.100000000000001" customHeight="1">
      <c r="A10" s="568"/>
      <c r="B10" s="568"/>
      <c r="C10" s="124"/>
      <c r="D10" s="124"/>
      <c r="E10" s="124"/>
      <c r="F10" s="124"/>
      <c r="G10" s="124"/>
      <c r="H10" s="124"/>
      <c r="I10" s="5"/>
      <c r="J10" s="128"/>
      <c r="K10" s="128"/>
      <c r="L10" s="129"/>
      <c r="O10" s="2"/>
      <c r="Q10" s="3"/>
      <c r="R10" s="7"/>
    </row>
    <row r="11" spans="1:18" s="1" customFormat="1" ht="18" customHeight="1">
      <c r="A11" s="569"/>
      <c r="B11" s="569"/>
      <c r="C11" s="124"/>
      <c r="D11" s="126"/>
      <c r="E11" s="126"/>
      <c r="F11" s="126"/>
      <c r="G11" s="126"/>
      <c r="H11" s="127"/>
      <c r="I11" s="5"/>
      <c r="J11" s="5"/>
      <c r="K11" s="5"/>
      <c r="L11" s="5"/>
      <c r="O11" s="2"/>
      <c r="Q11" s="3"/>
      <c r="R11" s="7"/>
    </row>
    <row r="12" spans="1:18" s="1" customFormat="1" ht="18" customHeight="1">
      <c r="A12" s="125"/>
      <c r="B12" s="125"/>
      <c r="C12" s="124"/>
      <c r="D12" s="126"/>
      <c r="E12" s="126"/>
      <c r="F12" s="126"/>
      <c r="G12" s="126"/>
      <c r="H12" s="127"/>
      <c r="I12" s="5"/>
      <c r="J12" s="5"/>
      <c r="K12" s="5"/>
      <c r="L12" s="5"/>
      <c r="O12" s="2"/>
      <c r="Q12" s="3"/>
      <c r="R12" s="7"/>
    </row>
    <row r="13" spans="1:18" s="1" customFormat="1" ht="18" customHeight="1">
      <c r="A13" s="3"/>
      <c r="B13" s="15" t="s">
        <v>7</v>
      </c>
      <c r="C13" s="4"/>
      <c r="D13" s="5"/>
      <c r="E13" s="5"/>
      <c r="F13" s="5"/>
      <c r="G13" s="5"/>
      <c r="H13" s="5"/>
      <c r="I13" s="5"/>
      <c r="J13" s="5"/>
      <c r="K13" s="5"/>
      <c r="L13" s="5"/>
      <c r="O13" s="2"/>
    </row>
    <row r="14" spans="1:18" s="1" customFormat="1" ht="18" customHeight="1">
      <c r="A14" s="3"/>
      <c r="B14" s="15" t="s">
        <v>8</v>
      </c>
      <c r="C14" s="4"/>
      <c r="D14" s="5"/>
      <c r="E14" s="5"/>
      <c r="F14" s="5"/>
      <c r="G14" s="5"/>
      <c r="H14" s="5"/>
      <c r="I14" s="5"/>
      <c r="J14" s="5"/>
      <c r="K14" s="5"/>
      <c r="L14" s="5"/>
      <c r="O14" s="2"/>
    </row>
    <row r="15" spans="1:18" s="1" customFormat="1" ht="18" customHeight="1">
      <c r="A15" s="3"/>
      <c r="B15" s="570" t="s">
        <v>51</v>
      </c>
      <c r="C15" s="571"/>
      <c r="D15" s="571"/>
      <c r="E15" s="571"/>
      <c r="F15" s="571"/>
      <c r="G15" s="572"/>
      <c r="H15" s="5"/>
      <c r="I15" s="579" t="s">
        <v>56</v>
      </c>
      <c r="J15" s="579"/>
      <c r="K15" s="579"/>
      <c r="L15" s="579"/>
      <c r="O15" s="2"/>
    </row>
    <row r="16" spans="1:18" s="1" customFormat="1" ht="18" customHeight="1">
      <c r="A16" s="13"/>
      <c r="B16" s="573"/>
      <c r="C16" s="574"/>
      <c r="D16" s="574"/>
      <c r="E16" s="574"/>
      <c r="F16" s="574"/>
      <c r="G16" s="575"/>
      <c r="H16" s="5"/>
      <c r="I16" s="579" t="s">
        <v>9</v>
      </c>
      <c r="J16" s="579"/>
      <c r="K16" s="579"/>
      <c r="L16" s="579"/>
      <c r="O16" s="2"/>
    </row>
    <row r="17" spans="1:15" s="1" customFormat="1" ht="18" customHeight="1">
      <c r="A17" s="13"/>
      <c r="B17" s="573"/>
      <c r="C17" s="574"/>
      <c r="D17" s="574"/>
      <c r="E17" s="574"/>
      <c r="F17" s="574"/>
      <c r="G17" s="575"/>
      <c r="H17" s="5"/>
      <c r="I17" s="579" t="s">
        <v>55</v>
      </c>
      <c r="J17" s="579"/>
      <c r="K17" s="579"/>
      <c r="L17" s="579"/>
      <c r="O17" s="2"/>
    </row>
    <row r="18" spans="1:15" s="1" customFormat="1" ht="18" customHeight="1">
      <c r="A18" s="13"/>
      <c r="B18" s="576"/>
      <c r="C18" s="577"/>
      <c r="D18" s="577"/>
      <c r="E18" s="577"/>
      <c r="F18" s="577"/>
      <c r="G18" s="578"/>
      <c r="H18" s="5"/>
      <c r="I18" s="579" t="s">
        <v>10</v>
      </c>
      <c r="J18" s="579"/>
      <c r="K18" s="579"/>
      <c r="L18" s="579"/>
      <c r="O18" s="2"/>
    </row>
    <row r="19" spans="1:15" s="1" customFormat="1" ht="18" customHeight="1">
      <c r="A19" s="13"/>
      <c r="B19" s="123"/>
      <c r="C19" s="123"/>
      <c r="D19" s="123"/>
      <c r="E19" s="123"/>
      <c r="F19" s="123"/>
      <c r="G19" s="123"/>
      <c r="H19" s="5"/>
      <c r="I19" s="120"/>
      <c r="J19" s="120"/>
      <c r="K19" s="120"/>
      <c r="L19" s="120"/>
      <c r="O19" s="2"/>
    </row>
    <row r="20" spans="1:15" s="1" customFormat="1" ht="18" customHeight="1">
      <c r="A20" s="13"/>
      <c r="B20" s="123"/>
      <c r="C20" s="123"/>
      <c r="D20" s="123"/>
      <c r="E20" s="123"/>
      <c r="F20" s="123"/>
      <c r="G20" s="123"/>
      <c r="H20" s="5"/>
      <c r="I20" s="120"/>
      <c r="J20" s="120"/>
      <c r="K20" s="120"/>
      <c r="L20" s="120"/>
      <c r="O20" s="2"/>
    </row>
    <row r="21" spans="1:15" ht="18" customHeight="1">
      <c r="A21" s="13"/>
      <c r="B21" s="122"/>
      <c r="C21" s="122"/>
      <c r="D21" s="122"/>
      <c r="E21" s="122"/>
      <c r="F21" s="122"/>
      <c r="G21" s="122"/>
      <c r="I21" s="579"/>
      <c r="J21" s="579"/>
      <c r="K21" s="579"/>
      <c r="L21" s="579"/>
      <c r="O21" s="5"/>
    </row>
    <row r="22" spans="1:15" s="15" customFormat="1" ht="18.95" customHeight="1" thickBot="1">
      <c r="A22" s="376" t="s">
        <v>11</v>
      </c>
      <c r="B22" s="14"/>
      <c r="C22" s="14"/>
      <c r="D22" s="14"/>
      <c r="M22" s="16"/>
      <c r="N22" s="16"/>
    </row>
    <row r="23" spans="1:15" s="15" customFormat="1" ht="50.1" customHeight="1" thickBot="1">
      <c r="A23" s="684" t="s">
        <v>12</v>
      </c>
      <c r="B23" s="685"/>
      <c r="C23" s="685"/>
      <c r="D23" s="686"/>
      <c r="E23" s="687" t="s">
        <v>13</v>
      </c>
      <c r="F23" s="686"/>
      <c r="G23" s="687" t="s">
        <v>14</v>
      </c>
      <c r="H23" s="685"/>
      <c r="I23" s="685"/>
      <c r="J23" s="685"/>
      <c r="K23" s="685"/>
      <c r="L23" s="688"/>
      <c r="M23" s="587"/>
      <c r="N23" s="588"/>
    </row>
    <row r="24" spans="1:15" s="15" customFormat="1" ht="50.1" customHeight="1" thickTop="1">
      <c r="A24" s="377">
        <v>1</v>
      </c>
      <c r="B24" s="380" t="s">
        <v>15</v>
      </c>
      <c r="C24" s="19"/>
      <c r="D24" s="20"/>
      <c r="E24" s="585">
        <f>+J84</f>
        <v>8713900</v>
      </c>
      <c r="F24" s="586"/>
      <c r="G24" s="388" t="s">
        <v>16</v>
      </c>
      <c r="H24" s="22"/>
      <c r="I24" s="22"/>
      <c r="J24" s="22"/>
      <c r="K24" s="22"/>
      <c r="L24" s="23"/>
      <c r="M24" s="564"/>
      <c r="N24" s="565"/>
    </row>
    <row r="25" spans="1:15" s="15" customFormat="1" ht="50.1" customHeight="1">
      <c r="A25" s="378">
        <v>2</v>
      </c>
      <c r="B25" s="381" t="s">
        <v>17</v>
      </c>
      <c r="C25" s="26"/>
      <c r="D25" s="27"/>
      <c r="E25" s="562">
        <f>G95</f>
        <v>45000</v>
      </c>
      <c r="F25" s="563"/>
      <c r="G25" s="389" t="s">
        <v>18</v>
      </c>
      <c r="H25" s="29"/>
      <c r="I25" s="29"/>
      <c r="J25" s="29"/>
      <c r="K25" s="29"/>
      <c r="L25" s="30"/>
      <c r="M25" s="564"/>
      <c r="N25" s="565"/>
      <c r="O25" s="1"/>
    </row>
    <row r="26" spans="1:15" s="15" customFormat="1" ht="50.1" customHeight="1">
      <c r="A26" s="378">
        <v>3</v>
      </c>
      <c r="B26" s="381" t="s">
        <v>19</v>
      </c>
      <c r="C26" s="26"/>
      <c r="D26" s="27"/>
      <c r="E26" s="562">
        <f>+E24+E25</f>
        <v>8758900</v>
      </c>
      <c r="F26" s="563"/>
      <c r="G26" s="389" t="s">
        <v>20</v>
      </c>
      <c r="H26" s="29"/>
      <c r="I26" s="29"/>
      <c r="J26" s="29"/>
      <c r="K26" s="29"/>
      <c r="L26" s="31"/>
      <c r="M26" s="564"/>
      <c r="N26" s="565"/>
    </row>
    <row r="27" spans="1:15" s="15" customFormat="1" ht="50.1" customHeight="1">
      <c r="A27" s="378">
        <v>4</v>
      </c>
      <c r="B27" s="381" t="s">
        <v>21</v>
      </c>
      <c r="C27" s="26"/>
      <c r="D27" s="27"/>
      <c r="E27" s="562">
        <f>+ROUNDDOWN(E24*0.5385,0)</f>
        <v>4692435</v>
      </c>
      <c r="F27" s="563"/>
      <c r="G27" s="389" t="s">
        <v>22</v>
      </c>
      <c r="H27" s="29"/>
      <c r="I27" s="29"/>
      <c r="J27" s="32"/>
      <c r="K27" s="32"/>
      <c r="L27" s="30"/>
      <c r="M27" s="564"/>
      <c r="N27" s="565"/>
    </row>
    <row r="28" spans="1:15" s="15" customFormat="1" ht="50.1" customHeight="1">
      <c r="A28" s="378">
        <v>5</v>
      </c>
      <c r="B28" s="381" t="s">
        <v>23</v>
      </c>
      <c r="C28" s="26"/>
      <c r="D28" s="27"/>
      <c r="E28" s="562">
        <f>E26+E27</f>
        <v>13451335</v>
      </c>
      <c r="F28" s="563"/>
      <c r="G28" s="389" t="s">
        <v>24</v>
      </c>
      <c r="H28" s="29"/>
      <c r="I28" s="29"/>
      <c r="J28" s="32"/>
      <c r="K28" s="32"/>
      <c r="L28" s="31"/>
      <c r="M28" s="564"/>
      <c r="N28" s="565"/>
    </row>
    <row r="29" spans="1:15" s="15" customFormat="1" ht="50.1" customHeight="1">
      <c r="A29" s="379">
        <v>6</v>
      </c>
      <c r="B29" s="382" t="s">
        <v>25</v>
      </c>
      <c r="C29" s="34"/>
      <c r="D29" s="35"/>
      <c r="E29" s="589">
        <f>+ROUNDDOWN(E28*0.5385,0)</f>
        <v>7243543</v>
      </c>
      <c r="F29" s="590"/>
      <c r="G29" s="390" t="s">
        <v>26</v>
      </c>
      <c r="H29" s="37"/>
      <c r="I29" s="37"/>
      <c r="J29" s="38"/>
      <c r="K29" s="38"/>
      <c r="L29" s="39"/>
      <c r="M29" s="564"/>
      <c r="N29" s="565"/>
    </row>
    <row r="30" spans="1:15" s="15" customFormat="1" ht="50.1" customHeight="1">
      <c r="A30" s="383" t="s">
        <v>27</v>
      </c>
      <c r="B30" s="384"/>
      <c r="C30" s="41"/>
      <c r="D30" s="42"/>
      <c r="E30" s="591">
        <f>+E28+E29</f>
        <v>20694878</v>
      </c>
      <c r="F30" s="592"/>
      <c r="G30" s="391" t="s">
        <v>28</v>
      </c>
      <c r="H30" s="44"/>
      <c r="I30" s="44"/>
      <c r="J30" s="44"/>
      <c r="K30" s="44"/>
      <c r="L30" s="45"/>
      <c r="M30" s="564"/>
      <c r="N30" s="565"/>
    </row>
    <row r="31" spans="1:15" s="15" customFormat="1" ht="50.1" customHeight="1">
      <c r="A31" s="385" t="s">
        <v>29</v>
      </c>
      <c r="B31" s="381"/>
      <c r="C31" s="26"/>
      <c r="D31" s="27"/>
      <c r="E31" s="562">
        <f>ROUNDDOWN(E30,-4)</f>
        <v>20690000</v>
      </c>
      <c r="F31" s="563"/>
      <c r="G31" s="389" t="s">
        <v>30</v>
      </c>
      <c r="H31" s="29"/>
      <c r="I31" s="29"/>
      <c r="J31" s="29"/>
      <c r="K31" s="29"/>
      <c r="L31" s="47"/>
      <c r="M31" s="564"/>
      <c r="N31" s="565"/>
    </row>
    <row r="32" spans="1:15" s="15" customFormat="1" ht="50.1" customHeight="1">
      <c r="A32" s="385" t="s">
        <v>31</v>
      </c>
      <c r="B32" s="381"/>
      <c r="C32" s="26"/>
      <c r="D32" s="27"/>
      <c r="E32" s="562">
        <f>+E31*0.1</f>
        <v>2069000</v>
      </c>
      <c r="F32" s="563"/>
      <c r="G32" s="392">
        <v>0.1</v>
      </c>
      <c r="H32" s="29"/>
      <c r="I32" s="29"/>
      <c r="J32" s="29"/>
      <c r="K32" s="29"/>
      <c r="L32" s="47"/>
      <c r="M32" s="564"/>
      <c r="N32" s="565"/>
    </row>
    <row r="33" spans="1:24" ht="50.1" customHeight="1" thickBot="1">
      <c r="A33" s="386" t="s">
        <v>32</v>
      </c>
      <c r="B33" s="387"/>
      <c r="C33" s="50"/>
      <c r="D33" s="50"/>
      <c r="E33" s="693">
        <f>+E31*1.1</f>
        <v>22759000</v>
      </c>
      <c r="F33" s="694"/>
      <c r="G33" s="51"/>
      <c r="H33" s="52"/>
      <c r="I33" s="52"/>
      <c r="J33" s="52"/>
      <c r="K33" s="52"/>
      <c r="L33" s="53"/>
      <c r="M33" s="564"/>
      <c r="N33" s="565"/>
      <c r="O33" s="5"/>
    </row>
    <row r="34" spans="1:24" ht="18.95" customHeight="1">
      <c r="A34" s="54"/>
      <c r="B34" s="15"/>
      <c r="C34" s="15"/>
      <c r="D34" s="15"/>
      <c r="E34" s="55"/>
      <c r="F34" s="55"/>
      <c r="M34" s="24"/>
      <c r="N34" s="24"/>
      <c r="O34" s="5"/>
    </row>
    <row r="35" spans="1:24" ht="24.95" customHeight="1" thickBot="1">
      <c r="A35" s="13" t="s">
        <v>53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56"/>
      <c r="M35" s="57"/>
      <c r="N35" s="58"/>
      <c r="O35" s="5"/>
    </row>
    <row r="36" spans="1:24" ht="17.100000000000001" customHeight="1">
      <c r="A36" s="611" t="s">
        <v>33</v>
      </c>
      <c r="B36" s="612"/>
      <c r="C36" s="613"/>
      <c r="D36" s="59" t="s">
        <v>34</v>
      </c>
      <c r="E36" s="60" t="s">
        <v>35</v>
      </c>
      <c r="F36" s="60" t="s">
        <v>36</v>
      </c>
      <c r="G36" s="60" t="s">
        <v>37</v>
      </c>
      <c r="H36" s="60" t="s">
        <v>38</v>
      </c>
      <c r="I36" s="59" t="s">
        <v>39</v>
      </c>
      <c r="J36" s="61" t="s">
        <v>40</v>
      </c>
      <c r="K36" s="617" t="s">
        <v>14</v>
      </c>
      <c r="L36" s="618"/>
      <c r="O36" s="62"/>
      <c r="P36" s="62"/>
      <c r="Q36" s="63"/>
      <c r="R36" s="64"/>
      <c r="S36" s="63"/>
      <c r="T36" s="63"/>
      <c r="U36" s="63"/>
      <c r="V36" s="63"/>
      <c r="W36" s="65"/>
      <c r="X36" s="66"/>
    </row>
    <row r="37" spans="1:24" ht="17.100000000000001" customHeight="1" thickBot="1">
      <c r="A37" s="614"/>
      <c r="B37" s="615"/>
      <c r="C37" s="616"/>
      <c r="D37" s="114">
        <v>70900</v>
      </c>
      <c r="E37" s="115">
        <v>62200</v>
      </c>
      <c r="F37" s="115">
        <v>55200</v>
      </c>
      <c r="G37" s="115">
        <v>45300</v>
      </c>
      <c r="H37" s="115">
        <v>35600</v>
      </c>
      <c r="I37" s="114">
        <v>31600</v>
      </c>
      <c r="J37" s="137" t="s">
        <v>41</v>
      </c>
      <c r="K37" s="619"/>
      <c r="L37" s="620"/>
    </row>
    <row r="38" spans="1:24" s="150" customFormat="1" ht="17.100000000000001" customHeight="1" thickTop="1">
      <c r="A38" s="144" t="s">
        <v>65</v>
      </c>
      <c r="B38" s="621" t="s">
        <v>66</v>
      </c>
      <c r="C38" s="622"/>
      <c r="D38" s="145"/>
      <c r="E38" s="146">
        <f>E39+E42+E43+E44</f>
        <v>1</v>
      </c>
      <c r="F38" s="146">
        <f t="shared" ref="F38:I38" si="0">F39+F42+F43+F44</f>
        <v>4</v>
      </c>
      <c r="G38" s="146">
        <f t="shared" si="0"/>
        <v>14.5</v>
      </c>
      <c r="H38" s="146">
        <f t="shared" si="0"/>
        <v>14</v>
      </c>
      <c r="I38" s="146">
        <f t="shared" si="0"/>
        <v>0</v>
      </c>
      <c r="J38" s="518">
        <f t="shared" ref="J38:J82" si="1">+$D$37*D38+$E$37*E38+$F$37*F38+$G$37*G38+$H$37*H38+$I$37*I38</f>
        <v>1438250</v>
      </c>
      <c r="K38" s="689"/>
      <c r="L38" s="690"/>
      <c r="M38" s="291">
        <f>+$D$37*D38+$E$37*E38+$F$37*F38+$G$37*G38+$H$37*H38+$I$37*I38</f>
        <v>1438250</v>
      </c>
      <c r="N38" s="148"/>
      <c r="O38" s="149"/>
    </row>
    <row r="39" spans="1:24" s="15" customFormat="1" ht="17.100000000000001" customHeight="1">
      <c r="A39" s="70"/>
      <c r="B39" s="625" t="s">
        <v>69</v>
      </c>
      <c r="C39" s="626"/>
      <c r="D39" s="289"/>
      <c r="E39" s="345">
        <f t="shared" ref="E39:H39" si="2">E40+E41</f>
        <v>1</v>
      </c>
      <c r="F39" s="345">
        <f t="shared" si="2"/>
        <v>1</v>
      </c>
      <c r="G39" s="345">
        <f t="shared" si="2"/>
        <v>1.5</v>
      </c>
      <c r="H39" s="345">
        <f t="shared" si="2"/>
        <v>1</v>
      </c>
      <c r="I39" s="345"/>
      <c r="J39" s="290">
        <f t="shared" si="1"/>
        <v>220950</v>
      </c>
      <c r="K39" s="635"/>
      <c r="L39" s="636"/>
      <c r="M39" s="291">
        <f t="shared" ref="M39:M82" si="3">+$D$37*D39+$E$37*E39+$F$37*F39+$G$37*G39+$H$37*H39+$I$37*I39</f>
        <v>220950</v>
      </c>
      <c r="N39" s="68"/>
      <c r="O39" s="595"/>
      <c r="P39" s="595"/>
    </row>
    <row r="40" spans="1:24" s="15" customFormat="1" ht="17.100000000000001" customHeight="1">
      <c r="A40" s="70"/>
      <c r="B40" s="699" t="s">
        <v>222</v>
      </c>
      <c r="C40" s="700"/>
      <c r="D40" s="289"/>
      <c r="E40" s="323">
        <v>1</v>
      </c>
      <c r="F40" s="323">
        <v>1</v>
      </c>
      <c r="G40" s="323">
        <v>1</v>
      </c>
      <c r="H40" s="323"/>
      <c r="I40" s="323"/>
      <c r="J40" s="342">
        <f t="shared" si="1"/>
        <v>162700</v>
      </c>
      <c r="K40" s="635"/>
      <c r="L40" s="636"/>
      <c r="M40" s="291"/>
      <c r="N40" s="68"/>
      <c r="O40" s="71"/>
      <c r="P40" s="71"/>
    </row>
    <row r="41" spans="1:24" s="15" customFormat="1" ht="17.100000000000001" customHeight="1">
      <c r="A41" s="70"/>
      <c r="B41" s="699" t="s">
        <v>223</v>
      </c>
      <c r="C41" s="700"/>
      <c r="D41" s="289"/>
      <c r="E41" s="323"/>
      <c r="F41" s="323"/>
      <c r="G41" s="323">
        <v>0.5</v>
      </c>
      <c r="H41" s="323">
        <v>1</v>
      </c>
      <c r="I41" s="323"/>
      <c r="J41" s="342">
        <f t="shared" si="1"/>
        <v>58250</v>
      </c>
      <c r="K41" s="635"/>
      <c r="L41" s="636"/>
      <c r="M41" s="291"/>
      <c r="N41" s="68"/>
      <c r="O41" s="71"/>
      <c r="P41" s="71"/>
    </row>
    <row r="42" spans="1:24" s="15" customFormat="1" ht="24.95" customHeight="1">
      <c r="A42" s="70"/>
      <c r="B42" s="701" t="s">
        <v>243</v>
      </c>
      <c r="C42" s="702"/>
      <c r="D42" s="289"/>
      <c r="E42" s="345"/>
      <c r="F42" s="345">
        <v>0.5</v>
      </c>
      <c r="G42" s="345">
        <v>1</v>
      </c>
      <c r="H42" s="345">
        <v>1</v>
      </c>
      <c r="I42" s="345"/>
      <c r="J42" s="290">
        <f t="shared" si="1"/>
        <v>108500</v>
      </c>
      <c r="K42" s="627"/>
      <c r="L42" s="628"/>
      <c r="M42" s="291">
        <f t="shared" si="3"/>
        <v>108500</v>
      </c>
      <c r="N42" s="68"/>
      <c r="O42" s="71"/>
      <c r="P42" s="71"/>
    </row>
    <row r="43" spans="1:24" s="15" customFormat="1" ht="17.100000000000001" customHeight="1">
      <c r="A43" s="70"/>
      <c r="B43" s="625" t="s">
        <v>72</v>
      </c>
      <c r="C43" s="626"/>
      <c r="D43" s="289"/>
      <c r="E43" s="345"/>
      <c r="F43" s="345">
        <v>0.5</v>
      </c>
      <c r="G43" s="345">
        <v>1</v>
      </c>
      <c r="H43" s="345">
        <v>1</v>
      </c>
      <c r="I43" s="345"/>
      <c r="J43" s="290">
        <f t="shared" si="1"/>
        <v>108500</v>
      </c>
      <c r="K43" s="635"/>
      <c r="L43" s="636"/>
      <c r="M43" s="291">
        <f t="shared" si="3"/>
        <v>108500</v>
      </c>
      <c r="N43" s="68"/>
      <c r="O43" s="71"/>
      <c r="P43" s="71"/>
    </row>
    <row r="44" spans="1:24" s="516" customFormat="1" ht="17.100000000000001" customHeight="1">
      <c r="A44" s="509"/>
      <c r="B44" s="695" t="s">
        <v>73</v>
      </c>
      <c r="C44" s="696"/>
      <c r="D44" s="510"/>
      <c r="E44" s="511"/>
      <c r="F44" s="511">
        <v>2</v>
      </c>
      <c r="G44" s="511">
        <v>11</v>
      </c>
      <c r="H44" s="511">
        <v>11</v>
      </c>
      <c r="I44" s="511"/>
      <c r="J44" s="512">
        <f t="shared" si="1"/>
        <v>1000300</v>
      </c>
      <c r="K44" s="697" t="s">
        <v>227</v>
      </c>
      <c r="L44" s="698"/>
      <c r="M44" s="513">
        <f t="shared" si="3"/>
        <v>1000300</v>
      </c>
      <c r="N44" s="517"/>
      <c r="O44" s="515"/>
    </row>
    <row r="45" spans="1:24" s="150" customFormat="1" ht="17.100000000000001" customHeight="1">
      <c r="A45" s="151" t="s">
        <v>68</v>
      </c>
      <c r="B45" s="621" t="s">
        <v>67</v>
      </c>
      <c r="C45" s="622"/>
      <c r="D45" s="152"/>
      <c r="E45" s="152">
        <f>E46+E51+E62+E63+E67+E68</f>
        <v>4.5</v>
      </c>
      <c r="F45" s="152">
        <f t="shared" ref="F45:H45" si="4">F46+F51+F62+F63+F67+F68</f>
        <v>11</v>
      </c>
      <c r="G45" s="152">
        <f t="shared" si="4"/>
        <v>18.5</v>
      </c>
      <c r="H45" s="152">
        <f t="shared" si="4"/>
        <v>30</v>
      </c>
      <c r="I45" s="152"/>
      <c r="J45" s="346">
        <f t="shared" si="1"/>
        <v>2793150</v>
      </c>
      <c r="K45" s="691"/>
      <c r="L45" s="692"/>
      <c r="M45" s="291">
        <f t="shared" si="3"/>
        <v>2793150</v>
      </c>
      <c r="N45" s="148"/>
      <c r="O45" s="149"/>
    </row>
    <row r="46" spans="1:24" s="15" customFormat="1" ht="17.100000000000001" customHeight="1">
      <c r="A46" s="70"/>
      <c r="B46" s="631" t="s">
        <v>74</v>
      </c>
      <c r="C46" s="632"/>
      <c r="D46" s="289"/>
      <c r="E46" s="345">
        <f>SUM(E47:E50)</f>
        <v>0.5</v>
      </c>
      <c r="F46" s="345">
        <f t="shared" ref="F46:H46" si="5">SUM(F47:F50)</f>
        <v>2.5</v>
      </c>
      <c r="G46" s="345">
        <f t="shared" si="5"/>
        <v>5</v>
      </c>
      <c r="H46" s="345">
        <f t="shared" si="5"/>
        <v>6</v>
      </c>
      <c r="I46" s="345"/>
      <c r="J46" s="290">
        <f t="shared" si="1"/>
        <v>609200</v>
      </c>
      <c r="K46" s="635"/>
      <c r="L46" s="636"/>
      <c r="M46" s="291">
        <f t="shared" si="3"/>
        <v>609200</v>
      </c>
      <c r="N46" s="68"/>
      <c r="O46" s="595"/>
      <c r="P46" s="595"/>
      <c r="Q46" s="595"/>
    </row>
    <row r="47" spans="1:24" s="15" customFormat="1" ht="17.100000000000001" customHeight="1">
      <c r="A47" s="70"/>
      <c r="B47" s="704" t="s">
        <v>75</v>
      </c>
      <c r="C47" s="705"/>
      <c r="D47" s="289"/>
      <c r="E47" s="323"/>
      <c r="F47" s="323">
        <v>0.5</v>
      </c>
      <c r="G47" s="323">
        <v>1</v>
      </c>
      <c r="H47" s="323">
        <v>2</v>
      </c>
      <c r="I47" s="323"/>
      <c r="J47" s="347">
        <f t="shared" si="1"/>
        <v>144100</v>
      </c>
      <c r="K47" s="635"/>
      <c r="L47" s="636"/>
      <c r="M47" s="291">
        <f t="shared" si="3"/>
        <v>144100</v>
      </c>
      <c r="N47" s="68"/>
      <c r="O47" s="71"/>
      <c r="P47" s="71"/>
      <c r="Q47" s="71"/>
    </row>
    <row r="48" spans="1:24" s="15" customFormat="1" ht="17.100000000000001" customHeight="1">
      <c r="A48" s="70"/>
      <c r="B48" s="704" t="s">
        <v>76</v>
      </c>
      <c r="C48" s="705"/>
      <c r="D48" s="289"/>
      <c r="E48" s="323"/>
      <c r="F48" s="323">
        <v>0.5</v>
      </c>
      <c r="G48" s="323">
        <v>1</v>
      </c>
      <c r="H48" s="323">
        <v>2</v>
      </c>
      <c r="I48" s="323"/>
      <c r="J48" s="347">
        <f t="shared" si="1"/>
        <v>144100</v>
      </c>
      <c r="K48" s="635"/>
      <c r="L48" s="636"/>
      <c r="M48" s="291">
        <f t="shared" si="3"/>
        <v>144100</v>
      </c>
      <c r="N48" s="68"/>
      <c r="O48" s="71"/>
      <c r="P48" s="71"/>
      <c r="Q48" s="71"/>
    </row>
    <row r="49" spans="1:18" s="15" customFormat="1" ht="17.100000000000001" customHeight="1">
      <c r="A49" s="70"/>
      <c r="B49" s="704" t="s">
        <v>77</v>
      </c>
      <c r="C49" s="705"/>
      <c r="D49" s="289"/>
      <c r="E49" s="323"/>
      <c r="F49" s="323">
        <v>0.5</v>
      </c>
      <c r="G49" s="323">
        <v>1</v>
      </c>
      <c r="H49" s="323">
        <v>2</v>
      </c>
      <c r="I49" s="323"/>
      <c r="J49" s="347">
        <f t="shared" si="1"/>
        <v>144100</v>
      </c>
      <c r="K49" s="635"/>
      <c r="L49" s="636"/>
      <c r="M49" s="291">
        <f t="shared" si="3"/>
        <v>144100</v>
      </c>
      <c r="N49" s="116"/>
      <c r="O49" s="69"/>
    </row>
    <row r="50" spans="1:18" s="15" customFormat="1" ht="17.100000000000001" customHeight="1">
      <c r="A50" s="72"/>
      <c r="B50" s="639" t="s">
        <v>78</v>
      </c>
      <c r="C50" s="706"/>
      <c r="D50" s="289"/>
      <c r="E50" s="323">
        <v>0.5</v>
      </c>
      <c r="F50" s="323">
        <v>1</v>
      </c>
      <c r="G50" s="323">
        <v>2</v>
      </c>
      <c r="H50" s="323"/>
      <c r="I50" s="323"/>
      <c r="J50" s="347">
        <f t="shared" si="1"/>
        <v>176900</v>
      </c>
      <c r="K50" s="635"/>
      <c r="L50" s="636"/>
      <c r="M50" s="291">
        <f t="shared" si="3"/>
        <v>176900</v>
      </c>
      <c r="N50" s="116"/>
      <c r="O50" s="703"/>
      <c r="P50" s="703"/>
      <c r="Q50" s="703"/>
      <c r="R50" s="703"/>
    </row>
    <row r="51" spans="1:18" s="15" customFormat="1" ht="17.100000000000001" customHeight="1">
      <c r="A51" s="70"/>
      <c r="B51" s="625" t="s">
        <v>85</v>
      </c>
      <c r="C51" s="626"/>
      <c r="D51" s="289"/>
      <c r="E51" s="345">
        <f>SUM(E52:E57)</f>
        <v>2.5</v>
      </c>
      <c r="F51" s="345">
        <f t="shared" ref="F51:G51" si="6">SUM(F52:F57)</f>
        <v>5</v>
      </c>
      <c r="G51" s="345">
        <f t="shared" si="6"/>
        <v>5</v>
      </c>
      <c r="H51" s="345">
        <f>SUM(H52:H57)</f>
        <v>10</v>
      </c>
      <c r="I51" s="345"/>
      <c r="J51" s="290">
        <f t="shared" si="1"/>
        <v>1014000</v>
      </c>
      <c r="K51" s="635"/>
      <c r="L51" s="636"/>
      <c r="M51" s="291">
        <f t="shared" si="3"/>
        <v>1014000</v>
      </c>
      <c r="N51" s="117"/>
      <c r="O51" s="69"/>
    </row>
    <row r="52" spans="1:18" s="15" customFormat="1" ht="17.100000000000001" customHeight="1">
      <c r="A52" s="70"/>
      <c r="B52" s="639" t="s">
        <v>79</v>
      </c>
      <c r="C52" s="640"/>
      <c r="D52" s="289"/>
      <c r="E52" s="323">
        <v>0.5</v>
      </c>
      <c r="F52" s="323">
        <v>1</v>
      </c>
      <c r="G52" s="323">
        <v>1</v>
      </c>
      <c r="H52" s="323">
        <v>2</v>
      </c>
      <c r="I52" s="323"/>
      <c r="J52" s="347">
        <f t="shared" si="1"/>
        <v>202800</v>
      </c>
      <c r="K52" s="635"/>
      <c r="L52" s="636"/>
      <c r="M52" s="291">
        <f t="shared" si="3"/>
        <v>202800</v>
      </c>
      <c r="N52" s="117"/>
      <c r="O52" s="69"/>
    </row>
    <row r="53" spans="1:18" s="15" customFormat="1" ht="17.100000000000001" customHeight="1">
      <c r="A53" s="70"/>
      <c r="B53" s="639" t="s">
        <v>80</v>
      </c>
      <c r="C53" s="640"/>
      <c r="D53" s="289"/>
      <c r="E53" s="323">
        <v>0.5</v>
      </c>
      <c r="F53" s="323">
        <v>1</v>
      </c>
      <c r="G53" s="323">
        <v>1</v>
      </c>
      <c r="H53" s="323">
        <v>2</v>
      </c>
      <c r="I53" s="323"/>
      <c r="J53" s="347">
        <f t="shared" si="1"/>
        <v>202800</v>
      </c>
      <c r="K53" s="635"/>
      <c r="L53" s="636"/>
      <c r="M53" s="291">
        <f t="shared" si="3"/>
        <v>202800</v>
      </c>
      <c r="N53" s="117"/>
      <c r="O53" s="69"/>
    </row>
    <row r="54" spans="1:18" s="15" customFormat="1" ht="17.100000000000001" customHeight="1">
      <c r="A54" s="70"/>
      <c r="B54" s="639" t="s">
        <v>81</v>
      </c>
      <c r="C54" s="640"/>
      <c r="D54" s="289"/>
      <c r="E54" s="323">
        <v>0.5</v>
      </c>
      <c r="F54" s="323">
        <v>1</v>
      </c>
      <c r="G54" s="323">
        <v>1</v>
      </c>
      <c r="H54" s="323">
        <v>2</v>
      </c>
      <c r="I54" s="323"/>
      <c r="J54" s="347">
        <f t="shared" si="1"/>
        <v>202800</v>
      </c>
      <c r="K54" s="635"/>
      <c r="L54" s="636"/>
      <c r="M54" s="291">
        <f t="shared" si="3"/>
        <v>202800</v>
      </c>
      <c r="N54" s="117"/>
      <c r="O54" s="69"/>
    </row>
    <row r="55" spans="1:18" s="15" customFormat="1" ht="17.100000000000001" customHeight="1">
      <c r="A55" s="70"/>
      <c r="B55" s="639" t="s">
        <v>82</v>
      </c>
      <c r="C55" s="640"/>
      <c r="D55" s="289"/>
      <c r="E55" s="323">
        <v>0.5</v>
      </c>
      <c r="F55" s="323">
        <v>1</v>
      </c>
      <c r="G55" s="323">
        <v>1</v>
      </c>
      <c r="H55" s="323">
        <v>2</v>
      </c>
      <c r="I55" s="323"/>
      <c r="J55" s="347">
        <f t="shared" si="1"/>
        <v>202800</v>
      </c>
      <c r="K55" s="635"/>
      <c r="L55" s="636"/>
      <c r="M55" s="291">
        <f t="shared" si="3"/>
        <v>202800</v>
      </c>
      <c r="N55" s="117"/>
      <c r="O55" s="69"/>
    </row>
    <row r="56" spans="1:18" s="15" customFormat="1" ht="17.100000000000001" customHeight="1">
      <c r="A56" s="70"/>
      <c r="B56" s="639" t="s">
        <v>83</v>
      </c>
      <c r="C56" s="640"/>
      <c r="D56" s="289"/>
      <c r="E56" s="323">
        <v>0.5</v>
      </c>
      <c r="F56" s="323">
        <v>1</v>
      </c>
      <c r="G56" s="323">
        <v>1</v>
      </c>
      <c r="H56" s="323">
        <v>2</v>
      </c>
      <c r="I56" s="323"/>
      <c r="J56" s="347">
        <f t="shared" si="1"/>
        <v>202800</v>
      </c>
      <c r="K56" s="635"/>
      <c r="L56" s="636"/>
      <c r="M56" s="291">
        <f t="shared" si="3"/>
        <v>202800</v>
      </c>
      <c r="N56" s="117"/>
      <c r="O56" s="69"/>
    </row>
    <row r="57" spans="1:18" s="15" customFormat="1" ht="17.100000000000001" customHeight="1">
      <c r="A57" s="70"/>
      <c r="B57" s="639" t="s">
        <v>84</v>
      </c>
      <c r="C57" s="640"/>
      <c r="D57" s="289"/>
      <c r="E57" s="344"/>
      <c r="F57" s="344"/>
      <c r="G57" s="344"/>
      <c r="H57" s="323"/>
      <c r="I57" s="344"/>
      <c r="J57" s="347">
        <f t="shared" si="1"/>
        <v>0</v>
      </c>
      <c r="K57" s="635"/>
      <c r="L57" s="636"/>
      <c r="M57" s="291">
        <f t="shared" si="3"/>
        <v>0</v>
      </c>
      <c r="N57" s="117"/>
      <c r="O57" s="69"/>
    </row>
    <row r="58" spans="1:18" s="15" customFormat="1" ht="17.100000000000001" customHeight="1">
      <c r="A58" s="70"/>
      <c r="B58" s="639" t="s">
        <v>213</v>
      </c>
      <c r="C58" s="640"/>
      <c r="D58" s="289"/>
      <c r="E58" s="323"/>
      <c r="F58" s="323"/>
      <c r="G58" s="323"/>
      <c r="H58" s="323"/>
      <c r="I58" s="323"/>
      <c r="J58" s="343">
        <f t="shared" si="1"/>
        <v>0</v>
      </c>
      <c r="K58" s="635"/>
      <c r="L58" s="636"/>
      <c r="M58" s="291">
        <f t="shared" si="3"/>
        <v>0</v>
      </c>
      <c r="N58" s="117"/>
      <c r="O58" s="69"/>
    </row>
    <row r="59" spans="1:18" s="15" customFormat="1" ht="17.100000000000001" customHeight="1">
      <c r="A59" s="70"/>
      <c r="B59" s="639" t="s">
        <v>214</v>
      </c>
      <c r="C59" s="640"/>
      <c r="D59" s="289"/>
      <c r="E59" s="323"/>
      <c r="F59" s="323"/>
      <c r="G59" s="323"/>
      <c r="H59" s="323"/>
      <c r="I59" s="323"/>
      <c r="J59" s="343">
        <f t="shared" si="1"/>
        <v>0</v>
      </c>
      <c r="K59" s="635"/>
      <c r="L59" s="636"/>
      <c r="M59" s="291">
        <f t="shared" si="3"/>
        <v>0</v>
      </c>
      <c r="N59" s="117"/>
      <c r="O59" s="69"/>
    </row>
    <row r="60" spans="1:18" s="15" customFormat="1" ht="17.100000000000001" customHeight="1">
      <c r="A60" s="70"/>
      <c r="B60" s="639" t="s">
        <v>216</v>
      </c>
      <c r="C60" s="640"/>
      <c r="D60" s="289"/>
      <c r="E60" s="323"/>
      <c r="F60" s="323"/>
      <c r="G60" s="323"/>
      <c r="H60" s="323"/>
      <c r="I60" s="323"/>
      <c r="J60" s="343">
        <f t="shared" si="1"/>
        <v>0</v>
      </c>
      <c r="K60" s="635"/>
      <c r="L60" s="636"/>
      <c r="M60" s="291">
        <f t="shared" si="3"/>
        <v>0</v>
      </c>
      <c r="N60" s="117"/>
      <c r="O60" s="69"/>
    </row>
    <row r="61" spans="1:18" s="15" customFormat="1" ht="17.100000000000001" customHeight="1">
      <c r="A61" s="70"/>
      <c r="B61" s="639" t="s">
        <v>217</v>
      </c>
      <c r="C61" s="640"/>
      <c r="D61" s="289"/>
      <c r="E61" s="323"/>
      <c r="F61" s="323"/>
      <c r="G61" s="323"/>
      <c r="H61" s="323"/>
      <c r="I61" s="323"/>
      <c r="J61" s="343">
        <f t="shared" si="1"/>
        <v>0</v>
      </c>
      <c r="K61" s="635"/>
      <c r="L61" s="636"/>
      <c r="M61" s="291">
        <f t="shared" si="3"/>
        <v>0</v>
      </c>
      <c r="N61" s="117"/>
      <c r="O61" s="69"/>
    </row>
    <row r="62" spans="1:18" s="15" customFormat="1" ht="24.95" customHeight="1">
      <c r="A62" s="70"/>
      <c r="B62" s="707" t="s">
        <v>86</v>
      </c>
      <c r="C62" s="640"/>
      <c r="D62" s="289"/>
      <c r="E62" s="345">
        <v>0.5</v>
      </c>
      <c r="F62" s="345"/>
      <c r="G62" s="345">
        <v>1</v>
      </c>
      <c r="H62" s="345">
        <v>2</v>
      </c>
      <c r="I62" s="345"/>
      <c r="J62" s="290">
        <f t="shared" si="1"/>
        <v>147600</v>
      </c>
      <c r="K62" s="644"/>
      <c r="L62" s="645"/>
      <c r="M62" s="291">
        <f t="shared" si="3"/>
        <v>147600</v>
      </c>
      <c r="N62" s="117"/>
      <c r="O62" s="69"/>
    </row>
    <row r="63" spans="1:18" s="15" customFormat="1" ht="24.95" customHeight="1">
      <c r="A63" s="70"/>
      <c r="B63" s="639" t="s">
        <v>87</v>
      </c>
      <c r="C63" s="640"/>
      <c r="D63" s="289"/>
      <c r="E63" s="345">
        <f>SUM(E64:E66)</f>
        <v>0.5</v>
      </c>
      <c r="F63" s="345">
        <f t="shared" ref="F63:H63" si="7">SUM(F64:F66)</f>
        <v>2</v>
      </c>
      <c r="G63" s="345">
        <f t="shared" si="7"/>
        <v>4.5</v>
      </c>
      <c r="H63" s="345">
        <f t="shared" si="7"/>
        <v>6</v>
      </c>
      <c r="I63" s="345"/>
      <c r="J63" s="290">
        <f t="shared" si="1"/>
        <v>558950</v>
      </c>
      <c r="K63" s="633" t="s">
        <v>240</v>
      </c>
      <c r="L63" s="634"/>
      <c r="M63" s="291">
        <f t="shared" si="3"/>
        <v>558950</v>
      </c>
      <c r="N63" s="117"/>
      <c r="O63" s="69"/>
    </row>
    <row r="64" spans="1:18" s="15" customFormat="1" ht="17.100000000000001" customHeight="1">
      <c r="A64" s="70"/>
      <c r="B64" s="639" t="s">
        <v>88</v>
      </c>
      <c r="C64" s="640"/>
      <c r="D64" s="289"/>
      <c r="E64" s="323">
        <v>0.5</v>
      </c>
      <c r="F64" s="323">
        <v>1</v>
      </c>
      <c r="G64" s="323">
        <v>1.5</v>
      </c>
      <c r="H64" s="323"/>
      <c r="I64" s="323"/>
      <c r="J64" s="347">
        <f t="shared" si="1"/>
        <v>154250</v>
      </c>
      <c r="K64" s="627"/>
      <c r="L64" s="628"/>
      <c r="M64" s="291">
        <f t="shared" si="3"/>
        <v>154250</v>
      </c>
      <c r="N64" s="117"/>
      <c r="O64" s="69"/>
    </row>
    <row r="65" spans="1:15" s="15" customFormat="1" ht="17.100000000000001" customHeight="1">
      <c r="A65" s="70"/>
      <c r="B65" s="639" t="s">
        <v>89</v>
      </c>
      <c r="C65" s="640"/>
      <c r="D65" s="289"/>
      <c r="E65" s="323"/>
      <c r="F65" s="323">
        <v>0.5</v>
      </c>
      <c r="G65" s="323">
        <v>1.5</v>
      </c>
      <c r="H65" s="323">
        <v>3</v>
      </c>
      <c r="I65" s="323"/>
      <c r="J65" s="347">
        <f t="shared" si="1"/>
        <v>202350</v>
      </c>
      <c r="K65" s="635"/>
      <c r="L65" s="636"/>
      <c r="M65" s="291">
        <f t="shared" si="3"/>
        <v>202350</v>
      </c>
      <c r="N65" s="117"/>
      <c r="O65" s="69"/>
    </row>
    <row r="66" spans="1:15" s="15" customFormat="1" ht="17.100000000000001" customHeight="1">
      <c r="A66" s="70"/>
      <c r="B66" s="639" t="s">
        <v>90</v>
      </c>
      <c r="C66" s="640"/>
      <c r="D66" s="289"/>
      <c r="E66" s="323"/>
      <c r="F66" s="323">
        <v>0.5</v>
      </c>
      <c r="G66" s="323">
        <v>1.5</v>
      </c>
      <c r="H66" s="323">
        <v>3</v>
      </c>
      <c r="I66" s="323"/>
      <c r="J66" s="347">
        <f t="shared" si="1"/>
        <v>202350</v>
      </c>
      <c r="K66" s="635"/>
      <c r="L66" s="636"/>
      <c r="M66" s="291">
        <f t="shared" si="3"/>
        <v>202350</v>
      </c>
      <c r="N66" s="117"/>
      <c r="O66" s="69"/>
    </row>
    <row r="67" spans="1:15" s="15" customFormat="1" ht="17.100000000000001" customHeight="1">
      <c r="A67" s="70"/>
      <c r="B67" s="639" t="s">
        <v>91</v>
      </c>
      <c r="C67" s="640"/>
      <c r="D67" s="289"/>
      <c r="E67" s="345">
        <v>0.5</v>
      </c>
      <c r="F67" s="345">
        <v>1</v>
      </c>
      <c r="G67" s="345">
        <v>2</v>
      </c>
      <c r="H67" s="345">
        <v>4</v>
      </c>
      <c r="I67" s="345"/>
      <c r="J67" s="290">
        <f t="shared" si="1"/>
        <v>319300</v>
      </c>
      <c r="K67" s="633" t="s">
        <v>239</v>
      </c>
      <c r="L67" s="634"/>
      <c r="M67" s="291">
        <f t="shared" si="3"/>
        <v>319300</v>
      </c>
      <c r="N67" s="117"/>
      <c r="O67" s="69"/>
    </row>
    <row r="68" spans="1:15" s="15" customFormat="1" ht="17.100000000000001" customHeight="1">
      <c r="A68" s="70"/>
      <c r="B68" s="639" t="s">
        <v>92</v>
      </c>
      <c r="C68" s="640"/>
      <c r="D68" s="289"/>
      <c r="E68" s="345"/>
      <c r="F68" s="345">
        <v>0.5</v>
      </c>
      <c r="G68" s="345">
        <v>1</v>
      </c>
      <c r="H68" s="345">
        <v>2</v>
      </c>
      <c r="I68" s="345"/>
      <c r="J68" s="290">
        <f t="shared" si="1"/>
        <v>144100</v>
      </c>
      <c r="K68" s="635"/>
      <c r="L68" s="636"/>
      <c r="M68" s="291">
        <f t="shared" si="3"/>
        <v>144100</v>
      </c>
      <c r="N68" s="117"/>
      <c r="O68" s="69"/>
    </row>
    <row r="69" spans="1:15" s="150" customFormat="1" ht="17.100000000000001" customHeight="1">
      <c r="A69" s="151" t="s">
        <v>93</v>
      </c>
      <c r="B69" s="646" t="s">
        <v>94</v>
      </c>
      <c r="C69" s="647"/>
      <c r="D69" s="152"/>
      <c r="E69" s="154"/>
      <c r="F69" s="154">
        <f t="shared" ref="F69:I69" si="8">SUM(F70:F73)</f>
        <v>0.5</v>
      </c>
      <c r="G69" s="154">
        <f t="shared" si="8"/>
        <v>32</v>
      </c>
      <c r="H69" s="154">
        <f t="shared" si="8"/>
        <v>19</v>
      </c>
      <c r="I69" s="154">
        <f t="shared" si="8"/>
        <v>2</v>
      </c>
      <c r="J69" s="153">
        <f t="shared" si="1"/>
        <v>2216800</v>
      </c>
      <c r="K69" s="691"/>
      <c r="L69" s="692"/>
      <c r="M69" s="291">
        <f t="shared" si="3"/>
        <v>2216800</v>
      </c>
      <c r="N69" s="155"/>
      <c r="O69" s="149"/>
    </row>
    <row r="70" spans="1:15" s="15" customFormat="1" ht="17.100000000000001" customHeight="1">
      <c r="A70" s="70"/>
      <c r="B70" s="639" t="s">
        <v>95</v>
      </c>
      <c r="C70" s="640"/>
      <c r="D70" s="289"/>
      <c r="E70" s="345"/>
      <c r="F70" s="345"/>
      <c r="G70" s="345">
        <v>1</v>
      </c>
      <c r="H70" s="345">
        <v>3</v>
      </c>
      <c r="I70" s="345"/>
      <c r="J70" s="290">
        <f t="shared" si="1"/>
        <v>152100</v>
      </c>
      <c r="K70" s="635"/>
      <c r="L70" s="636"/>
      <c r="M70" s="291">
        <f t="shared" si="3"/>
        <v>152100</v>
      </c>
      <c r="N70" s="117"/>
      <c r="O70" s="69"/>
    </row>
    <row r="71" spans="1:15" s="516" customFormat="1" ht="17.100000000000001" customHeight="1">
      <c r="A71" s="509"/>
      <c r="B71" s="708" t="s">
        <v>96</v>
      </c>
      <c r="C71" s="709"/>
      <c r="D71" s="510"/>
      <c r="E71" s="511"/>
      <c r="F71" s="511">
        <v>0.5</v>
      </c>
      <c r="G71" s="511">
        <v>1</v>
      </c>
      <c r="H71" s="511">
        <v>2</v>
      </c>
      <c r="I71" s="511">
        <v>2</v>
      </c>
      <c r="J71" s="512">
        <f t="shared" si="1"/>
        <v>207300</v>
      </c>
      <c r="K71" s="697" t="s">
        <v>97</v>
      </c>
      <c r="L71" s="698"/>
      <c r="M71" s="513">
        <f t="shared" si="3"/>
        <v>207300</v>
      </c>
      <c r="N71" s="514"/>
      <c r="O71" s="515"/>
    </row>
    <row r="72" spans="1:15" s="516" customFormat="1" ht="17.100000000000001" customHeight="1">
      <c r="A72" s="509"/>
      <c r="B72" s="708" t="s">
        <v>98</v>
      </c>
      <c r="C72" s="709"/>
      <c r="D72" s="510"/>
      <c r="E72" s="511"/>
      <c r="F72" s="511"/>
      <c r="G72" s="511">
        <v>20</v>
      </c>
      <c r="H72" s="511">
        <v>10</v>
      </c>
      <c r="I72" s="511"/>
      <c r="J72" s="512">
        <f t="shared" si="1"/>
        <v>1262000</v>
      </c>
      <c r="K72" s="697" t="s">
        <v>99</v>
      </c>
      <c r="L72" s="698"/>
      <c r="M72" s="513">
        <f t="shared" si="3"/>
        <v>1262000</v>
      </c>
      <c r="N72" s="514"/>
      <c r="O72" s="515"/>
    </row>
    <row r="73" spans="1:15" s="15" customFormat="1" ht="17.100000000000001" customHeight="1">
      <c r="A73" s="70"/>
      <c r="B73" s="639" t="s">
        <v>100</v>
      </c>
      <c r="C73" s="640"/>
      <c r="D73" s="289"/>
      <c r="E73" s="345"/>
      <c r="F73" s="345"/>
      <c r="G73" s="345">
        <f>6+2+2</f>
        <v>10</v>
      </c>
      <c r="H73" s="345">
        <f>2+1+1</f>
        <v>4</v>
      </c>
      <c r="I73" s="345"/>
      <c r="J73" s="290">
        <f t="shared" si="1"/>
        <v>595400</v>
      </c>
      <c r="K73" s="650" t="s">
        <v>221</v>
      </c>
      <c r="L73" s="634"/>
      <c r="M73" s="291">
        <f t="shared" si="3"/>
        <v>595400</v>
      </c>
      <c r="N73" s="117"/>
      <c r="O73" s="69"/>
    </row>
    <row r="74" spans="1:15" s="150" customFormat="1" ht="17.100000000000001" customHeight="1">
      <c r="A74" s="151" t="s">
        <v>101</v>
      </c>
      <c r="B74" s="646" t="s">
        <v>102</v>
      </c>
      <c r="C74" s="647"/>
      <c r="D74" s="152"/>
      <c r="E74" s="154"/>
      <c r="F74" s="154">
        <f>SUM(F75:F76)</f>
        <v>1.5</v>
      </c>
      <c r="G74" s="154">
        <f t="shared" ref="G74:I74" si="9">SUM(G75:G76)</f>
        <v>2</v>
      </c>
      <c r="H74" s="154">
        <f t="shared" si="9"/>
        <v>6</v>
      </c>
      <c r="I74" s="154">
        <f t="shared" si="9"/>
        <v>8</v>
      </c>
      <c r="J74" s="153">
        <f t="shared" si="1"/>
        <v>639800</v>
      </c>
      <c r="K74" s="691"/>
      <c r="L74" s="692"/>
      <c r="M74" s="291">
        <f t="shared" si="3"/>
        <v>639800</v>
      </c>
      <c r="N74" s="155"/>
      <c r="O74" s="149"/>
    </row>
    <row r="75" spans="1:15" s="150" customFormat="1" ht="17.100000000000001" customHeight="1">
      <c r="A75" s="348"/>
      <c r="B75" s="699" t="s">
        <v>225</v>
      </c>
      <c r="C75" s="700"/>
      <c r="D75" s="349"/>
      <c r="E75" s="350"/>
      <c r="F75" s="323">
        <f>0.5*2</f>
        <v>1</v>
      </c>
      <c r="G75" s="323"/>
      <c r="H75" s="323">
        <f>1*2</f>
        <v>2</v>
      </c>
      <c r="I75" s="323"/>
      <c r="J75" s="342">
        <f t="shared" si="1"/>
        <v>126400</v>
      </c>
      <c r="K75" s="650" t="s">
        <v>228</v>
      </c>
      <c r="L75" s="634"/>
      <c r="M75" s="351"/>
      <c r="N75" s="155"/>
      <c r="O75" s="149"/>
    </row>
    <row r="76" spans="1:15" s="150" customFormat="1" ht="17.100000000000001" customHeight="1">
      <c r="A76" s="348"/>
      <c r="B76" s="699" t="s">
        <v>102</v>
      </c>
      <c r="C76" s="700"/>
      <c r="D76" s="349"/>
      <c r="E76" s="350"/>
      <c r="F76" s="323">
        <v>0.5</v>
      </c>
      <c r="G76" s="323">
        <f>1+1</f>
        <v>2</v>
      </c>
      <c r="H76" s="323">
        <f>2+2</f>
        <v>4</v>
      </c>
      <c r="I76" s="323">
        <f>4+4</f>
        <v>8</v>
      </c>
      <c r="J76" s="342">
        <f t="shared" si="1"/>
        <v>513400</v>
      </c>
      <c r="K76" s="710"/>
      <c r="L76" s="711"/>
      <c r="M76" s="351"/>
      <c r="N76" s="155"/>
      <c r="O76" s="149"/>
    </row>
    <row r="77" spans="1:15" s="150" customFormat="1" ht="17.100000000000001" customHeight="1">
      <c r="A77" s="151" t="s">
        <v>103</v>
      </c>
      <c r="B77" s="646" t="s">
        <v>104</v>
      </c>
      <c r="C77" s="647"/>
      <c r="D77" s="152"/>
      <c r="E77" s="154">
        <v>1</v>
      </c>
      <c r="F77" s="154">
        <v>2</v>
      </c>
      <c r="G77" s="154">
        <v>4</v>
      </c>
      <c r="H77" s="154">
        <v>8</v>
      </c>
      <c r="I77" s="154"/>
      <c r="J77" s="153">
        <f t="shared" si="1"/>
        <v>638600</v>
      </c>
      <c r="K77" s="691"/>
      <c r="L77" s="692"/>
      <c r="M77" s="291">
        <f t="shared" si="3"/>
        <v>638600</v>
      </c>
      <c r="N77" s="155"/>
      <c r="O77" s="149"/>
    </row>
    <row r="78" spans="1:15" s="150" customFormat="1" ht="17.100000000000001" customHeight="1">
      <c r="A78" s="151" t="s">
        <v>105</v>
      </c>
      <c r="B78" s="646" t="s">
        <v>106</v>
      </c>
      <c r="C78" s="647"/>
      <c r="D78" s="152"/>
      <c r="E78" s="154">
        <f>SUM(E79:E81)</f>
        <v>1</v>
      </c>
      <c r="F78" s="154">
        <f t="shared" ref="F78:H78" si="10">SUM(F79:F81)</f>
        <v>6</v>
      </c>
      <c r="G78" s="154">
        <f t="shared" si="10"/>
        <v>6</v>
      </c>
      <c r="H78" s="154">
        <f t="shared" si="10"/>
        <v>5</v>
      </c>
      <c r="I78" s="154"/>
      <c r="J78" s="153">
        <f t="shared" si="1"/>
        <v>843200</v>
      </c>
      <c r="K78" s="712" t="s">
        <v>241</v>
      </c>
      <c r="L78" s="713"/>
      <c r="M78" s="291">
        <f t="shared" si="3"/>
        <v>843200</v>
      </c>
      <c r="N78" s="155"/>
      <c r="O78" s="149"/>
    </row>
    <row r="79" spans="1:15" s="15" customFormat="1" ht="17.100000000000001" customHeight="1">
      <c r="A79" s="70"/>
      <c r="B79" s="639" t="s">
        <v>109</v>
      </c>
      <c r="C79" s="640"/>
      <c r="D79" s="73"/>
      <c r="E79" s="345">
        <v>0.5</v>
      </c>
      <c r="F79" s="345">
        <v>0.5</v>
      </c>
      <c r="G79" s="345">
        <v>0.5</v>
      </c>
      <c r="H79" s="345"/>
      <c r="I79" s="345"/>
      <c r="J79" s="290">
        <f t="shared" si="1"/>
        <v>81350</v>
      </c>
      <c r="K79" s="635"/>
      <c r="L79" s="636"/>
      <c r="M79" s="291">
        <f t="shared" si="3"/>
        <v>81350</v>
      </c>
      <c r="N79" s="116"/>
      <c r="O79" s="69"/>
    </row>
    <row r="80" spans="1:15" s="15" customFormat="1" ht="17.100000000000001" customHeight="1">
      <c r="A80" s="70"/>
      <c r="B80" s="639" t="s">
        <v>110</v>
      </c>
      <c r="C80" s="640"/>
      <c r="D80" s="74"/>
      <c r="E80" s="345"/>
      <c r="F80" s="345">
        <v>5</v>
      </c>
      <c r="G80" s="345">
        <v>5</v>
      </c>
      <c r="H80" s="345">
        <v>5</v>
      </c>
      <c r="I80" s="345"/>
      <c r="J80" s="290">
        <f t="shared" si="1"/>
        <v>680500</v>
      </c>
      <c r="K80" s="627" t="s">
        <v>178</v>
      </c>
      <c r="L80" s="628"/>
      <c r="M80" s="291">
        <f t="shared" si="3"/>
        <v>680500</v>
      </c>
      <c r="N80" s="68"/>
      <c r="O80" s="69"/>
    </row>
    <row r="81" spans="1:15" s="15" customFormat="1" ht="17.100000000000001" customHeight="1">
      <c r="A81" s="70"/>
      <c r="B81" s="639" t="s">
        <v>111</v>
      </c>
      <c r="C81" s="640"/>
      <c r="D81" s="74"/>
      <c r="E81" s="345">
        <v>0.5</v>
      </c>
      <c r="F81" s="345">
        <v>0.5</v>
      </c>
      <c r="G81" s="345">
        <v>0.5</v>
      </c>
      <c r="H81" s="345"/>
      <c r="I81" s="345"/>
      <c r="J81" s="290">
        <f t="shared" si="1"/>
        <v>81350</v>
      </c>
      <c r="K81" s="635"/>
      <c r="L81" s="636"/>
      <c r="M81" s="291">
        <f t="shared" si="3"/>
        <v>81350</v>
      </c>
      <c r="N81" s="68"/>
      <c r="O81" s="69"/>
    </row>
    <row r="82" spans="1:15" s="150" customFormat="1" ht="17.100000000000001" customHeight="1" thickBot="1">
      <c r="A82" s="156" t="s">
        <v>107</v>
      </c>
      <c r="B82" s="665" t="s">
        <v>108</v>
      </c>
      <c r="C82" s="666"/>
      <c r="D82" s="157"/>
      <c r="E82" s="158"/>
      <c r="F82" s="158">
        <v>0.5</v>
      </c>
      <c r="G82" s="158">
        <v>1</v>
      </c>
      <c r="H82" s="158">
        <v>2</v>
      </c>
      <c r="I82" s="158"/>
      <c r="J82" s="153">
        <f t="shared" si="1"/>
        <v>144100</v>
      </c>
      <c r="K82" s="691"/>
      <c r="L82" s="692"/>
      <c r="M82" s="291">
        <f t="shared" si="3"/>
        <v>144100</v>
      </c>
      <c r="N82" s="148"/>
      <c r="O82" s="149"/>
    </row>
    <row r="83" spans="1:15" ht="17.100000000000001" customHeight="1">
      <c r="A83" s="77"/>
      <c r="B83" s="78" t="s">
        <v>40</v>
      </c>
      <c r="C83" s="79" t="s">
        <v>42</v>
      </c>
      <c r="D83" s="80">
        <f>D38+D45+D69+D74+D77+D78+D82</f>
        <v>0</v>
      </c>
      <c r="E83" s="80">
        <f>E38+E45+E69+E74+E77+E78+E82</f>
        <v>7.5</v>
      </c>
      <c r="F83" s="80">
        <f t="shared" ref="F83:I83" si="11">F38+F45+F69+F74+F77+F78+F82</f>
        <v>25.5</v>
      </c>
      <c r="G83" s="80">
        <f t="shared" si="11"/>
        <v>78</v>
      </c>
      <c r="H83" s="80">
        <f>H38+H45+H69+H74+H77+H78+H82</f>
        <v>84</v>
      </c>
      <c r="I83" s="80">
        <f t="shared" si="11"/>
        <v>10</v>
      </c>
      <c r="J83" s="81">
        <f>SUM(D83:I83)</f>
        <v>205</v>
      </c>
      <c r="K83" s="651" t="s">
        <v>43</v>
      </c>
      <c r="L83" s="652"/>
      <c r="M83" s="82"/>
      <c r="N83" s="83"/>
      <c r="O83" s="84"/>
    </row>
    <row r="84" spans="1:15" ht="17.100000000000001" customHeight="1" thickBot="1">
      <c r="A84" s="85"/>
      <c r="B84" s="86"/>
      <c r="C84" s="87" t="s">
        <v>44</v>
      </c>
      <c r="D84" s="118">
        <f>D83*D37</f>
        <v>0</v>
      </c>
      <c r="E84" s="118">
        <f t="shared" ref="E84:I84" si="12">E83*E37</f>
        <v>466500</v>
      </c>
      <c r="F84" s="118">
        <f t="shared" si="12"/>
        <v>1407600</v>
      </c>
      <c r="G84" s="118">
        <f t="shared" si="12"/>
        <v>3533400</v>
      </c>
      <c r="H84" s="118">
        <f t="shared" si="12"/>
        <v>2990400</v>
      </c>
      <c r="I84" s="118">
        <f t="shared" si="12"/>
        <v>316000</v>
      </c>
      <c r="J84" s="341">
        <f>+D37*D83+E37*E83+F37*F83+G37*G83+H37*H83+I37*I83</f>
        <v>8713900</v>
      </c>
      <c r="K84" s="653" t="s">
        <v>45</v>
      </c>
      <c r="L84" s="654"/>
      <c r="M84" s="88"/>
      <c r="N84" s="5"/>
      <c r="O84" s="84"/>
    </row>
    <row r="85" spans="1:15" ht="17.100000000000001" customHeight="1">
      <c r="A85" s="89"/>
      <c r="B85" s="90"/>
      <c r="C85" s="90"/>
      <c r="D85" s="90"/>
      <c r="E85" s="91"/>
      <c r="F85" s="91"/>
      <c r="G85" s="91"/>
      <c r="H85" s="91"/>
      <c r="I85" s="91"/>
      <c r="J85" s="91"/>
      <c r="K85" s="91"/>
      <c r="L85" s="91"/>
      <c r="M85" s="88"/>
      <c r="N85" s="5"/>
      <c r="O85" s="92"/>
    </row>
    <row r="86" spans="1:15" ht="17.100000000000001" customHeight="1" thickBot="1">
      <c r="A86" s="93" t="s">
        <v>54</v>
      </c>
      <c r="B86" s="94"/>
      <c r="C86" s="94"/>
      <c r="D86" s="94"/>
      <c r="E86" s="95"/>
      <c r="F86" s="95"/>
      <c r="G86" s="95"/>
      <c r="H86" s="95"/>
      <c r="I86" s="95"/>
      <c r="J86" s="95"/>
      <c r="K86" s="95"/>
      <c r="L86" s="95"/>
      <c r="M86" s="5"/>
      <c r="N86" s="5"/>
    </row>
    <row r="87" spans="1:15" ht="17.100000000000001" customHeight="1" thickBot="1">
      <c r="A87" s="655" t="s">
        <v>46</v>
      </c>
      <c r="B87" s="656"/>
      <c r="C87" s="657"/>
      <c r="D87" s="17" t="s">
        <v>47</v>
      </c>
      <c r="E87" s="96" t="s">
        <v>48</v>
      </c>
      <c r="F87" s="17" t="s">
        <v>49</v>
      </c>
      <c r="G87" s="658" t="s">
        <v>13</v>
      </c>
      <c r="H87" s="657"/>
      <c r="I87" s="658" t="s">
        <v>14</v>
      </c>
      <c r="J87" s="656"/>
      <c r="K87" s="656"/>
      <c r="L87" s="659"/>
    </row>
    <row r="88" spans="1:15" ht="17.100000000000001" customHeight="1" thickTop="1">
      <c r="A88" s="67" t="s">
        <v>65</v>
      </c>
      <c r="B88" s="97" t="s">
        <v>112</v>
      </c>
      <c r="C88" s="98"/>
      <c r="D88" s="99" t="s">
        <v>183</v>
      </c>
      <c r="E88" s="100">
        <v>1</v>
      </c>
      <c r="F88" s="119"/>
      <c r="G88" s="660">
        <f>+E88*F88</f>
        <v>0</v>
      </c>
      <c r="H88" s="661"/>
      <c r="I88" s="662"/>
      <c r="J88" s="663"/>
      <c r="K88" s="663"/>
      <c r="L88" s="664"/>
    </row>
    <row r="89" spans="1:15" ht="17.100000000000001" customHeight="1">
      <c r="A89" s="139"/>
      <c r="B89" s="140" t="s">
        <v>180</v>
      </c>
      <c r="C89" s="141"/>
      <c r="D89" s="142" t="s">
        <v>179</v>
      </c>
      <c r="E89" s="143">
        <v>3</v>
      </c>
      <c r="F89" s="143"/>
      <c r="G89" s="667">
        <f>+E89*F89</f>
        <v>0</v>
      </c>
      <c r="H89" s="668"/>
      <c r="I89" s="669" t="s">
        <v>219</v>
      </c>
      <c r="J89" s="670"/>
      <c r="K89" s="670"/>
      <c r="L89" s="671"/>
    </row>
    <row r="90" spans="1:15" ht="17.100000000000001" customHeight="1">
      <c r="A90" s="139"/>
      <c r="B90" s="140" t="s">
        <v>113</v>
      </c>
      <c r="C90" s="141"/>
      <c r="D90" s="321" t="s">
        <v>179</v>
      </c>
      <c r="E90" s="322">
        <v>36</v>
      </c>
      <c r="F90" s="143"/>
      <c r="G90" s="667">
        <f>+E90*F90</f>
        <v>0</v>
      </c>
      <c r="H90" s="668"/>
      <c r="I90" s="669" t="s">
        <v>218</v>
      </c>
      <c r="J90" s="670"/>
      <c r="K90" s="670"/>
      <c r="L90" s="671"/>
    </row>
    <row r="91" spans="1:15" ht="17.100000000000001" customHeight="1">
      <c r="A91" s="70" t="s">
        <v>68</v>
      </c>
      <c r="B91" s="101" t="s">
        <v>114</v>
      </c>
      <c r="C91" s="102"/>
      <c r="D91" s="142" t="s">
        <v>183</v>
      </c>
      <c r="E91" s="320">
        <v>1</v>
      </c>
      <c r="F91" s="103"/>
      <c r="G91" s="679">
        <f>SUM(G92:H93)</f>
        <v>30000</v>
      </c>
      <c r="H91" s="680"/>
      <c r="I91" s="669"/>
      <c r="J91" s="670"/>
      <c r="K91" s="670"/>
      <c r="L91" s="671"/>
    </row>
    <row r="92" spans="1:15" ht="17.100000000000001" customHeight="1">
      <c r="A92" s="160"/>
      <c r="B92" s="161" t="s">
        <v>115</v>
      </c>
      <c r="C92" s="162"/>
      <c r="D92" s="163" t="s">
        <v>183</v>
      </c>
      <c r="E92" s="164">
        <v>1</v>
      </c>
      <c r="F92" s="165"/>
      <c r="G92" s="667">
        <v>25000</v>
      </c>
      <c r="H92" s="668"/>
      <c r="I92" s="669" t="s">
        <v>117</v>
      </c>
      <c r="J92" s="670"/>
      <c r="K92" s="670"/>
      <c r="L92" s="671"/>
    </row>
    <row r="93" spans="1:15" ht="17.100000000000001" customHeight="1">
      <c r="A93" s="70"/>
      <c r="B93" s="101" t="s">
        <v>116</v>
      </c>
      <c r="C93" s="102"/>
      <c r="D93" s="374" t="s">
        <v>183</v>
      </c>
      <c r="E93" s="375">
        <v>1</v>
      </c>
      <c r="F93" s="103"/>
      <c r="G93" s="667">
        <v>5000</v>
      </c>
      <c r="H93" s="668"/>
      <c r="I93" s="669" t="s">
        <v>181</v>
      </c>
      <c r="J93" s="670"/>
      <c r="K93" s="670"/>
      <c r="L93" s="671"/>
    </row>
    <row r="94" spans="1:15" ht="17.100000000000001" customHeight="1" thickBot="1">
      <c r="A94" s="367"/>
      <c r="B94" s="368" t="s">
        <v>242</v>
      </c>
      <c r="C94" s="369"/>
      <c r="D94" s="370" t="s">
        <v>179</v>
      </c>
      <c r="E94" s="104">
        <v>1</v>
      </c>
      <c r="F94" s="371"/>
      <c r="G94" s="682">
        <v>15000</v>
      </c>
      <c r="H94" s="683"/>
      <c r="I94" s="372"/>
      <c r="J94" s="372"/>
      <c r="K94" s="372"/>
      <c r="L94" s="373"/>
    </row>
    <row r="95" spans="1:15" ht="17.100000000000001" customHeight="1" thickBot="1">
      <c r="A95" s="106"/>
      <c r="B95" s="95" t="s">
        <v>40</v>
      </c>
      <c r="C95" s="107"/>
      <c r="D95" s="108"/>
      <c r="E95" s="109"/>
      <c r="F95" s="110"/>
      <c r="G95" s="677">
        <f>G88+G91+G94</f>
        <v>45000</v>
      </c>
      <c r="H95" s="678"/>
      <c r="I95" s="111"/>
      <c r="J95" s="111"/>
      <c r="K95" s="111"/>
      <c r="L95" s="112"/>
      <c r="O95" s="84"/>
    </row>
    <row r="96" spans="1:15" ht="22.5" customHeight="1"/>
  </sheetData>
  <mergeCells count="155">
    <mergeCell ref="G95:H95"/>
    <mergeCell ref="G91:H91"/>
    <mergeCell ref="I91:L91"/>
    <mergeCell ref="G92:H92"/>
    <mergeCell ref="I92:L92"/>
    <mergeCell ref="G93:H93"/>
    <mergeCell ref="I93:L93"/>
    <mergeCell ref="G88:H88"/>
    <mergeCell ref="I88:L88"/>
    <mergeCell ref="G89:H89"/>
    <mergeCell ref="I89:L89"/>
    <mergeCell ref="G90:H90"/>
    <mergeCell ref="I90:L90"/>
    <mergeCell ref="B82:C82"/>
    <mergeCell ref="K82:L82"/>
    <mergeCell ref="K83:L83"/>
    <mergeCell ref="K84:L84"/>
    <mergeCell ref="A87:C87"/>
    <mergeCell ref="G87:H87"/>
    <mergeCell ref="I87:L87"/>
    <mergeCell ref="B79:C79"/>
    <mergeCell ref="K79:L79"/>
    <mergeCell ref="B80:C80"/>
    <mergeCell ref="K80:L80"/>
    <mergeCell ref="B81:C81"/>
    <mergeCell ref="K81:L81"/>
    <mergeCell ref="B76:C76"/>
    <mergeCell ref="K76:L76"/>
    <mergeCell ref="B77:C77"/>
    <mergeCell ref="K77:L77"/>
    <mergeCell ref="B78:C78"/>
    <mergeCell ref="K78:L78"/>
    <mergeCell ref="B73:C73"/>
    <mergeCell ref="K73:L73"/>
    <mergeCell ref="B74:C74"/>
    <mergeCell ref="K74:L74"/>
    <mergeCell ref="B75:C75"/>
    <mergeCell ref="K75:L75"/>
    <mergeCell ref="B70:C70"/>
    <mergeCell ref="K70:L70"/>
    <mergeCell ref="B71:C71"/>
    <mergeCell ref="K71:L71"/>
    <mergeCell ref="B72:C72"/>
    <mergeCell ref="K72:L72"/>
    <mergeCell ref="B67:C67"/>
    <mergeCell ref="K67:L67"/>
    <mergeCell ref="B68:C68"/>
    <mergeCell ref="K68:L68"/>
    <mergeCell ref="B69:C69"/>
    <mergeCell ref="K69:L69"/>
    <mergeCell ref="B64:C64"/>
    <mergeCell ref="K64:L64"/>
    <mergeCell ref="B65:C65"/>
    <mergeCell ref="K65:L65"/>
    <mergeCell ref="B66:C66"/>
    <mergeCell ref="K66:L66"/>
    <mergeCell ref="B61:C61"/>
    <mergeCell ref="K61:L61"/>
    <mergeCell ref="B62:C62"/>
    <mergeCell ref="K62:L62"/>
    <mergeCell ref="B63:C63"/>
    <mergeCell ref="K63:L63"/>
    <mergeCell ref="B59:C59"/>
    <mergeCell ref="K59:L59"/>
    <mergeCell ref="B60:C60"/>
    <mergeCell ref="K60:L60"/>
    <mergeCell ref="B55:C55"/>
    <mergeCell ref="K55:L55"/>
    <mergeCell ref="B56:C56"/>
    <mergeCell ref="K56:L56"/>
    <mergeCell ref="B57:C57"/>
    <mergeCell ref="K57:L57"/>
    <mergeCell ref="B53:C53"/>
    <mergeCell ref="K53:L53"/>
    <mergeCell ref="B54:C54"/>
    <mergeCell ref="K54:L54"/>
    <mergeCell ref="B49:C49"/>
    <mergeCell ref="K49:L49"/>
    <mergeCell ref="B50:C50"/>
    <mergeCell ref="K50:L50"/>
    <mergeCell ref="B58:C58"/>
    <mergeCell ref="K58:L58"/>
    <mergeCell ref="O39:P39"/>
    <mergeCell ref="B40:C40"/>
    <mergeCell ref="K40:L40"/>
    <mergeCell ref="B41:C41"/>
    <mergeCell ref="K41:L41"/>
    <mergeCell ref="B42:C42"/>
    <mergeCell ref="K42:L42"/>
    <mergeCell ref="O50:R50"/>
    <mergeCell ref="B51:C51"/>
    <mergeCell ref="K51:L51"/>
    <mergeCell ref="B46:C46"/>
    <mergeCell ref="K46:L46"/>
    <mergeCell ref="O46:Q46"/>
    <mergeCell ref="B47:C47"/>
    <mergeCell ref="K47:L47"/>
    <mergeCell ref="B48:C48"/>
    <mergeCell ref="K48:L48"/>
    <mergeCell ref="M31:N31"/>
    <mergeCell ref="E32:F32"/>
    <mergeCell ref="M32:N32"/>
    <mergeCell ref="E33:F33"/>
    <mergeCell ref="M33:N33"/>
    <mergeCell ref="B43:C43"/>
    <mergeCell ref="K43:L43"/>
    <mergeCell ref="B44:C44"/>
    <mergeCell ref="K44:L44"/>
    <mergeCell ref="M28:N28"/>
    <mergeCell ref="E29:F29"/>
    <mergeCell ref="M29:N29"/>
    <mergeCell ref="E30:F30"/>
    <mergeCell ref="M30:N30"/>
    <mergeCell ref="E25:F25"/>
    <mergeCell ref="M25:N25"/>
    <mergeCell ref="E26:F26"/>
    <mergeCell ref="M26:N26"/>
    <mergeCell ref="E27:F27"/>
    <mergeCell ref="M27:N27"/>
    <mergeCell ref="M23:N23"/>
    <mergeCell ref="E24:F24"/>
    <mergeCell ref="M24:N24"/>
    <mergeCell ref="J8:K9"/>
    <mergeCell ref="C9:G9"/>
    <mergeCell ref="A10:B10"/>
    <mergeCell ref="A11:B11"/>
    <mergeCell ref="B15:G18"/>
    <mergeCell ref="I15:L15"/>
    <mergeCell ref="I16:L16"/>
    <mergeCell ref="I17:L17"/>
    <mergeCell ref="I18:L18"/>
    <mergeCell ref="A1:L1"/>
    <mergeCell ref="A4:C5"/>
    <mergeCell ref="J4:K4"/>
    <mergeCell ref="J5:K5"/>
    <mergeCell ref="J6:K6"/>
    <mergeCell ref="E7:F7"/>
    <mergeCell ref="J7:K7"/>
    <mergeCell ref="G94:H94"/>
    <mergeCell ref="I21:L21"/>
    <mergeCell ref="A23:D23"/>
    <mergeCell ref="E23:F23"/>
    <mergeCell ref="G23:L23"/>
    <mergeCell ref="E28:F28"/>
    <mergeCell ref="A36:C37"/>
    <mergeCell ref="K36:L37"/>
    <mergeCell ref="B38:C38"/>
    <mergeCell ref="K38:L38"/>
    <mergeCell ref="B39:C39"/>
    <mergeCell ref="K39:L39"/>
    <mergeCell ref="E31:F31"/>
    <mergeCell ref="B45:C45"/>
    <mergeCell ref="K45:L45"/>
    <mergeCell ref="B52:C52"/>
    <mergeCell ref="K52:L52"/>
  </mergeCells>
  <phoneticPr fontId="4"/>
  <printOptions horizontalCentered="1"/>
  <pageMargins left="0.39370078740157483" right="0.39370078740157483" top="0.39370078740157483" bottom="0.39370078740157483" header="0.39370078740157483" footer="0.39370078740157483"/>
  <pageSetup paperSize="9" scale="69" fitToHeight="0" orientation="portrait" r:id="rId1"/>
  <headerFooter>
    <oddFooter>&amp;R&amp;"ＭＳ ゴシック,標準"&amp;10株式会社プレック研究所</oddFooter>
  </headerFooter>
  <rowBreaks count="1" manualBreakCount="1">
    <brk id="33" max="11" man="1"/>
  </rowBreaks>
  <colBreaks count="1" manualBreakCount="1">
    <brk id="11" max="91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256A-8609-49E1-A2ED-DE23F4885A2F}">
  <sheetPr>
    <tabColor theme="4" tint="0.79998168889431442"/>
    <pageSetUpPr fitToPage="1"/>
  </sheetPr>
  <dimension ref="A1:O31"/>
  <sheetViews>
    <sheetView view="pageBreakPreview" zoomScaleNormal="100" zoomScaleSheetLayoutView="100" workbookViewId="0">
      <selection activeCell="E27" sqref="E27"/>
    </sheetView>
  </sheetViews>
  <sheetFormatPr defaultColWidth="8.25" defaultRowHeight="12"/>
  <cols>
    <col min="1" max="1" width="3.625" style="478" customWidth="1"/>
    <col min="2" max="2" width="7.75" style="479" customWidth="1"/>
    <col min="3" max="3" width="9.25" style="479" customWidth="1"/>
    <col min="4" max="6" width="9.25" style="480" customWidth="1"/>
    <col min="7" max="7" width="3.375" style="480" customWidth="1"/>
    <col min="8" max="8" width="9.25" style="480" customWidth="1"/>
    <col min="9" max="9" width="11.375" style="480" customWidth="1"/>
    <col min="10" max="10" width="18.375" style="480" customWidth="1"/>
    <col min="11" max="16384" width="8.25" style="480"/>
  </cols>
  <sheetData>
    <row r="1" spans="1:10" ht="21" customHeight="1"/>
    <row r="2" spans="1:10" ht="36" customHeight="1">
      <c r="A2" s="717" t="s">
        <v>283</v>
      </c>
      <c r="B2" s="717"/>
      <c r="C2" s="717"/>
      <c r="D2" s="717"/>
      <c r="E2" s="717"/>
      <c r="F2" s="717"/>
      <c r="G2" s="717"/>
      <c r="H2" s="717"/>
      <c r="I2" s="717"/>
      <c r="J2" s="717"/>
    </row>
    <row r="3" spans="1:10" ht="26.25" customHeight="1">
      <c r="J3" s="136">
        <v>45321</v>
      </c>
    </row>
    <row r="4" spans="1:10" ht="32.1" customHeight="1">
      <c r="J4" s="481"/>
    </row>
    <row r="5" spans="1:10" ht="23.45" customHeight="1">
      <c r="A5" s="718" t="s">
        <v>290</v>
      </c>
      <c r="B5" s="718"/>
      <c r="C5" s="718"/>
      <c r="D5" s="718"/>
      <c r="E5" s="718"/>
      <c r="I5" s="482" t="s">
        <v>1</v>
      </c>
      <c r="J5" s="7" t="s">
        <v>50</v>
      </c>
    </row>
    <row r="6" spans="1:10" ht="24.95" customHeight="1">
      <c r="A6" s="719"/>
      <c r="B6" s="719"/>
      <c r="C6" s="719"/>
      <c r="D6" s="719"/>
      <c r="E6" s="719"/>
      <c r="F6" s="483"/>
      <c r="I6" s="484" t="s">
        <v>284</v>
      </c>
      <c r="J6" s="138">
        <v>45747</v>
      </c>
    </row>
    <row r="7" spans="1:10" ht="24.95" customHeight="1">
      <c r="A7" s="485"/>
      <c r="B7" s="486"/>
      <c r="C7" s="487"/>
      <c r="D7" s="488"/>
      <c r="I7" s="489" t="s">
        <v>285</v>
      </c>
      <c r="J7" s="11" t="s">
        <v>4</v>
      </c>
    </row>
    <row r="8" spans="1:10" ht="24.95" customHeight="1">
      <c r="B8" s="490"/>
      <c r="C8" s="720" t="s">
        <v>287</v>
      </c>
      <c r="D8" s="720"/>
      <c r="E8" s="720"/>
      <c r="I8" s="489" t="s">
        <v>286</v>
      </c>
      <c r="J8" s="11" t="s">
        <v>5</v>
      </c>
    </row>
    <row r="9" spans="1:10" ht="12.6" customHeight="1">
      <c r="A9" s="722" t="s">
        <v>52</v>
      </c>
      <c r="B9" s="722"/>
      <c r="C9" s="721"/>
      <c r="D9" s="721"/>
      <c r="E9" s="721"/>
      <c r="F9" s="10"/>
      <c r="G9" s="10"/>
      <c r="I9" s="723" t="s">
        <v>288</v>
      </c>
      <c r="J9" s="11" t="s">
        <v>63</v>
      </c>
    </row>
    <row r="10" spans="1:10" ht="12.6" customHeight="1">
      <c r="B10" s="493"/>
      <c r="C10" s="490"/>
      <c r="D10" s="491"/>
      <c r="E10" s="491"/>
      <c r="I10" s="724"/>
      <c r="J10" s="502" t="s">
        <v>291</v>
      </c>
    </row>
    <row r="11" spans="1:10" ht="18.600000000000001" customHeight="1">
      <c r="B11" s="493"/>
      <c r="C11" s="490"/>
      <c r="D11" s="491"/>
      <c r="E11" s="491"/>
    </row>
    <row r="12" spans="1:10" ht="18.600000000000001" customHeight="1">
      <c r="B12" s="493"/>
      <c r="C12" s="494"/>
      <c r="D12" s="491"/>
      <c r="E12" s="491"/>
    </row>
    <row r="13" spans="1:10" ht="32.1" customHeight="1">
      <c r="A13" s="492" t="s">
        <v>289</v>
      </c>
      <c r="B13" s="492"/>
      <c r="C13" s="503" t="s">
        <v>292</v>
      </c>
      <c r="D13" s="492"/>
      <c r="E13" s="492"/>
      <c r="F13" s="492"/>
      <c r="G13" s="492"/>
      <c r="H13" s="495"/>
    </row>
    <row r="14" spans="1:10" ht="32.1" customHeight="1">
      <c r="I14" s="496"/>
    </row>
    <row r="15" spans="1:10" ht="32.1" customHeight="1"/>
    <row r="16" spans="1:10" ht="18.95" customHeight="1">
      <c r="B16" s="505" t="s">
        <v>7</v>
      </c>
      <c r="H16" s="497"/>
    </row>
    <row r="17" spans="2:15" ht="32.1" customHeight="1">
      <c r="B17" s="506" t="s">
        <v>8</v>
      </c>
    </row>
    <row r="18" spans="2:15" s="498" customFormat="1" ht="26.1" customHeight="1">
      <c r="B18" s="725" t="s">
        <v>293</v>
      </c>
      <c r="C18" s="726"/>
      <c r="D18" s="726"/>
      <c r="E18" s="726"/>
      <c r="F18" s="726"/>
      <c r="G18" s="726"/>
      <c r="H18" s="726"/>
      <c r="I18" s="726"/>
      <c r="J18" s="727"/>
    </row>
    <row r="19" spans="2:15" s="498" customFormat="1" ht="26.1" customHeight="1">
      <c r="B19" s="728" t="s">
        <v>294</v>
      </c>
      <c r="C19" s="729"/>
      <c r="D19" s="729"/>
      <c r="E19" s="729"/>
      <c r="F19" s="729"/>
      <c r="G19" s="729"/>
      <c r="H19" s="729"/>
      <c r="I19" s="729"/>
      <c r="J19" s="730"/>
    </row>
    <row r="20" spans="2:15" s="498" customFormat="1" ht="26.1" customHeight="1">
      <c r="B20" s="731"/>
      <c r="C20" s="732"/>
      <c r="D20" s="732"/>
      <c r="E20" s="732"/>
      <c r="F20" s="732"/>
      <c r="G20" s="732"/>
      <c r="H20" s="732"/>
      <c r="I20" s="732"/>
      <c r="J20" s="733"/>
    </row>
    <row r="21" spans="2:15" s="498" customFormat="1" ht="26.1" customHeight="1">
      <c r="B21" s="731"/>
      <c r="C21" s="732"/>
      <c r="D21" s="732"/>
      <c r="E21" s="732"/>
      <c r="F21" s="732"/>
      <c r="G21" s="732"/>
      <c r="H21" s="732"/>
      <c r="I21" s="732"/>
      <c r="J21" s="733"/>
    </row>
    <row r="22" spans="2:15" s="498" customFormat="1" ht="26.1" customHeight="1">
      <c r="B22" s="734"/>
      <c r="C22" s="735"/>
      <c r="D22" s="735"/>
      <c r="E22" s="735"/>
      <c r="F22" s="735"/>
      <c r="G22" s="735"/>
      <c r="H22" s="735"/>
      <c r="I22" s="735"/>
      <c r="J22" s="736"/>
    </row>
    <row r="23" spans="2:15" s="498" customFormat="1" ht="26.1" customHeight="1">
      <c r="B23" s="734"/>
      <c r="C23" s="735"/>
      <c r="D23" s="735"/>
      <c r="E23" s="735"/>
      <c r="F23" s="735"/>
      <c r="G23" s="735"/>
      <c r="H23" s="735"/>
      <c r="I23" s="735"/>
      <c r="J23" s="736"/>
    </row>
    <row r="24" spans="2:15" s="498" customFormat="1" ht="26.1" customHeight="1">
      <c r="B24" s="714"/>
      <c r="C24" s="715"/>
      <c r="D24" s="715"/>
      <c r="E24" s="715"/>
      <c r="F24" s="715"/>
      <c r="G24" s="715"/>
      <c r="H24" s="715"/>
      <c r="I24" s="715"/>
      <c r="J24" s="716"/>
    </row>
    <row r="25" spans="2:15" s="498" customFormat="1" ht="26.1" customHeight="1">
      <c r="B25" s="504"/>
      <c r="C25" s="504"/>
      <c r="D25" s="504"/>
      <c r="E25" s="504"/>
      <c r="F25" s="504"/>
      <c r="G25" s="504"/>
      <c r="H25" s="504"/>
      <c r="I25" s="504"/>
      <c r="J25" s="504"/>
    </row>
    <row r="26" spans="2:15" s="498" customFormat="1" ht="26.1" customHeight="1">
      <c r="B26" s="504"/>
      <c r="C26" s="504"/>
      <c r="D26" s="504"/>
      <c r="E26" s="504"/>
      <c r="F26" s="504"/>
      <c r="G26" s="504"/>
      <c r="H26" s="504"/>
      <c r="I26" s="504"/>
      <c r="J26" s="504"/>
    </row>
    <row r="27" spans="2:15" s="499" customFormat="1" ht="26.1" customHeight="1"/>
    <row r="28" spans="2:15" s="499" customFormat="1" ht="26.1" customHeight="1">
      <c r="B28" s="498"/>
      <c r="F28" s="500"/>
      <c r="G28" s="500"/>
      <c r="H28" s="737" t="s">
        <v>295</v>
      </c>
      <c r="I28" s="737"/>
      <c r="J28" s="737"/>
      <c r="L28" s="579"/>
      <c r="M28" s="579"/>
      <c r="N28" s="579"/>
      <c r="O28" s="579"/>
    </row>
    <row r="29" spans="2:15" s="499" customFormat="1" ht="26.1" customHeight="1">
      <c r="F29" s="501"/>
      <c r="G29" s="501"/>
      <c r="H29" s="737" t="s">
        <v>9</v>
      </c>
      <c r="I29" s="737"/>
      <c r="J29" s="737"/>
      <c r="L29" s="579"/>
      <c r="M29" s="579"/>
      <c r="N29" s="579"/>
      <c r="O29" s="579"/>
    </row>
    <row r="30" spans="2:15" s="499" customFormat="1" ht="26.1" customHeight="1">
      <c r="F30" s="500"/>
      <c r="G30" s="500"/>
      <c r="H30" s="738" t="s">
        <v>55</v>
      </c>
      <c r="I30" s="738"/>
      <c r="J30" s="738"/>
      <c r="L30" s="579"/>
      <c r="M30" s="579"/>
      <c r="N30" s="579"/>
      <c r="O30" s="579"/>
    </row>
    <row r="31" spans="2:15" s="499" customFormat="1" ht="26.1" customHeight="1">
      <c r="F31" s="500"/>
      <c r="G31" s="500"/>
      <c r="H31" s="737" t="s">
        <v>296</v>
      </c>
      <c r="I31" s="737"/>
      <c r="J31" s="737"/>
      <c r="L31" s="579"/>
      <c r="M31" s="579"/>
      <c r="N31" s="579"/>
      <c r="O31" s="579"/>
    </row>
  </sheetData>
  <mergeCells count="20">
    <mergeCell ref="H31:J31"/>
    <mergeCell ref="L31:O31"/>
    <mergeCell ref="H28:J28"/>
    <mergeCell ref="L28:O28"/>
    <mergeCell ref="H29:J29"/>
    <mergeCell ref="L29:O29"/>
    <mergeCell ref="H30:J30"/>
    <mergeCell ref="L30:O30"/>
    <mergeCell ref="B24:J24"/>
    <mergeCell ref="A2:J2"/>
    <mergeCell ref="A5:E6"/>
    <mergeCell ref="C8:E9"/>
    <mergeCell ref="A9:B9"/>
    <mergeCell ref="I9:I10"/>
    <mergeCell ref="B18:J18"/>
    <mergeCell ref="B19:J19"/>
    <mergeCell ref="B20:J20"/>
    <mergeCell ref="B21:J21"/>
    <mergeCell ref="B22:J22"/>
    <mergeCell ref="B23:J23"/>
  </mergeCells>
  <phoneticPr fontId="4"/>
  <pageMargins left="0.7" right="0.7" top="0.75" bottom="0.75" header="0.3" footer="0.3"/>
  <pageSetup paperSize="9" scale="87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29E2-5CC9-4D54-A7B6-CD2B067B4BFD}">
  <sheetPr>
    <tabColor theme="4" tint="0.79998168889431442"/>
    <pageSetUpPr fitToPage="1"/>
  </sheetPr>
  <dimension ref="A1:G31"/>
  <sheetViews>
    <sheetView tabSelected="1" topLeftCell="A16" zoomScale="85" zoomScaleNormal="85" workbookViewId="0">
      <selection activeCell="H22" sqref="H22"/>
    </sheetView>
  </sheetViews>
  <sheetFormatPr defaultColWidth="8.625" defaultRowHeight="12"/>
  <cols>
    <col min="1" max="1" width="29.75" style="294" customWidth="1"/>
    <col min="2" max="2" width="4.875" style="294" customWidth="1"/>
    <col min="3" max="3" width="5.5" style="294" customWidth="1"/>
    <col min="4" max="4" width="9.625" style="294" customWidth="1"/>
    <col min="5" max="5" width="13.25" style="294" customWidth="1"/>
    <col min="6" max="6" width="27.125" style="294" customWidth="1"/>
    <col min="7" max="7" width="11.625" style="294" customWidth="1"/>
    <col min="8" max="16384" width="8.625" style="294"/>
  </cols>
  <sheetData>
    <row r="1" spans="1:7" ht="24" customHeight="1">
      <c r="A1" s="739" t="s">
        <v>184</v>
      </c>
      <c r="B1" s="739"/>
      <c r="C1" s="739"/>
      <c r="D1" s="739"/>
      <c r="E1" s="739"/>
      <c r="F1" s="739"/>
      <c r="G1" s="293"/>
    </row>
    <row r="2" spans="1:7" ht="45.95" customHeight="1">
      <c r="A2" s="740" t="s">
        <v>259</v>
      </c>
      <c r="B2" s="740"/>
      <c r="C2" s="740"/>
      <c r="D2" s="740"/>
      <c r="E2" s="740"/>
      <c r="F2" s="740"/>
      <c r="G2" s="293"/>
    </row>
    <row r="3" spans="1:7" ht="24" customHeight="1" thickBot="1">
      <c r="A3" s="292" t="s">
        <v>245</v>
      </c>
      <c r="B3" s="292"/>
      <c r="C3" s="292"/>
      <c r="D3" s="292"/>
      <c r="E3" s="292"/>
      <c r="F3" s="292"/>
      <c r="G3" s="293"/>
    </row>
    <row r="4" spans="1:7" ht="24.95" customHeight="1">
      <c r="A4" s="295" t="s">
        <v>185</v>
      </c>
      <c r="B4" s="296" t="s">
        <v>186</v>
      </c>
      <c r="C4" s="296" t="s">
        <v>187</v>
      </c>
      <c r="D4" s="296" t="s">
        <v>188</v>
      </c>
      <c r="E4" s="296" t="s">
        <v>189</v>
      </c>
      <c r="F4" s="297" t="s">
        <v>190</v>
      </c>
      <c r="G4" s="298"/>
    </row>
    <row r="5" spans="1:7" ht="24" customHeight="1">
      <c r="A5" s="299" t="s">
        <v>191</v>
      </c>
      <c r="B5" s="300" t="s">
        <v>182</v>
      </c>
      <c r="C5" s="301">
        <v>1</v>
      </c>
      <c r="D5" s="302"/>
      <c r="E5" s="314">
        <f>'参考見積書（造園）_0205'!J37</f>
        <v>1319850</v>
      </c>
      <c r="F5" s="303"/>
      <c r="G5" s="298"/>
    </row>
    <row r="6" spans="1:7" ht="24" customHeight="1">
      <c r="A6" s="299" t="s">
        <v>192</v>
      </c>
      <c r="B6" s="300" t="s">
        <v>182</v>
      </c>
      <c r="C6" s="301">
        <v>1</v>
      </c>
      <c r="D6" s="302"/>
      <c r="E6" s="314">
        <f>'参考見積書（造園）_0205'!J47</f>
        <v>3846650</v>
      </c>
      <c r="F6" s="303"/>
      <c r="G6" s="298"/>
    </row>
    <row r="7" spans="1:7" ht="24.95" customHeight="1">
      <c r="A7" s="299" t="s">
        <v>193</v>
      </c>
      <c r="B7" s="300" t="s">
        <v>182</v>
      </c>
      <c r="C7" s="301">
        <v>1</v>
      </c>
      <c r="D7" s="302"/>
      <c r="E7" s="314">
        <f>'参考見積書（造園）_0205'!J67</f>
        <v>1811000</v>
      </c>
      <c r="F7" s="303"/>
      <c r="G7" s="298"/>
    </row>
    <row r="8" spans="1:7" ht="24" customHeight="1">
      <c r="A8" s="299" t="s">
        <v>194</v>
      </c>
      <c r="B8" s="300" t="s">
        <v>182</v>
      </c>
      <c r="C8" s="301">
        <v>1</v>
      </c>
      <c r="D8" s="302"/>
      <c r="E8" s="314">
        <f>'参考見積書（造園）_0205'!J71</f>
        <v>333700</v>
      </c>
      <c r="F8" s="303"/>
      <c r="G8" s="298"/>
    </row>
    <row r="9" spans="1:7" ht="24.95" customHeight="1">
      <c r="A9" s="299" t="s">
        <v>195</v>
      </c>
      <c r="B9" s="300" t="s">
        <v>182</v>
      </c>
      <c r="C9" s="301">
        <v>1</v>
      </c>
      <c r="D9" s="302"/>
      <c r="E9" s="314">
        <f>'参考見積書（造園）_0205'!J74</f>
        <v>638600</v>
      </c>
      <c r="F9" s="303"/>
      <c r="G9" s="298"/>
    </row>
    <row r="10" spans="1:7" ht="24" customHeight="1">
      <c r="A10" s="299" t="s">
        <v>196</v>
      </c>
      <c r="B10" s="300" t="s">
        <v>182</v>
      </c>
      <c r="C10" s="301">
        <v>1</v>
      </c>
      <c r="D10" s="302"/>
      <c r="E10" s="429">
        <f>'参考見積書（造園）_0205'!J75</f>
        <v>976200</v>
      </c>
      <c r="F10" s="303"/>
      <c r="G10" s="298"/>
    </row>
    <row r="11" spans="1:7" ht="24.95" customHeight="1" thickBot="1">
      <c r="A11" s="361" t="s">
        <v>197</v>
      </c>
      <c r="B11" s="362" t="s">
        <v>182</v>
      </c>
      <c r="C11" s="363">
        <v>1</v>
      </c>
      <c r="D11" s="364"/>
      <c r="E11" s="430">
        <f>'参考見積書（造園）_0205'!J79</f>
        <v>144100</v>
      </c>
      <c r="F11" s="365"/>
      <c r="G11" s="298"/>
    </row>
    <row r="12" spans="1:7" ht="24" customHeight="1" thickTop="1" thickBot="1">
      <c r="A12" s="355" t="s">
        <v>198</v>
      </c>
      <c r="B12" s="356" t="s">
        <v>182</v>
      </c>
      <c r="C12" s="357">
        <v>1</v>
      </c>
      <c r="D12" s="358"/>
      <c r="E12" s="359">
        <f>E5+E6+E7+E8+E9+E10+E11</f>
        <v>9070100</v>
      </c>
      <c r="F12" s="360"/>
      <c r="G12" s="298"/>
    </row>
    <row r="13" spans="1:7" ht="24" customHeight="1" thickBot="1">
      <c r="A13" s="292" t="s">
        <v>246</v>
      </c>
      <c r="B13" s="404"/>
      <c r="C13" s="405"/>
      <c r="D13" s="298"/>
      <c r="E13" s="407"/>
      <c r="F13" s="298"/>
      <c r="G13" s="298"/>
    </row>
    <row r="14" spans="1:7" ht="24" customHeight="1">
      <c r="A14" s="395" t="s">
        <v>207</v>
      </c>
      <c r="B14" s="396" t="s">
        <v>297</v>
      </c>
      <c r="C14" s="397">
        <v>1</v>
      </c>
      <c r="D14" s="398"/>
      <c r="E14" s="408">
        <f>'参考見積書（造園）変更箇所反映'!G86</f>
        <v>5000</v>
      </c>
      <c r="F14" s="400"/>
      <c r="G14" s="298"/>
    </row>
    <row r="15" spans="1:7" ht="24.95" customHeight="1" thickBot="1">
      <c r="A15" s="361" t="s">
        <v>206</v>
      </c>
      <c r="B15" s="362" t="s">
        <v>182</v>
      </c>
      <c r="C15" s="363">
        <v>1</v>
      </c>
      <c r="D15" s="364"/>
      <c r="E15" s="366">
        <f>'参考見積書（造園）変更箇所反映'!G89</f>
        <v>30000</v>
      </c>
      <c r="F15" s="365"/>
      <c r="G15" s="298"/>
    </row>
    <row r="16" spans="1:7" ht="24" customHeight="1" thickTop="1" thickBot="1">
      <c r="A16" s="355" t="s">
        <v>208</v>
      </c>
      <c r="B16" s="356" t="s">
        <v>182</v>
      </c>
      <c r="C16" s="357">
        <v>1</v>
      </c>
      <c r="D16" s="358"/>
      <c r="E16" s="359">
        <f>E14+E15</f>
        <v>35000</v>
      </c>
      <c r="F16" s="360"/>
      <c r="G16" s="298"/>
    </row>
    <row r="17" spans="1:7" ht="24" customHeight="1" thickBot="1">
      <c r="A17" s="423"/>
      <c r="B17" s="419"/>
      <c r="C17" s="420"/>
      <c r="D17" s="421"/>
      <c r="E17" s="422"/>
      <c r="F17" s="421"/>
      <c r="G17" s="298"/>
    </row>
    <row r="18" spans="1:7" ht="24.95" customHeight="1">
      <c r="A18" s="304" t="s">
        <v>244</v>
      </c>
      <c r="B18" s="305" t="s">
        <v>297</v>
      </c>
      <c r="C18" s="306">
        <v>1</v>
      </c>
      <c r="D18" s="307"/>
      <c r="E18" s="318">
        <f>E12</f>
        <v>9070100</v>
      </c>
      <c r="F18" s="308"/>
      <c r="G18" s="298"/>
    </row>
    <row r="19" spans="1:7" ht="24.95" customHeight="1">
      <c r="A19" s="304" t="s">
        <v>208</v>
      </c>
      <c r="B19" s="305" t="s">
        <v>297</v>
      </c>
      <c r="C19" s="306">
        <v>1</v>
      </c>
      <c r="D19" s="307"/>
      <c r="E19" s="318">
        <f>E16</f>
        <v>35000</v>
      </c>
      <c r="F19" s="308"/>
      <c r="G19" s="298"/>
    </row>
    <row r="20" spans="1:7" ht="24" customHeight="1">
      <c r="A20" s="299" t="s">
        <v>199</v>
      </c>
      <c r="B20" s="305" t="s">
        <v>297</v>
      </c>
      <c r="C20" s="301">
        <v>1</v>
      </c>
      <c r="D20" s="302"/>
      <c r="E20" s="316">
        <f>+ROUNDDOWN(E12*0.5385,0)</f>
        <v>4884248</v>
      </c>
      <c r="F20" s="303" t="s">
        <v>298</v>
      </c>
      <c r="G20" s="298"/>
    </row>
    <row r="21" spans="1:7" ht="24.95" customHeight="1">
      <c r="A21" s="299" t="s">
        <v>200</v>
      </c>
      <c r="B21" s="305" t="s">
        <v>297</v>
      </c>
      <c r="C21" s="301">
        <v>1</v>
      </c>
      <c r="D21" s="302"/>
      <c r="E21" s="315">
        <f>E18+E19+E20</f>
        <v>13989348</v>
      </c>
      <c r="F21" s="438" t="s">
        <v>24</v>
      </c>
      <c r="G21" s="298"/>
    </row>
    <row r="22" spans="1:7" ht="24" customHeight="1" thickBot="1">
      <c r="A22" s="309" t="s">
        <v>201</v>
      </c>
      <c r="B22" s="310" t="s">
        <v>297</v>
      </c>
      <c r="C22" s="311">
        <v>1</v>
      </c>
      <c r="D22" s="828">
        <v>-2611</v>
      </c>
      <c r="E22" s="317">
        <f>+ROUNDDOWN(E21*0.5385,0)+D22</f>
        <v>7530652</v>
      </c>
      <c r="F22" s="439" t="s">
        <v>313</v>
      </c>
      <c r="G22" s="298"/>
    </row>
    <row r="23" spans="1:7" ht="24" customHeight="1">
      <c r="A23" s="304" t="s">
        <v>202</v>
      </c>
      <c r="B23" s="305" t="s">
        <v>182</v>
      </c>
      <c r="C23" s="306">
        <v>1</v>
      </c>
      <c r="D23" s="307"/>
      <c r="E23" s="318">
        <f>E21+E22</f>
        <v>21520000</v>
      </c>
      <c r="F23" s="308"/>
      <c r="G23" s="298"/>
    </row>
    <row r="24" spans="1:7" ht="24" customHeight="1">
      <c r="A24" s="299" t="s">
        <v>278</v>
      </c>
      <c r="B24" s="300" t="s">
        <v>182</v>
      </c>
      <c r="C24" s="301">
        <v>1</v>
      </c>
      <c r="D24" s="302"/>
      <c r="E24" s="316">
        <f>E23*(1/10)</f>
        <v>2152000</v>
      </c>
      <c r="F24" s="303"/>
      <c r="G24" s="298"/>
    </row>
    <row r="25" spans="1:7" ht="24" customHeight="1" thickBot="1">
      <c r="A25" s="309" t="s">
        <v>279</v>
      </c>
      <c r="B25" s="310" t="s">
        <v>182</v>
      </c>
      <c r="C25" s="311">
        <v>1</v>
      </c>
      <c r="D25" s="312"/>
      <c r="E25" s="319">
        <f>E23+E24</f>
        <v>23672000</v>
      </c>
      <c r="F25" s="313"/>
      <c r="G25" s="298"/>
    </row>
    <row r="26" spans="1:7" s="435" customFormat="1" ht="24" customHeight="1" thickBot="1">
      <c r="A26" s="292" t="s">
        <v>262</v>
      </c>
      <c r="B26" s="431"/>
      <c r="C26" s="432"/>
      <c r="D26" s="433"/>
      <c r="E26" s="434"/>
      <c r="F26" s="433"/>
    </row>
    <row r="27" spans="1:7" ht="24.75" customHeight="1">
      <c r="A27" s="464" t="s">
        <v>261</v>
      </c>
      <c r="B27" s="465"/>
      <c r="C27" s="465"/>
      <c r="D27" s="465"/>
      <c r="E27" s="466">
        <f>+'※修正不要  横浜市様式 (建築)_0205'!E22</f>
        <v>26300000</v>
      </c>
      <c r="F27" s="467" t="s">
        <v>272</v>
      </c>
    </row>
    <row r="28" spans="1:7" ht="24.75" customHeight="1" thickBot="1">
      <c r="A28" s="468" t="s">
        <v>260</v>
      </c>
      <c r="B28" s="469"/>
      <c r="C28" s="469"/>
      <c r="D28" s="469"/>
      <c r="E28" s="470">
        <f>E23</f>
        <v>21520000</v>
      </c>
      <c r="F28" s="471" t="s">
        <v>273</v>
      </c>
    </row>
    <row r="29" spans="1:7" ht="24.75" customHeight="1" thickTop="1">
      <c r="A29" s="741" t="s">
        <v>277</v>
      </c>
      <c r="B29" s="742"/>
      <c r="C29" s="742"/>
      <c r="D29" s="742"/>
      <c r="E29" s="472">
        <f>E27+E28</f>
        <v>47820000</v>
      </c>
      <c r="F29" s="473" t="s">
        <v>274</v>
      </c>
    </row>
    <row r="30" spans="1:7" ht="24.75" customHeight="1">
      <c r="A30" s="743" t="s">
        <v>278</v>
      </c>
      <c r="B30" s="744"/>
      <c r="C30" s="744"/>
      <c r="D30" s="745"/>
      <c r="E30" s="474">
        <f>E29*(1/10)</f>
        <v>4782000</v>
      </c>
      <c r="F30" s="475"/>
    </row>
    <row r="31" spans="1:7" ht="24.75" customHeight="1" thickBot="1">
      <c r="A31" s="746" t="s">
        <v>279</v>
      </c>
      <c r="B31" s="747"/>
      <c r="C31" s="747"/>
      <c r="D31" s="748"/>
      <c r="E31" s="476">
        <f>E29+E30</f>
        <v>52602000</v>
      </c>
      <c r="F31" s="477" t="s">
        <v>280</v>
      </c>
    </row>
  </sheetData>
  <mergeCells count="5">
    <mergeCell ref="A1:F1"/>
    <mergeCell ref="A2:F2"/>
    <mergeCell ref="A29:D29"/>
    <mergeCell ref="A30:D30"/>
    <mergeCell ref="A31:D31"/>
  </mergeCells>
  <phoneticPr fontId="4"/>
  <printOptions horizontalCentered="1"/>
  <pageMargins left="0.39370078740157483" right="0.39370078740157483" top="0.39370078740157483" bottom="0.39370078740157483" header="0.39370078740157483" footer="0.39370078740157483"/>
  <pageSetup paperSize="9" scale="96" orientation="portrait" r:id="rId1"/>
  <headerFooter>
    <oddFooter>&amp;R&amp;"BIZ UDPゴシック,標準"&amp;8株式会社プレック研究所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5238-12BD-4F55-AE93-CCDA2A1A661C}">
  <sheetPr>
    <tabColor theme="4" tint="0.79998168889431442"/>
    <pageSetUpPr fitToPage="1"/>
  </sheetPr>
  <dimension ref="A1:G25"/>
  <sheetViews>
    <sheetView topLeftCell="A11" zoomScale="85" zoomScaleNormal="85" workbookViewId="0">
      <selection activeCell="L12" sqref="L12"/>
    </sheetView>
  </sheetViews>
  <sheetFormatPr defaultColWidth="8.625" defaultRowHeight="12"/>
  <cols>
    <col min="1" max="1" width="29.75" style="294" customWidth="1"/>
    <col min="2" max="2" width="4.875" style="294" customWidth="1"/>
    <col min="3" max="3" width="5.5" style="294" customWidth="1"/>
    <col min="4" max="4" width="9.625" style="294" customWidth="1"/>
    <col min="5" max="5" width="13.25" style="294" customWidth="1"/>
    <col min="6" max="6" width="27.125" style="294" customWidth="1"/>
    <col min="7" max="7" width="11.625" style="294" customWidth="1"/>
    <col min="8" max="16384" width="8.625" style="294"/>
  </cols>
  <sheetData>
    <row r="1" spans="1:7" ht="24" customHeight="1">
      <c r="A1" s="739" t="s">
        <v>276</v>
      </c>
      <c r="B1" s="739"/>
      <c r="C1" s="739"/>
      <c r="D1" s="739"/>
      <c r="E1" s="739"/>
      <c r="F1" s="739"/>
      <c r="G1" s="293"/>
    </row>
    <row r="2" spans="1:7" ht="45.95" customHeight="1">
      <c r="A2" s="740" t="s">
        <v>258</v>
      </c>
      <c r="B2" s="740"/>
      <c r="C2" s="740"/>
      <c r="D2" s="740"/>
      <c r="E2" s="740"/>
      <c r="F2" s="740"/>
      <c r="G2" s="293"/>
    </row>
    <row r="3" spans="1:7" ht="24" customHeight="1" thickBot="1">
      <c r="A3" s="292" t="s">
        <v>245</v>
      </c>
      <c r="B3" s="292"/>
      <c r="C3" s="292"/>
      <c r="D3" s="292"/>
      <c r="E3" s="292"/>
      <c r="F3" s="292"/>
      <c r="G3" s="293"/>
    </row>
    <row r="4" spans="1:7" ht="24.95" customHeight="1">
      <c r="A4" s="295" t="s">
        <v>185</v>
      </c>
      <c r="B4" s="296" t="s">
        <v>186</v>
      </c>
      <c r="C4" s="296" t="s">
        <v>187</v>
      </c>
      <c r="D4" s="296" t="s">
        <v>188</v>
      </c>
      <c r="E4" s="296" t="s">
        <v>189</v>
      </c>
      <c r="F4" s="297" t="s">
        <v>190</v>
      </c>
      <c r="G4" s="298"/>
    </row>
    <row r="5" spans="1:7" ht="24" customHeight="1">
      <c r="A5" s="299" t="s">
        <v>191</v>
      </c>
      <c r="B5" s="300" t="s">
        <v>182</v>
      </c>
      <c r="C5" s="301">
        <v>1</v>
      </c>
      <c r="D5" s="302"/>
      <c r="E5" s="314">
        <v>0</v>
      </c>
      <c r="F5" s="303"/>
      <c r="G5" s="298"/>
    </row>
    <row r="6" spans="1:7" ht="24" customHeight="1">
      <c r="A6" s="299" t="s">
        <v>192</v>
      </c>
      <c r="B6" s="300" t="s">
        <v>182</v>
      </c>
      <c r="C6" s="301">
        <v>1</v>
      </c>
      <c r="D6" s="302"/>
      <c r="E6" s="314" cm="1">
        <f t="array" ref="E6:F6">'参考見積書（建築）_0205'!E21:F21</f>
        <v>10893600</v>
      </c>
      <c r="F6" s="303">
        <v>0</v>
      </c>
      <c r="G6" s="298"/>
    </row>
    <row r="7" spans="1:7" ht="24.95" customHeight="1">
      <c r="A7" s="299" t="s">
        <v>193</v>
      </c>
      <c r="B7" s="300" t="s">
        <v>182</v>
      </c>
      <c r="C7" s="301">
        <v>1</v>
      </c>
      <c r="D7" s="302"/>
      <c r="E7" s="314">
        <v>0</v>
      </c>
      <c r="F7" s="303"/>
      <c r="G7" s="298"/>
    </row>
    <row r="8" spans="1:7" ht="24" customHeight="1">
      <c r="A8" s="299" t="s">
        <v>194</v>
      </c>
      <c r="B8" s="300" t="s">
        <v>182</v>
      </c>
      <c r="C8" s="301">
        <v>1</v>
      </c>
      <c r="D8" s="302"/>
      <c r="E8" s="314">
        <v>0</v>
      </c>
      <c r="F8" s="303"/>
      <c r="G8" s="298"/>
    </row>
    <row r="9" spans="1:7" ht="24.95" customHeight="1">
      <c r="A9" s="299" t="s">
        <v>195</v>
      </c>
      <c r="B9" s="300" t="s">
        <v>182</v>
      </c>
      <c r="C9" s="301">
        <v>1</v>
      </c>
      <c r="D9" s="302"/>
      <c r="E9" s="314">
        <v>0</v>
      </c>
      <c r="F9" s="303"/>
      <c r="G9" s="298"/>
    </row>
    <row r="10" spans="1:7" ht="24" customHeight="1">
      <c r="A10" s="299" t="s">
        <v>196</v>
      </c>
      <c r="B10" s="300" t="s">
        <v>182</v>
      </c>
      <c r="C10" s="301">
        <v>1</v>
      </c>
      <c r="D10" s="302"/>
      <c r="E10" s="429">
        <v>0</v>
      </c>
      <c r="F10" s="303"/>
      <c r="G10" s="298"/>
    </row>
    <row r="11" spans="1:7" ht="24.95" customHeight="1" thickBot="1">
      <c r="A11" s="361" t="s">
        <v>197</v>
      </c>
      <c r="B11" s="362" t="s">
        <v>182</v>
      </c>
      <c r="C11" s="363">
        <v>1</v>
      </c>
      <c r="D11" s="364"/>
      <c r="E11" s="430">
        <v>0</v>
      </c>
      <c r="F11" s="365"/>
      <c r="G11" s="298"/>
    </row>
    <row r="12" spans="1:7" ht="24" customHeight="1" thickTop="1" thickBot="1">
      <c r="A12" s="355" t="s">
        <v>198</v>
      </c>
      <c r="B12" s="356" t="s">
        <v>182</v>
      </c>
      <c r="C12" s="357">
        <v>1</v>
      </c>
      <c r="D12" s="358"/>
      <c r="E12" s="359">
        <f>E5+E6+E7+E8+E9+E10+E11</f>
        <v>10893600</v>
      </c>
      <c r="F12" s="360"/>
      <c r="G12" s="298"/>
    </row>
    <row r="13" spans="1:7" ht="24" customHeight="1" thickBot="1">
      <c r="A13" s="292" t="s">
        <v>246</v>
      </c>
      <c r="B13" s="404"/>
      <c r="C13" s="405"/>
      <c r="D13" s="298"/>
      <c r="E13" s="407"/>
      <c r="F13" s="298"/>
      <c r="G13" s="298"/>
    </row>
    <row r="14" spans="1:7" ht="24" customHeight="1">
      <c r="A14" s="395" t="s">
        <v>207</v>
      </c>
      <c r="B14" s="396" t="s">
        <v>182</v>
      </c>
      <c r="C14" s="397">
        <v>1</v>
      </c>
      <c r="D14" s="398"/>
      <c r="E14" s="408">
        <f>'参考見積書（建築）'!G78</f>
        <v>0</v>
      </c>
      <c r="F14" s="400"/>
      <c r="G14" s="298"/>
    </row>
    <row r="15" spans="1:7" ht="24.95" customHeight="1" thickBot="1">
      <c r="A15" s="361" t="s">
        <v>206</v>
      </c>
      <c r="B15" s="362" t="s">
        <v>182</v>
      </c>
      <c r="C15" s="363">
        <v>1</v>
      </c>
      <c r="D15" s="364"/>
      <c r="E15" s="366">
        <f>'参考見積書（建築）'!G84</f>
        <v>0</v>
      </c>
      <c r="F15" s="365"/>
      <c r="G15" s="298"/>
    </row>
    <row r="16" spans="1:7" ht="24" customHeight="1" thickTop="1" thickBot="1">
      <c r="A16" s="355" t="s">
        <v>208</v>
      </c>
      <c r="B16" s="356" t="s">
        <v>182</v>
      </c>
      <c r="C16" s="357">
        <v>1</v>
      </c>
      <c r="D16" s="358"/>
      <c r="E16" s="359">
        <f>E14+E15</f>
        <v>0</v>
      </c>
      <c r="F16" s="360"/>
      <c r="G16" s="298"/>
    </row>
    <row r="17" spans="1:7" ht="24" customHeight="1" thickBot="1">
      <c r="A17" s="424"/>
      <c r="B17" s="425"/>
      <c r="C17" s="426"/>
      <c r="D17" s="427"/>
      <c r="E17" s="428"/>
      <c r="F17" s="427"/>
      <c r="G17" s="298"/>
    </row>
    <row r="18" spans="1:7" ht="24" customHeight="1">
      <c r="A18" s="395" t="s">
        <v>244</v>
      </c>
      <c r="B18" s="396" t="s">
        <v>297</v>
      </c>
      <c r="C18" s="397">
        <v>1</v>
      </c>
      <c r="D18" s="398"/>
      <c r="E18" s="399">
        <f>E12</f>
        <v>10893600</v>
      </c>
      <c r="F18" s="400"/>
      <c r="G18" s="298"/>
    </row>
    <row r="19" spans="1:7" ht="24.95" customHeight="1">
      <c r="A19" s="304" t="s">
        <v>208</v>
      </c>
      <c r="B19" s="305" t="s">
        <v>182</v>
      </c>
      <c r="C19" s="306">
        <v>1</v>
      </c>
      <c r="D19" s="307"/>
      <c r="E19" s="318">
        <f>0</f>
        <v>0</v>
      </c>
      <c r="F19" s="308"/>
      <c r="G19" s="298"/>
    </row>
    <row r="20" spans="1:7" ht="24.95" customHeight="1">
      <c r="A20" s="401" t="s">
        <v>231</v>
      </c>
      <c r="B20" s="300" t="s">
        <v>182</v>
      </c>
      <c r="C20" s="301">
        <v>1</v>
      </c>
      <c r="D20" s="302"/>
      <c r="E20" s="316">
        <f>+E18*1.1</f>
        <v>11982960.000000002</v>
      </c>
      <c r="F20" s="437" t="s">
        <v>233</v>
      </c>
      <c r="G20" s="298"/>
    </row>
    <row r="21" spans="1:7" ht="24.75" customHeight="1" thickBot="1">
      <c r="A21" s="402" t="s">
        <v>232</v>
      </c>
      <c r="B21" s="310" t="s">
        <v>182</v>
      </c>
      <c r="C21" s="311">
        <v>1</v>
      </c>
      <c r="D21" s="828">
        <v>-8044</v>
      </c>
      <c r="E21" s="319">
        <f>+(E18+E20)*0.15+D21</f>
        <v>3423440</v>
      </c>
      <c r="F21" s="436" t="s">
        <v>312</v>
      </c>
      <c r="G21" s="298"/>
    </row>
    <row r="22" spans="1:7" ht="24.75" customHeight="1">
      <c r="A22" s="304" t="s">
        <v>202</v>
      </c>
      <c r="B22" s="305" t="s">
        <v>182</v>
      </c>
      <c r="C22" s="306">
        <v>1</v>
      </c>
      <c r="D22" s="307"/>
      <c r="E22" s="318">
        <f>+E18+E19+E20+E21</f>
        <v>26300000</v>
      </c>
      <c r="F22" s="308" t="s">
        <v>205</v>
      </c>
    </row>
    <row r="23" spans="1:7" ht="24.75" customHeight="1">
      <c r="A23" s="299" t="s">
        <v>203</v>
      </c>
      <c r="B23" s="300" t="s">
        <v>182</v>
      </c>
      <c r="C23" s="301">
        <v>1</v>
      </c>
      <c r="D23" s="302"/>
      <c r="E23" s="316">
        <f>E22*(1/10)</f>
        <v>2630000</v>
      </c>
      <c r="F23" s="303"/>
    </row>
    <row r="24" spans="1:7" ht="24.75" customHeight="1" thickBot="1">
      <c r="A24" s="309" t="s">
        <v>204</v>
      </c>
      <c r="B24" s="310" t="s">
        <v>182</v>
      </c>
      <c r="C24" s="311">
        <v>1</v>
      </c>
      <c r="D24" s="312"/>
      <c r="E24" s="319">
        <f>E22+E23</f>
        <v>28930000</v>
      </c>
      <c r="F24" s="313"/>
    </row>
    <row r="25" spans="1:7" ht="13.5">
      <c r="A25" s="403"/>
      <c r="B25" s="404"/>
      <c r="C25" s="405"/>
      <c r="D25" s="298"/>
      <c r="E25" s="406"/>
      <c r="F25" s="298"/>
    </row>
  </sheetData>
  <mergeCells count="2">
    <mergeCell ref="A1:F1"/>
    <mergeCell ref="A2:F2"/>
  </mergeCells>
  <phoneticPr fontId="4"/>
  <printOptions horizontalCentered="1"/>
  <pageMargins left="0.39370078740157483" right="0.39370078740157483" top="0.39370078740157483" bottom="0.39370078740157483" header="0.39370078740157483" footer="0.39370078740157483"/>
  <pageSetup paperSize="9" scale="96" orientation="portrait" r:id="rId1"/>
  <headerFooter>
    <oddFooter>&amp;R&amp;"BIZ UDPゴシック,標準"&amp;8株式会社プレック研究所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E146C-139E-41F4-B262-DB5649049917}">
  <sheetPr codeName="Sheet4">
    <pageSetUpPr fitToPage="1"/>
  </sheetPr>
  <dimension ref="A1:O31"/>
  <sheetViews>
    <sheetView view="pageBreakPreview" topLeftCell="A5" zoomScaleNormal="100" zoomScaleSheetLayoutView="100" workbookViewId="0">
      <selection activeCell="C8" sqref="C8:E9"/>
    </sheetView>
  </sheetViews>
  <sheetFormatPr defaultColWidth="8.25" defaultRowHeight="12"/>
  <cols>
    <col min="1" max="1" width="3.625" style="478" customWidth="1"/>
    <col min="2" max="2" width="7.75" style="479" customWidth="1"/>
    <col min="3" max="3" width="9.25" style="479" customWidth="1"/>
    <col min="4" max="6" width="9.25" style="480" customWidth="1"/>
    <col min="7" max="7" width="3.375" style="480" customWidth="1"/>
    <col min="8" max="8" width="9.25" style="480" customWidth="1"/>
    <col min="9" max="9" width="11.375" style="480" customWidth="1"/>
    <col min="10" max="10" width="18.375" style="480" customWidth="1"/>
    <col min="11" max="16384" width="8.25" style="480"/>
  </cols>
  <sheetData>
    <row r="1" spans="1:10" ht="21" customHeight="1"/>
    <row r="2" spans="1:10" ht="36" customHeight="1">
      <c r="A2" s="717" t="s">
        <v>283</v>
      </c>
      <c r="B2" s="717"/>
      <c r="C2" s="717"/>
      <c r="D2" s="717"/>
      <c r="E2" s="717"/>
      <c r="F2" s="717"/>
      <c r="G2" s="717"/>
      <c r="H2" s="717"/>
      <c r="I2" s="717"/>
      <c r="J2" s="717"/>
    </row>
    <row r="3" spans="1:10" ht="26.25" customHeight="1">
      <c r="J3" s="136">
        <v>45321</v>
      </c>
    </row>
    <row r="4" spans="1:10" ht="32.1" customHeight="1">
      <c r="J4" s="481"/>
    </row>
    <row r="5" spans="1:10" ht="23.45" customHeight="1">
      <c r="A5" s="718" t="s">
        <v>290</v>
      </c>
      <c r="B5" s="718"/>
      <c r="C5" s="718"/>
      <c r="D5" s="718"/>
      <c r="E5" s="718"/>
      <c r="I5" s="482" t="s">
        <v>1</v>
      </c>
      <c r="J5" s="7" t="s">
        <v>50</v>
      </c>
    </row>
    <row r="6" spans="1:10" ht="24.95" customHeight="1">
      <c r="A6" s="719"/>
      <c r="B6" s="719"/>
      <c r="C6" s="719"/>
      <c r="D6" s="719"/>
      <c r="E6" s="719"/>
      <c r="F6" s="483"/>
      <c r="I6" s="484" t="s">
        <v>284</v>
      </c>
      <c r="J6" s="138">
        <v>45747</v>
      </c>
    </row>
    <row r="7" spans="1:10" ht="24.95" customHeight="1">
      <c r="A7" s="485"/>
      <c r="B7" s="486"/>
      <c r="C7" s="487"/>
      <c r="D7" s="488"/>
      <c r="I7" s="489" t="s">
        <v>285</v>
      </c>
      <c r="J7" s="11" t="s">
        <v>4</v>
      </c>
    </row>
    <row r="8" spans="1:10" ht="24.95" customHeight="1">
      <c r="B8" s="490"/>
      <c r="C8" s="720" t="s">
        <v>287</v>
      </c>
      <c r="D8" s="720"/>
      <c r="E8" s="720"/>
      <c r="I8" s="489" t="s">
        <v>286</v>
      </c>
      <c r="J8" s="11" t="s">
        <v>5</v>
      </c>
    </row>
    <row r="9" spans="1:10" ht="12.6" customHeight="1">
      <c r="A9" s="722" t="s">
        <v>52</v>
      </c>
      <c r="B9" s="722"/>
      <c r="C9" s="721"/>
      <c r="D9" s="721"/>
      <c r="E9" s="721"/>
      <c r="F9" s="10"/>
      <c r="G9" s="10"/>
      <c r="I9" s="723" t="s">
        <v>288</v>
      </c>
      <c r="J9" s="11" t="s">
        <v>63</v>
      </c>
    </row>
    <row r="10" spans="1:10" ht="12.6" customHeight="1">
      <c r="B10" s="493"/>
      <c r="C10" s="490"/>
      <c r="D10" s="491"/>
      <c r="E10" s="491"/>
      <c r="I10" s="724"/>
      <c r="J10" s="502" t="s">
        <v>291</v>
      </c>
    </row>
    <row r="11" spans="1:10" ht="18.600000000000001" customHeight="1">
      <c r="B11" s="493"/>
      <c r="C11" s="490"/>
      <c r="D11" s="491"/>
      <c r="E11" s="491"/>
    </row>
    <row r="12" spans="1:10" ht="18.600000000000001" customHeight="1">
      <c r="B12" s="493"/>
      <c r="C12" s="494"/>
      <c r="D12" s="491"/>
      <c r="E12" s="491"/>
    </row>
    <row r="13" spans="1:10" ht="32.1" customHeight="1">
      <c r="A13" s="492" t="s">
        <v>289</v>
      </c>
      <c r="B13" s="492"/>
      <c r="C13" s="503" t="s">
        <v>292</v>
      </c>
      <c r="D13" s="492"/>
      <c r="E13" s="492"/>
      <c r="F13" s="492"/>
      <c r="G13" s="492"/>
      <c r="H13" s="495"/>
    </row>
    <row r="14" spans="1:10" ht="32.1" customHeight="1">
      <c r="I14" s="496"/>
    </row>
    <row r="15" spans="1:10" ht="32.1" customHeight="1"/>
    <row r="16" spans="1:10" ht="18.95" customHeight="1">
      <c r="B16" s="505" t="s">
        <v>7</v>
      </c>
      <c r="H16" s="497"/>
    </row>
    <row r="17" spans="2:15" ht="32.1" customHeight="1">
      <c r="B17" s="506" t="s">
        <v>8</v>
      </c>
    </row>
    <row r="18" spans="2:15" s="498" customFormat="1" ht="26.1" customHeight="1">
      <c r="B18" s="725" t="s">
        <v>293</v>
      </c>
      <c r="C18" s="726"/>
      <c r="D18" s="726"/>
      <c r="E18" s="726"/>
      <c r="F18" s="726"/>
      <c r="G18" s="726"/>
      <c r="H18" s="726"/>
      <c r="I18" s="726"/>
      <c r="J18" s="727"/>
    </row>
    <row r="19" spans="2:15" s="498" customFormat="1" ht="26.1" customHeight="1">
      <c r="B19" s="728" t="s">
        <v>294</v>
      </c>
      <c r="C19" s="729"/>
      <c r="D19" s="729"/>
      <c r="E19" s="729"/>
      <c r="F19" s="729"/>
      <c r="G19" s="729"/>
      <c r="H19" s="729"/>
      <c r="I19" s="729"/>
      <c r="J19" s="730"/>
    </row>
    <row r="20" spans="2:15" s="498" customFormat="1" ht="26.1" customHeight="1">
      <c r="B20" s="731"/>
      <c r="C20" s="732"/>
      <c r="D20" s="732"/>
      <c r="E20" s="732"/>
      <c r="F20" s="732"/>
      <c r="G20" s="732"/>
      <c r="H20" s="732"/>
      <c r="I20" s="732"/>
      <c r="J20" s="733"/>
    </row>
    <row r="21" spans="2:15" s="498" customFormat="1" ht="26.1" customHeight="1">
      <c r="B21" s="731"/>
      <c r="C21" s="732"/>
      <c r="D21" s="732"/>
      <c r="E21" s="732"/>
      <c r="F21" s="732"/>
      <c r="G21" s="732"/>
      <c r="H21" s="732"/>
      <c r="I21" s="732"/>
      <c r="J21" s="733"/>
    </row>
    <row r="22" spans="2:15" s="498" customFormat="1" ht="26.1" customHeight="1">
      <c r="B22" s="734"/>
      <c r="C22" s="735"/>
      <c r="D22" s="735"/>
      <c r="E22" s="735"/>
      <c r="F22" s="735"/>
      <c r="G22" s="735"/>
      <c r="H22" s="735"/>
      <c r="I22" s="735"/>
      <c r="J22" s="736"/>
    </row>
    <row r="23" spans="2:15" s="498" customFormat="1" ht="26.1" customHeight="1">
      <c r="B23" s="734"/>
      <c r="C23" s="735"/>
      <c r="D23" s="735"/>
      <c r="E23" s="735"/>
      <c r="F23" s="735"/>
      <c r="G23" s="735"/>
      <c r="H23" s="735"/>
      <c r="I23" s="735"/>
      <c r="J23" s="736"/>
    </row>
    <row r="24" spans="2:15" s="498" customFormat="1" ht="26.1" customHeight="1">
      <c r="B24" s="714"/>
      <c r="C24" s="715"/>
      <c r="D24" s="715"/>
      <c r="E24" s="715"/>
      <c r="F24" s="715"/>
      <c r="G24" s="715"/>
      <c r="H24" s="715"/>
      <c r="I24" s="715"/>
      <c r="J24" s="716"/>
    </row>
    <row r="25" spans="2:15" s="498" customFormat="1" ht="26.1" customHeight="1">
      <c r="B25" s="504"/>
      <c r="C25" s="504"/>
      <c r="D25" s="504"/>
      <c r="E25" s="504"/>
      <c r="F25" s="504"/>
      <c r="G25" s="504"/>
      <c r="H25" s="504"/>
      <c r="I25" s="504"/>
      <c r="J25" s="504"/>
    </row>
    <row r="26" spans="2:15" s="498" customFormat="1" ht="26.1" customHeight="1">
      <c r="B26" s="504"/>
      <c r="C26" s="504"/>
      <c r="D26" s="504"/>
      <c r="E26" s="504"/>
      <c r="F26" s="504"/>
      <c r="G26" s="504"/>
      <c r="H26" s="504"/>
      <c r="I26" s="504"/>
      <c r="J26" s="504"/>
    </row>
    <row r="27" spans="2:15" s="499" customFormat="1" ht="26.1" customHeight="1"/>
    <row r="28" spans="2:15" s="499" customFormat="1" ht="26.1" customHeight="1">
      <c r="B28" s="498"/>
      <c r="F28" s="500"/>
      <c r="G28" s="500"/>
      <c r="H28" s="737" t="s">
        <v>295</v>
      </c>
      <c r="I28" s="737"/>
      <c r="J28" s="737"/>
      <c r="L28" s="579"/>
      <c r="M28" s="579"/>
      <c r="N28" s="579"/>
      <c r="O28" s="579"/>
    </row>
    <row r="29" spans="2:15" s="499" customFormat="1" ht="26.1" customHeight="1">
      <c r="F29" s="501"/>
      <c r="G29" s="501"/>
      <c r="H29" s="737" t="s">
        <v>9</v>
      </c>
      <c r="I29" s="737"/>
      <c r="J29" s="737"/>
      <c r="L29" s="579"/>
      <c r="M29" s="579"/>
      <c r="N29" s="579"/>
      <c r="O29" s="579"/>
    </row>
    <row r="30" spans="2:15" s="499" customFormat="1" ht="26.1" customHeight="1">
      <c r="F30" s="500"/>
      <c r="G30" s="500"/>
      <c r="H30" s="738" t="s">
        <v>55</v>
      </c>
      <c r="I30" s="738"/>
      <c r="J30" s="738"/>
      <c r="L30" s="579"/>
      <c r="M30" s="579"/>
      <c r="N30" s="579"/>
      <c r="O30" s="579"/>
    </row>
    <row r="31" spans="2:15" s="499" customFormat="1" ht="26.1" customHeight="1">
      <c r="F31" s="500"/>
      <c r="G31" s="500"/>
      <c r="H31" s="737" t="s">
        <v>296</v>
      </c>
      <c r="I31" s="737"/>
      <c r="J31" s="737"/>
      <c r="L31" s="579"/>
      <c r="M31" s="579"/>
      <c r="N31" s="579"/>
      <c r="O31" s="579"/>
    </row>
  </sheetData>
  <mergeCells count="20">
    <mergeCell ref="A2:J2"/>
    <mergeCell ref="A5:E6"/>
    <mergeCell ref="A9:B9"/>
    <mergeCell ref="B18:J18"/>
    <mergeCell ref="B19:J19"/>
    <mergeCell ref="L28:O28"/>
    <mergeCell ref="L29:O29"/>
    <mergeCell ref="L30:O30"/>
    <mergeCell ref="L31:O31"/>
    <mergeCell ref="C8:E9"/>
    <mergeCell ref="B23:J23"/>
    <mergeCell ref="B24:J24"/>
    <mergeCell ref="B22:J22"/>
    <mergeCell ref="B21:J21"/>
    <mergeCell ref="H28:J28"/>
    <mergeCell ref="H29:J29"/>
    <mergeCell ref="H30:J30"/>
    <mergeCell ref="H31:J31"/>
    <mergeCell ref="I9:I10"/>
    <mergeCell ref="B20:J20"/>
  </mergeCells>
  <phoneticPr fontId="4"/>
  <pageMargins left="0.7" right="0.7" top="0.75" bottom="0.75" header="0.3" footer="0.3"/>
  <pageSetup paperSize="9" scale="87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E996-805F-4A0C-BE51-C084D945943E}">
  <sheetPr codeName="Sheet5">
    <tabColor theme="5" tint="0.59999389629810485"/>
    <pageSetUpPr fitToPage="1"/>
  </sheetPr>
  <dimension ref="A1:G25"/>
  <sheetViews>
    <sheetView zoomScale="85" zoomScaleNormal="85" workbookViewId="0">
      <selection activeCell="C8" sqref="C8:E9"/>
    </sheetView>
  </sheetViews>
  <sheetFormatPr defaultColWidth="8.625" defaultRowHeight="12"/>
  <cols>
    <col min="1" max="1" width="29.75" style="294" customWidth="1"/>
    <col min="2" max="2" width="4.875" style="294" customWidth="1"/>
    <col min="3" max="3" width="5.5" style="294" customWidth="1"/>
    <col min="4" max="4" width="9.625" style="294" customWidth="1"/>
    <col min="5" max="5" width="13.25" style="294" customWidth="1"/>
    <col min="6" max="6" width="27.125" style="294" customWidth="1"/>
    <col min="7" max="7" width="11.625" style="294" customWidth="1"/>
    <col min="8" max="16384" width="8.625" style="294"/>
  </cols>
  <sheetData>
    <row r="1" spans="1:7" ht="24" customHeight="1">
      <c r="A1" s="739" t="s">
        <v>276</v>
      </c>
      <c r="B1" s="739"/>
      <c r="C1" s="739"/>
      <c r="D1" s="739"/>
      <c r="E1" s="739"/>
      <c r="F1" s="739"/>
      <c r="G1" s="293"/>
    </row>
    <row r="2" spans="1:7" ht="45.95" customHeight="1">
      <c r="A2" s="740" t="s">
        <v>258</v>
      </c>
      <c r="B2" s="740"/>
      <c r="C2" s="740"/>
      <c r="D2" s="740"/>
      <c r="E2" s="740"/>
      <c r="F2" s="740"/>
      <c r="G2" s="293"/>
    </row>
    <row r="3" spans="1:7" ht="24" customHeight="1" thickBot="1">
      <c r="A3" s="292" t="s">
        <v>245</v>
      </c>
      <c r="B3" s="292"/>
      <c r="C3" s="292"/>
      <c r="D3" s="292"/>
      <c r="E3" s="292"/>
      <c r="F3" s="292"/>
      <c r="G3" s="293"/>
    </row>
    <row r="4" spans="1:7" ht="24.95" customHeight="1">
      <c r="A4" s="295" t="s">
        <v>185</v>
      </c>
      <c r="B4" s="296" t="s">
        <v>186</v>
      </c>
      <c r="C4" s="296" t="s">
        <v>187</v>
      </c>
      <c r="D4" s="296" t="s">
        <v>188</v>
      </c>
      <c r="E4" s="296" t="s">
        <v>189</v>
      </c>
      <c r="F4" s="297" t="s">
        <v>190</v>
      </c>
      <c r="G4" s="298"/>
    </row>
    <row r="5" spans="1:7" ht="24" customHeight="1">
      <c r="A5" s="299" t="s">
        <v>191</v>
      </c>
      <c r="B5" s="300" t="s">
        <v>182</v>
      </c>
      <c r="C5" s="301">
        <v>1</v>
      </c>
      <c r="D5" s="302"/>
      <c r="E5" s="314">
        <v>0</v>
      </c>
      <c r="F5" s="303"/>
      <c r="G5" s="298"/>
    </row>
    <row r="6" spans="1:7" ht="24" customHeight="1">
      <c r="A6" s="299" t="s">
        <v>192</v>
      </c>
      <c r="B6" s="300" t="s">
        <v>182</v>
      </c>
      <c r="C6" s="301">
        <v>1</v>
      </c>
      <c r="D6" s="302"/>
      <c r="E6" s="314">
        <f>'参考見積書（建築）'!J38</f>
        <v>11392000</v>
      </c>
      <c r="F6" s="303"/>
      <c r="G6" s="298"/>
    </row>
    <row r="7" spans="1:7" ht="24.95" customHeight="1">
      <c r="A7" s="299" t="s">
        <v>193</v>
      </c>
      <c r="B7" s="300" t="s">
        <v>182</v>
      </c>
      <c r="C7" s="301">
        <v>1</v>
      </c>
      <c r="D7" s="302"/>
      <c r="E7" s="314">
        <v>0</v>
      </c>
      <c r="F7" s="303"/>
      <c r="G7" s="298"/>
    </row>
    <row r="8" spans="1:7" ht="24" customHeight="1">
      <c r="A8" s="299" t="s">
        <v>194</v>
      </c>
      <c r="B8" s="300" t="s">
        <v>182</v>
      </c>
      <c r="C8" s="301">
        <v>1</v>
      </c>
      <c r="D8" s="302"/>
      <c r="E8" s="314">
        <v>0</v>
      </c>
      <c r="F8" s="303"/>
      <c r="G8" s="298"/>
    </row>
    <row r="9" spans="1:7" ht="24.95" customHeight="1">
      <c r="A9" s="299" t="s">
        <v>195</v>
      </c>
      <c r="B9" s="300" t="s">
        <v>182</v>
      </c>
      <c r="C9" s="301">
        <v>1</v>
      </c>
      <c r="D9" s="302"/>
      <c r="E9" s="314">
        <v>0</v>
      </c>
      <c r="F9" s="303"/>
      <c r="G9" s="298"/>
    </row>
    <row r="10" spans="1:7" ht="24" customHeight="1">
      <c r="A10" s="299" t="s">
        <v>196</v>
      </c>
      <c r="B10" s="300" t="s">
        <v>182</v>
      </c>
      <c r="C10" s="301">
        <v>1</v>
      </c>
      <c r="D10" s="302"/>
      <c r="E10" s="429">
        <v>0</v>
      </c>
      <c r="F10" s="303"/>
      <c r="G10" s="298"/>
    </row>
    <row r="11" spans="1:7" ht="24.95" customHeight="1" thickBot="1">
      <c r="A11" s="361" t="s">
        <v>197</v>
      </c>
      <c r="B11" s="362" t="s">
        <v>182</v>
      </c>
      <c r="C11" s="363">
        <v>1</v>
      </c>
      <c r="D11" s="364"/>
      <c r="E11" s="430">
        <v>0</v>
      </c>
      <c r="F11" s="365"/>
      <c r="G11" s="298"/>
    </row>
    <row r="12" spans="1:7" ht="24" customHeight="1" thickTop="1" thickBot="1">
      <c r="A12" s="355" t="s">
        <v>198</v>
      </c>
      <c r="B12" s="356" t="s">
        <v>182</v>
      </c>
      <c r="C12" s="357">
        <v>1</v>
      </c>
      <c r="D12" s="358"/>
      <c r="E12" s="359">
        <f>E5+E6+E7+E8+E9+E10+E11</f>
        <v>11392000</v>
      </c>
      <c r="F12" s="360"/>
      <c r="G12" s="298"/>
    </row>
    <row r="13" spans="1:7" ht="24" customHeight="1" thickBot="1">
      <c r="A13" s="292" t="s">
        <v>246</v>
      </c>
      <c r="B13" s="404"/>
      <c r="C13" s="405"/>
      <c r="D13" s="298"/>
      <c r="E13" s="407"/>
      <c r="F13" s="298"/>
      <c r="G13" s="298"/>
    </row>
    <row r="14" spans="1:7" ht="24" customHeight="1">
      <c r="A14" s="395" t="s">
        <v>207</v>
      </c>
      <c r="B14" s="396" t="s">
        <v>182</v>
      </c>
      <c r="C14" s="397">
        <v>1</v>
      </c>
      <c r="D14" s="398"/>
      <c r="E14" s="408">
        <f>'参考見積書（建築）'!G78</f>
        <v>0</v>
      </c>
      <c r="F14" s="400"/>
      <c r="G14" s="298"/>
    </row>
    <row r="15" spans="1:7" ht="24.95" customHeight="1" thickBot="1">
      <c r="A15" s="361" t="s">
        <v>206</v>
      </c>
      <c r="B15" s="362" t="s">
        <v>182</v>
      </c>
      <c r="C15" s="363">
        <v>1</v>
      </c>
      <c r="D15" s="364"/>
      <c r="E15" s="366">
        <f>'参考見積書（建築）'!G84</f>
        <v>0</v>
      </c>
      <c r="F15" s="365"/>
      <c r="G15" s="298"/>
    </row>
    <row r="16" spans="1:7" ht="24" customHeight="1" thickTop="1" thickBot="1">
      <c r="A16" s="355" t="s">
        <v>208</v>
      </c>
      <c r="B16" s="356" t="s">
        <v>182</v>
      </c>
      <c r="C16" s="357">
        <v>1</v>
      </c>
      <c r="D16" s="358"/>
      <c r="E16" s="359">
        <f>E14+E15</f>
        <v>0</v>
      </c>
      <c r="F16" s="360"/>
      <c r="G16" s="298"/>
    </row>
    <row r="17" spans="1:7" ht="24" customHeight="1" thickBot="1">
      <c r="A17" s="424"/>
      <c r="B17" s="425"/>
      <c r="C17" s="426"/>
      <c r="D17" s="427"/>
      <c r="E17" s="428"/>
      <c r="F17" s="427"/>
      <c r="G17" s="298"/>
    </row>
    <row r="18" spans="1:7" ht="24" customHeight="1">
      <c r="A18" s="395" t="s">
        <v>244</v>
      </c>
      <c r="B18" s="396" t="s">
        <v>297</v>
      </c>
      <c r="C18" s="397">
        <v>1</v>
      </c>
      <c r="D18" s="398"/>
      <c r="E18" s="399">
        <f>E12</f>
        <v>11392000</v>
      </c>
      <c r="F18" s="400"/>
      <c r="G18" s="298"/>
    </row>
    <row r="19" spans="1:7" ht="24.95" customHeight="1">
      <c r="A19" s="304" t="s">
        <v>208</v>
      </c>
      <c r="B19" s="305" t="s">
        <v>182</v>
      </c>
      <c r="C19" s="306">
        <v>1</v>
      </c>
      <c r="D19" s="307"/>
      <c r="E19" s="318">
        <f>0</f>
        <v>0</v>
      </c>
      <c r="F19" s="308"/>
      <c r="G19" s="298"/>
    </row>
    <row r="20" spans="1:7" ht="24.95" customHeight="1">
      <c r="A20" s="401" t="s">
        <v>231</v>
      </c>
      <c r="B20" s="300" t="s">
        <v>182</v>
      </c>
      <c r="C20" s="301">
        <v>1</v>
      </c>
      <c r="D20" s="302"/>
      <c r="E20" s="316">
        <f>'参考見積書（鑑）'!E22</f>
        <v>12531200.000000002</v>
      </c>
      <c r="F20" s="437" t="s">
        <v>233</v>
      </c>
      <c r="G20" s="298"/>
    </row>
    <row r="21" spans="1:7" ht="24.75" customHeight="1" thickBot="1">
      <c r="A21" s="402" t="s">
        <v>232</v>
      </c>
      <c r="B21" s="310" t="s">
        <v>182</v>
      </c>
      <c r="C21" s="311">
        <v>1</v>
      </c>
      <c r="D21" s="312"/>
      <c r="E21" s="319">
        <f>'参考見積書（建築）'!E24</f>
        <v>3588480</v>
      </c>
      <c r="F21" s="436" t="s">
        <v>234</v>
      </c>
      <c r="G21" s="298"/>
    </row>
    <row r="22" spans="1:7" ht="24.75" customHeight="1">
      <c r="A22" s="304" t="s">
        <v>202</v>
      </c>
      <c r="B22" s="305" t="s">
        <v>182</v>
      </c>
      <c r="C22" s="306">
        <v>1</v>
      </c>
      <c r="D22" s="307"/>
      <c r="E22" s="318">
        <f>'参考見積書（鑑）'!E25</f>
        <v>27510000</v>
      </c>
      <c r="F22" s="308" t="s">
        <v>205</v>
      </c>
    </row>
    <row r="23" spans="1:7" ht="24.75" customHeight="1">
      <c r="A23" s="299" t="s">
        <v>203</v>
      </c>
      <c r="B23" s="300" t="s">
        <v>182</v>
      </c>
      <c r="C23" s="301">
        <v>1</v>
      </c>
      <c r="D23" s="302"/>
      <c r="E23" s="316">
        <f>E22*(1/10)</f>
        <v>2751000</v>
      </c>
      <c r="F23" s="303"/>
    </row>
    <row r="24" spans="1:7" ht="24.75" customHeight="1" thickBot="1">
      <c r="A24" s="309" t="s">
        <v>204</v>
      </c>
      <c r="B24" s="310" t="s">
        <v>182</v>
      </c>
      <c r="C24" s="311">
        <v>1</v>
      </c>
      <c r="D24" s="312"/>
      <c r="E24" s="319">
        <f>E22+E23</f>
        <v>30261000</v>
      </c>
      <c r="F24" s="313"/>
    </row>
    <row r="25" spans="1:7" ht="13.5">
      <c r="A25" s="403"/>
      <c r="B25" s="404"/>
      <c r="C25" s="405"/>
      <c r="D25" s="298"/>
      <c r="E25" s="406"/>
      <c r="F25" s="298"/>
    </row>
  </sheetData>
  <mergeCells count="2">
    <mergeCell ref="A1:F1"/>
    <mergeCell ref="A2:F2"/>
  </mergeCells>
  <phoneticPr fontId="4"/>
  <printOptions horizontalCentered="1"/>
  <pageMargins left="0.39370078740157483" right="0.39370078740157483" top="0.39370078740157483" bottom="0.39370078740157483" header="0.39370078740157483" footer="0.39370078740157483"/>
  <pageSetup paperSize="9" scale="96" orientation="portrait" r:id="rId1"/>
  <headerFooter>
    <oddFooter>&amp;R&amp;"BIZ UDPゴシック,標準"&amp;8株式会社プレック研究所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4F0F1-7EBA-4784-A35C-5D6B5878FF20}">
  <sheetPr codeName="Sheet6">
    <tabColor theme="5" tint="0.59999389629810485"/>
    <pageSetUpPr fitToPage="1"/>
  </sheetPr>
  <dimension ref="A1:G31"/>
  <sheetViews>
    <sheetView topLeftCell="A5" zoomScale="85" zoomScaleNormal="85" workbookViewId="0">
      <selection activeCell="C8" sqref="C8:E9"/>
    </sheetView>
  </sheetViews>
  <sheetFormatPr defaultColWidth="8.625" defaultRowHeight="12"/>
  <cols>
    <col min="1" max="1" width="29.75" style="294" customWidth="1"/>
    <col min="2" max="2" width="4.875" style="294" customWidth="1"/>
    <col min="3" max="3" width="5.5" style="294" customWidth="1"/>
    <col min="4" max="4" width="9.625" style="294" customWidth="1"/>
    <col min="5" max="5" width="13.25" style="294" customWidth="1"/>
    <col min="6" max="6" width="27.125" style="294" customWidth="1"/>
    <col min="7" max="7" width="11.625" style="294" customWidth="1"/>
    <col min="8" max="16384" width="8.625" style="294"/>
  </cols>
  <sheetData>
    <row r="1" spans="1:7" ht="24" customHeight="1">
      <c r="A1" s="739" t="s">
        <v>184</v>
      </c>
      <c r="B1" s="739"/>
      <c r="C1" s="739"/>
      <c r="D1" s="739"/>
      <c r="E1" s="739"/>
      <c r="F1" s="739"/>
      <c r="G1" s="293"/>
    </row>
    <row r="2" spans="1:7" ht="45.95" customHeight="1">
      <c r="A2" s="740" t="s">
        <v>259</v>
      </c>
      <c r="B2" s="740"/>
      <c r="C2" s="740"/>
      <c r="D2" s="740"/>
      <c r="E2" s="740"/>
      <c r="F2" s="740"/>
      <c r="G2" s="293"/>
    </row>
    <row r="3" spans="1:7" ht="24" customHeight="1" thickBot="1">
      <c r="A3" s="292" t="s">
        <v>245</v>
      </c>
      <c r="B3" s="292"/>
      <c r="C3" s="292"/>
      <c r="D3" s="292"/>
      <c r="E3" s="292"/>
      <c r="F3" s="292"/>
      <c r="G3" s="293"/>
    </row>
    <row r="4" spans="1:7" ht="24.95" customHeight="1">
      <c r="A4" s="295" t="s">
        <v>185</v>
      </c>
      <c r="B4" s="296" t="s">
        <v>186</v>
      </c>
      <c r="C4" s="296" t="s">
        <v>187</v>
      </c>
      <c r="D4" s="296" t="s">
        <v>188</v>
      </c>
      <c r="E4" s="296" t="s">
        <v>189</v>
      </c>
      <c r="F4" s="297" t="s">
        <v>190</v>
      </c>
      <c r="G4" s="298"/>
    </row>
    <row r="5" spans="1:7" ht="24" customHeight="1">
      <c r="A5" s="299" t="s">
        <v>191</v>
      </c>
      <c r="B5" s="300" t="s">
        <v>182</v>
      </c>
      <c r="C5" s="301">
        <v>1</v>
      </c>
      <c r="D5" s="302"/>
      <c r="E5" s="314">
        <f>'参考見積書（造園）変更箇所反映'!J37</f>
        <v>1319850</v>
      </c>
      <c r="F5" s="303"/>
      <c r="G5" s="298"/>
    </row>
    <row r="6" spans="1:7" ht="24" customHeight="1">
      <c r="A6" s="299" t="s">
        <v>192</v>
      </c>
      <c r="B6" s="300" t="s">
        <v>182</v>
      </c>
      <c r="C6" s="301">
        <v>1</v>
      </c>
      <c r="D6" s="302"/>
      <c r="E6" s="314">
        <f>'参考見積書（造園）変更箇所反映'!J47</f>
        <v>3846650</v>
      </c>
      <c r="F6" s="303"/>
      <c r="G6" s="298"/>
    </row>
    <row r="7" spans="1:7" ht="24.95" customHeight="1">
      <c r="A7" s="299" t="s">
        <v>193</v>
      </c>
      <c r="B7" s="300" t="s">
        <v>182</v>
      </c>
      <c r="C7" s="301">
        <v>1</v>
      </c>
      <c r="D7" s="302"/>
      <c r="E7" s="314">
        <f>'参考見積書（造園）変更箇所反映'!J67</f>
        <v>1811000</v>
      </c>
      <c r="F7" s="303"/>
      <c r="G7" s="298"/>
    </row>
    <row r="8" spans="1:7" ht="24" customHeight="1">
      <c r="A8" s="299" t="s">
        <v>194</v>
      </c>
      <c r="B8" s="300" t="s">
        <v>182</v>
      </c>
      <c r="C8" s="301">
        <v>1</v>
      </c>
      <c r="D8" s="302"/>
      <c r="E8" s="314">
        <f>'参考見積書（造園）変更箇所反映'!J72</f>
        <v>333700</v>
      </c>
      <c r="F8" s="303"/>
      <c r="G8" s="298"/>
    </row>
    <row r="9" spans="1:7" ht="24.95" customHeight="1">
      <c r="A9" s="299" t="s">
        <v>195</v>
      </c>
      <c r="B9" s="300" t="s">
        <v>182</v>
      </c>
      <c r="C9" s="301">
        <v>1</v>
      </c>
      <c r="D9" s="302"/>
      <c r="E9" s="314">
        <f>'参考見積書（造園）変更箇所反映'!J75</f>
        <v>638600</v>
      </c>
      <c r="F9" s="303"/>
      <c r="G9" s="298"/>
    </row>
    <row r="10" spans="1:7" ht="24" customHeight="1">
      <c r="A10" s="299" t="s">
        <v>196</v>
      </c>
      <c r="B10" s="300" t="s">
        <v>182</v>
      </c>
      <c r="C10" s="301">
        <v>1</v>
      </c>
      <c r="D10" s="302"/>
      <c r="E10" s="429">
        <f>'参考見積書（造園）変更箇所反映'!J76</f>
        <v>843200</v>
      </c>
      <c r="F10" s="303"/>
      <c r="G10" s="298"/>
    </row>
    <row r="11" spans="1:7" ht="24.95" customHeight="1" thickBot="1">
      <c r="A11" s="361" t="s">
        <v>197</v>
      </c>
      <c r="B11" s="362" t="s">
        <v>182</v>
      </c>
      <c r="C11" s="363">
        <v>1</v>
      </c>
      <c r="D11" s="364"/>
      <c r="E11" s="430">
        <f>'参考見積書（造園）変更箇所反映'!J80</f>
        <v>144100</v>
      </c>
      <c r="F11" s="365"/>
      <c r="G11" s="298"/>
    </row>
    <row r="12" spans="1:7" ht="24" customHeight="1" thickTop="1" thickBot="1">
      <c r="A12" s="355" t="s">
        <v>198</v>
      </c>
      <c r="B12" s="356" t="s">
        <v>182</v>
      </c>
      <c r="C12" s="357">
        <v>1</v>
      </c>
      <c r="D12" s="358"/>
      <c r="E12" s="359">
        <f>E5+E6+E7+E8+E9+E10+E11</f>
        <v>8937100</v>
      </c>
      <c r="F12" s="360"/>
      <c r="G12" s="298"/>
    </row>
    <row r="13" spans="1:7" ht="24" customHeight="1" thickBot="1">
      <c r="A13" s="292" t="s">
        <v>246</v>
      </c>
      <c r="B13" s="404"/>
      <c r="C13" s="405"/>
      <c r="D13" s="298"/>
      <c r="E13" s="407"/>
      <c r="F13" s="298"/>
      <c r="G13" s="298"/>
    </row>
    <row r="14" spans="1:7" ht="24" customHeight="1">
      <c r="A14" s="395" t="s">
        <v>207</v>
      </c>
      <c r="B14" s="396" t="s">
        <v>297</v>
      </c>
      <c r="C14" s="397">
        <v>1</v>
      </c>
      <c r="D14" s="398"/>
      <c r="E14" s="408">
        <f>'参考見積書（造園）変更箇所反映'!G86</f>
        <v>5000</v>
      </c>
      <c r="F14" s="400"/>
      <c r="G14" s="298"/>
    </row>
    <row r="15" spans="1:7" ht="24.95" customHeight="1" thickBot="1">
      <c r="A15" s="361" t="s">
        <v>206</v>
      </c>
      <c r="B15" s="362" t="s">
        <v>182</v>
      </c>
      <c r="C15" s="363">
        <v>1</v>
      </c>
      <c r="D15" s="364"/>
      <c r="E15" s="366">
        <f>'参考見積書（造園）変更箇所反映'!G89</f>
        <v>30000</v>
      </c>
      <c r="F15" s="365"/>
      <c r="G15" s="298"/>
    </row>
    <row r="16" spans="1:7" ht="24" customHeight="1" thickTop="1" thickBot="1">
      <c r="A16" s="355" t="s">
        <v>208</v>
      </c>
      <c r="B16" s="356" t="s">
        <v>182</v>
      </c>
      <c r="C16" s="357">
        <v>1</v>
      </c>
      <c r="D16" s="358"/>
      <c r="E16" s="359">
        <f>E14+E15</f>
        <v>35000</v>
      </c>
      <c r="F16" s="360"/>
      <c r="G16" s="298"/>
    </row>
    <row r="17" spans="1:7" ht="24" customHeight="1" thickBot="1">
      <c r="A17" s="423"/>
      <c r="B17" s="419"/>
      <c r="C17" s="420"/>
      <c r="D17" s="421"/>
      <c r="E17" s="422"/>
      <c r="F17" s="421"/>
      <c r="G17" s="298"/>
    </row>
    <row r="18" spans="1:7" ht="24.95" customHeight="1">
      <c r="A18" s="304" t="s">
        <v>244</v>
      </c>
      <c r="B18" s="305" t="s">
        <v>297</v>
      </c>
      <c r="C18" s="306">
        <v>1</v>
      </c>
      <c r="D18" s="307"/>
      <c r="E18" s="318">
        <f>E12</f>
        <v>8937100</v>
      </c>
      <c r="F18" s="308"/>
      <c r="G18" s="298"/>
    </row>
    <row r="19" spans="1:7" ht="24.95" customHeight="1">
      <c r="A19" s="304" t="s">
        <v>208</v>
      </c>
      <c r="B19" s="305" t="s">
        <v>297</v>
      </c>
      <c r="C19" s="306">
        <v>1</v>
      </c>
      <c r="D19" s="307"/>
      <c r="E19" s="318">
        <f>E16</f>
        <v>35000</v>
      </c>
      <c r="F19" s="308"/>
      <c r="G19" s="298"/>
    </row>
    <row r="20" spans="1:7" ht="24" customHeight="1">
      <c r="A20" s="299" t="s">
        <v>199</v>
      </c>
      <c r="B20" s="305" t="s">
        <v>297</v>
      </c>
      <c r="C20" s="301">
        <v>1</v>
      </c>
      <c r="D20" s="302"/>
      <c r="E20" s="316">
        <f>+ROUNDDOWN(E12*0.5385,0)</f>
        <v>4812628</v>
      </c>
      <c r="F20" s="303" t="s">
        <v>298</v>
      </c>
      <c r="G20" s="298"/>
    </row>
    <row r="21" spans="1:7" ht="24.95" customHeight="1">
      <c r="A21" s="299" t="s">
        <v>200</v>
      </c>
      <c r="B21" s="305" t="s">
        <v>297</v>
      </c>
      <c r="C21" s="301">
        <v>1</v>
      </c>
      <c r="D21" s="302"/>
      <c r="E21" s="315">
        <f>'参考見積書（造園）変更箇所反映'!E26</f>
        <v>13784728</v>
      </c>
      <c r="F21" s="438" t="s">
        <v>24</v>
      </c>
      <c r="G21" s="298"/>
    </row>
    <row r="22" spans="1:7" ht="24" customHeight="1" thickBot="1">
      <c r="A22" s="309" t="s">
        <v>201</v>
      </c>
      <c r="B22" s="310" t="s">
        <v>297</v>
      </c>
      <c r="C22" s="311">
        <v>1</v>
      </c>
      <c r="D22" s="312"/>
      <c r="E22" s="317">
        <f>'参考見積書（造園）変更箇所反映'!E27</f>
        <v>7423076</v>
      </c>
      <c r="F22" s="439" t="s">
        <v>268</v>
      </c>
      <c r="G22" s="298"/>
    </row>
    <row r="23" spans="1:7" ht="24" customHeight="1">
      <c r="A23" s="304" t="s">
        <v>202</v>
      </c>
      <c r="B23" s="305" t="s">
        <v>182</v>
      </c>
      <c r="C23" s="306">
        <v>1</v>
      </c>
      <c r="D23" s="307"/>
      <c r="E23" s="318">
        <f>'参考見積書（鑑）'!E39</f>
        <v>21200000</v>
      </c>
      <c r="F23" s="308"/>
      <c r="G23" s="298"/>
    </row>
    <row r="24" spans="1:7" ht="24" customHeight="1">
      <c r="A24" s="299" t="s">
        <v>278</v>
      </c>
      <c r="B24" s="300" t="s">
        <v>182</v>
      </c>
      <c r="C24" s="301">
        <v>1</v>
      </c>
      <c r="D24" s="302"/>
      <c r="E24" s="316">
        <f>E23*(1/10)</f>
        <v>2120000</v>
      </c>
      <c r="F24" s="303"/>
      <c r="G24" s="298"/>
    </row>
    <row r="25" spans="1:7" ht="24" customHeight="1" thickBot="1">
      <c r="A25" s="309" t="s">
        <v>279</v>
      </c>
      <c r="B25" s="310" t="s">
        <v>182</v>
      </c>
      <c r="C25" s="311">
        <v>1</v>
      </c>
      <c r="D25" s="312"/>
      <c r="E25" s="319">
        <f>E23+E24</f>
        <v>23320000</v>
      </c>
      <c r="F25" s="313"/>
      <c r="G25" s="298"/>
    </row>
    <row r="26" spans="1:7" s="435" customFormat="1" ht="24" customHeight="1" thickBot="1">
      <c r="A26" s="292" t="s">
        <v>262</v>
      </c>
      <c r="B26" s="431"/>
      <c r="C26" s="432"/>
      <c r="D26" s="433"/>
      <c r="E26" s="434"/>
      <c r="F26" s="433"/>
    </row>
    <row r="27" spans="1:7" ht="24.75" customHeight="1">
      <c r="A27" s="464" t="s">
        <v>261</v>
      </c>
      <c r="B27" s="465"/>
      <c r="C27" s="465"/>
      <c r="D27" s="465"/>
      <c r="E27" s="466">
        <f>'※修正不要  横浜市様式 (建築)'!E22</f>
        <v>27510000</v>
      </c>
      <c r="F27" s="467" t="s">
        <v>272</v>
      </c>
    </row>
    <row r="28" spans="1:7" ht="24.75" customHeight="1" thickBot="1">
      <c r="A28" s="468" t="s">
        <v>260</v>
      </c>
      <c r="B28" s="469"/>
      <c r="C28" s="469"/>
      <c r="D28" s="469"/>
      <c r="E28" s="470">
        <f>E23</f>
        <v>21200000</v>
      </c>
      <c r="F28" s="471" t="s">
        <v>273</v>
      </c>
    </row>
    <row r="29" spans="1:7" ht="24.75" customHeight="1" thickTop="1">
      <c r="A29" s="741" t="s">
        <v>277</v>
      </c>
      <c r="B29" s="742"/>
      <c r="C29" s="742"/>
      <c r="D29" s="742"/>
      <c r="E29" s="472">
        <f>E27+E28</f>
        <v>48710000</v>
      </c>
      <c r="F29" s="473" t="s">
        <v>274</v>
      </c>
    </row>
    <row r="30" spans="1:7" ht="24.75" customHeight="1">
      <c r="A30" s="743" t="s">
        <v>278</v>
      </c>
      <c r="B30" s="744"/>
      <c r="C30" s="744"/>
      <c r="D30" s="745"/>
      <c r="E30" s="474">
        <f>E29*(1/10)</f>
        <v>4871000</v>
      </c>
      <c r="F30" s="475"/>
    </row>
    <row r="31" spans="1:7" ht="24.75" customHeight="1" thickBot="1">
      <c r="A31" s="746" t="s">
        <v>279</v>
      </c>
      <c r="B31" s="747"/>
      <c r="C31" s="747"/>
      <c r="D31" s="748"/>
      <c r="E31" s="476">
        <f>E29+E30</f>
        <v>53581000</v>
      </c>
      <c r="F31" s="477" t="s">
        <v>280</v>
      </c>
    </row>
  </sheetData>
  <mergeCells count="5">
    <mergeCell ref="A1:F1"/>
    <mergeCell ref="A2:F2"/>
    <mergeCell ref="A29:D29"/>
    <mergeCell ref="A30:D30"/>
    <mergeCell ref="A31:D31"/>
  </mergeCells>
  <phoneticPr fontId="4"/>
  <printOptions horizontalCentered="1"/>
  <pageMargins left="0.39370078740157483" right="0.39370078740157483" top="0.39370078740157483" bottom="0.39370078740157483" header="0.39370078740157483" footer="0.39370078740157483"/>
  <pageSetup paperSize="9" scale="96" orientation="portrait" r:id="rId1"/>
  <headerFooter>
    <oddFooter>&amp;R&amp;"BIZ UDPゴシック,標準"&amp;8株式会社プレック研究所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3BE6B-519D-4551-8EC8-E061D6E85A4B}">
  <sheetPr codeName="Sheet10">
    <tabColor theme="8" tint="0.39997558519241921"/>
    <pageSetUpPr fitToPage="1"/>
  </sheetPr>
  <dimension ref="A1:X82"/>
  <sheetViews>
    <sheetView view="pageBreakPreview" topLeftCell="A24" zoomScale="90" zoomScaleNormal="100" zoomScaleSheetLayoutView="90" workbookViewId="0">
      <selection activeCell="J44" sqref="J44"/>
    </sheetView>
  </sheetViews>
  <sheetFormatPr defaultColWidth="8.25" defaultRowHeight="12"/>
  <cols>
    <col min="1" max="1" width="3" style="3" customWidth="1"/>
    <col min="2" max="2" width="10.5" style="4" customWidth="1"/>
    <col min="3" max="3" width="27" style="4" customWidth="1"/>
    <col min="4" max="9" width="8.125" style="5" customWidth="1"/>
    <col min="10" max="10" width="11.875" style="5" customWidth="1"/>
    <col min="11" max="11" width="2.875" style="5" customWidth="1"/>
    <col min="12" max="12" width="22" style="5" customWidth="1"/>
    <col min="13" max="13" width="13.375" style="1" customWidth="1"/>
    <col min="14" max="14" width="13.375" style="1" bestFit="1" customWidth="1"/>
    <col min="15" max="15" width="16.5" style="2" bestFit="1" customWidth="1"/>
    <col min="16" max="21" width="8.25" style="5"/>
    <col min="22" max="22" width="11.375" style="5" bestFit="1" customWidth="1"/>
    <col min="23" max="23" width="10.375" style="5" bestFit="1" customWidth="1"/>
    <col min="24" max="16384" width="8.25" style="5"/>
  </cols>
  <sheetData>
    <row r="1" spans="1:18" s="1" customFormat="1" ht="84" customHeight="1">
      <c r="A1" s="556" t="s">
        <v>0</v>
      </c>
      <c r="B1" s="556"/>
      <c r="C1" s="556"/>
      <c r="D1" s="556"/>
      <c r="E1" s="556"/>
      <c r="F1" s="556"/>
      <c r="G1" s="556"/>
      <c r="H1" s="556"/>
      <c r="I1" s="556"/>
      <c r="J1" s="556"/>
      <c r="K1" s="556"/>
      <c r="L1" s="556"/>
      <c r="O1" s="2"/>
    </row>
    <row r="2" spans="1:18" s="1" customFormat="1" ht="20.100000000000001" customHeight="1">
      <c r="A2" s="3"/>
      <c r="B2" s="4"/>
      <c r="C2" s="4"/>
      <c r="D2" s="5"/>
      <c r="E2" s="5"/>
      <c r="F2" s="5"/>
      <c r="G2" s="5"/>
      <c r="H2" s="5"/>
      <c r="I2" s="5"/>
      <c r="J2" s="5"/>
      <c r="K2" s="5"/>
      <c r="L2" s="136">
        <v>45321</v>
      </c>
      <c r="O2" s="2"/>
    </row>
    <row r="3" spans="1:18" s="1" customFormat="1" ht="20.100000000000001" customHeight="1">
      <c r="A3" s="557" t="s">
        <v>62</v>
      </c>
      <c r="B3" s="557"/>
      <c r="C3" s="557"/>
      <c r="D3" s="125"/>
      <c r="E3" s="6"/>
      <c r="F3" s="5"/>
      <c r="G3" s="5"/>
      <c r="H3" s="5"/>
      <c r="I3" s="5"/>
      <c r="J3" s="559" t="s">
        <v>1</v>
      </c>
      <c r="K3" s="559"/>
      <c r="L3" s="7" t="s">
        <v>50</v>
      </c>
      <c r="O3" s="2"/>
    </row>
    <row r="4" spans="1:18" s="1" customFormat="1" ht="20.100000000000001" customHeight="1">
      <c r="A4" s="558"/>
      <c r="B4" s="558"/>
      <c r="C4" s="558"/>
      <c r="D4" s="134"/>
      <c r="E4" s="134"/>
      <c r="F4" s="134"/>
      <c r="G4" s="5"/>
      <c r="H4" s="5"/>
      <c r="I4" s="5"/>
      <c r="J4" s="560" t="s">
        <v>57</v>
      </c>
      <c r="K4" s="561"/>
      <c r="L4" s="138">
        <v>45747</v>
      </c>
      <c r="O4" s="2"/>
    </row>
    <row r="5" spans="1:18" s="1" customFormat="1" ht="20.100000000000001" customHeight="1">
      <c r="A5" s="3"/>
      <c r="B5" s="8"/>
      <c r="C5" s="130"/>
      <c r="D5" s="130"/>
      <c r="E5" s="6"/>
      <c r="F5" s="5"/>
      <c r="G5" s="5"/>
      <c r="H5" s="5"/>
      <c r="I5" s="5"/>
      <c r="J5" s="554" t="s">
        <v>58</v>
      </c>
      <c r="K5" s="555"/>
      <c r="L5" s="11" t="s">
        <v>4</v>
      </c>
      <c r="O5" s="2"/>
    </row>
    <row r="6" spans="1:18" s="1" customFormat="1" ht="20.100000000000001" customHeight="1">
      <c r="A6" s="131" t="s">
        <v>52</v>
      </c>
      <c r="B6" s="131"/>
      <c r="C6" s="409">
        <f>+E48</f>
        <v>52602000</v>
      </c>
      <c r="D6" s="9" t="s">
        <v>2</v>
      </c>
      <c r="E6" s="553">
        <f>E26+E40</f>
        <v>4782000</v>
      </c>
      <c r="F6" s="553"/>
      <c r="G6" s="10" t="s">
        <v>282</v>
      </c>
      <c r="H6" s="135"/>
      <c r="I6" s="5"/>
      <c r="J6" s="554" t="s">
        <v>59</v>
      </c>
      <c r="K6" s="555"/>
      <c r="L6" s="11" t="s">
        <v>5</v>
      </c>
      <c r="O6" s="2"/>
      <c r="Q6" s="3"/>
      <c r="R6" s="121"/>
    </row>
    <row r="7" spans="1:18" s="1" customFormat="1" ht="20.100000000000001" customHeight="1">
      <c r="A7" s="132"/>
      <c r="B7" s="133"/>
      <c r="C7" s="124"/>
      <c r="D7" s="124"/>
      <c r="E7" s="124"/>
      <c r="F7" s="124"/>
      <c r="G7" s="124"/>
      <c r="H7" s="124"/>
      <c r="I7" s="5"/>
      <c r="J7" s="554" t="s">
        <v>60</v>
      </c>
      <c r="K7" s="555"/>
      <c r="L7" s="11" t="s">
        <v>63</v>
      </c>
      <c r="O7" s="2"/>
      <c r="Q7" s="3"/>
      <c r="R7" s="121"/>
    </row>
    <row r="8" spans="1:18" s="1" customFormat="1" ht="20.100000000000001" customHeight="1">
      <c r="A8" s="131" t="s">
        <v>6</v>
      </c>
      <c r="B8" s="131"/>
      <c r="C8" s="567" t="s">
        <v>61</v>
      </c>
      <c r="D8" s="567"/>
      <c r="E8" s="567"/>
      <c r="F8" s="567"/>
      <c r="G8" s="567"/>
      <c r="H8" s="124"/>
      <c r="I8" s="5"/>
      <c r="J8" s="566"/>
      <c r="K8" s="559"/>
      <c r="L8" s="12" t="s">
        <v>64</v>
      </c>
      <c r="O8" s="2"/>
      <c r="Q8" s="3"/>
      <c r="R8" s="7"/>
    </row>
    <row r="9" spans="1:18" s="1" customFormat="1" ht="20.100000000000001" customHeight="1">
      <c r="A9" s="568"/>
      <c r="B9" s="568"/>
      <c r="C9" s="124"/>
      <c r="D9" s="124"/>
      <c r="E9" s="124"/>
      <c r="F9" s="124"/>
      <c r="G9" s="124"/>
      <c r="H9" s="124"/>
      <c r="I9" s="5"/>
      <c r="J9" s="128"/>
      <c r="K9" s="128"/>
      <c r="L9" s="129"/>
      <c r="O9" s="2"/>
      <c r="Q9" s="3"/>
      <c r="R9" s="7"/>
    </row>
    <row r="10" spans="1:18" s="1" customFormat="1" ht="18" customHeight="1">
      <c r="A10" s="569"/>
      <c r="B10" s="569"/>
      <c r="C10" s="124"/>
      <c r="D10" s="126"/>
      <c r="E10" s="126"/>
      <c r="F10" s="126"/>
      <c r="G10" s="126"/>
      <c r="H10" s="127"/>
      <c r="I10" s="5"/>
      <c r="J10" s="5"/>
      <c r="K10" s="5"/>
      <c r="L10" s="5"/>
      <c r="O10" s="2"/>
      <c r="Q10" s="3"/>
      <c r="R10" s="7"/>
    </row>
    <row r="11" spans="1:18" s="1" customFormat="1" ht="18" customHeight="1">
      <c r="A11" s="3"/>
      <c r="B11" s="15" t="s">
        <v>7</v>
      </c>
      <c r="C11" s="4"/>
      <c r="D11" s="5"/>
      <c r="E11" s="5"/>
      <c r="F11" s="5"/>
      <c r="G11" s="5"/>
      <c r="H11" s="5"/>
      <c r="I11" s="5"/>
      <c r="J11" s="5"/>
      <c r="K11" s="5"/>
      <c r="L11" s="5"/>
      <c r="O11" s="2"/>
    </row>
    <row r="12" spans="1:18" s="1" customFormat="1" ht="18" customHeight="1">
      <c r="A12" s="3"/>
      <c r="B12" s="15" t="s">
        <v>8</v>
      </c>
      <c r="C12" s="4"/>
      <c r="D12" s="5"/>
      <c r="E12" s="5"/>
      <c r="F12" s="5"/>
      <c r="G12" s="5"/>
      <c r="H12" s="5"/>
      <c r="I12" s="5"/>
      <c r="J12" s="5"/>
      <c r="K12" s="5"/>
      <c r="L12" s="5"/>
      <c r="O12" s="2"/>
    </row>
    <row r="13" spans="1:18" s="1" customFormat="1" ht="18" customHeight="1">
      <c r="A13" s="3"/>
      <c r="B13" s="570" t="s">
        <v>51</v>
      </c>
      <c r="C13" s="571"/>
      <c r="D13" s="571"/>
      <c r="E13" s="571"/>
      <c r="F13" s="571"/>
      <c r="G13" s="572"/>
      <c r="H13" s="5"/>
      <c r="I13" s="579" t="s">
        <v>56</v>
      </c>
      <c r="J13" s="579"/>
      <c r="K13" s="579"/>
      <c r="L13" s="579"/>
      <c r="O13" s="2"/>
    </row>
    <row r="14" spans="1:18" s="1" customFormat="1" ht="18" customHeight="1">
      <c r="A14" s="13"/>
      <c r="B14" s="573"/>
      <c r="C14" s="574"/>
      <c r="D14" s="574"/>
      <c r="E14" s="574"/>
      <c r="F14" s="574"/>
      <c r="G14" s="575"/>
      <c r="H14" s="5"/>
      <c r="I14" s="579" t="s">
        <v>9</v>
      </c>
      <c r="J14" s="579"/>
      <c r="K14" s="579"/>
      <c r="L14" s="579"/>
      <c r="O14" s="2"/>
    </row>
    <row r="15" spans="1:18" s="1" customFormat="1" ht="18" customHeight="1">
      <c r="A15" s="13"/>
      <c r="B15" s="573"/>
      <c r="C15" s="574"/>
      <c r="D15" s="574"/>
      <c r="E15" s="574"/>
      <c r="F15" s="574"/>
      <c r="G15" s="575"/>
      <c r="H15" s="5"/>
      <c r="I15" s="579" t="s">
        <v>55</v>
      </c>
      <c r="J15" s="579"/>
      <c r="K15" s="579"/>
      <c r="L15" s="579"/>
      <c r="O15" s="2"/>
    </row>
    <row r="16" spans="1:18" s="1" customFormat="1" ht="18" customHeight="1">
      <c r="A16" s="13"/>
      <c r="B16" s="576"/>
      <c r="C16" s="577"/>
      <c r="D16" s="577"/>
      <c r="E16" s="577"/>
      <c r="F16" s="577"/>
      <c r="G16" s="578"/>
      <c r="H16" s="5"/>
      <c r="I16" s="579" t="s">
        <v>10</v>
      </c>
      <c r="J16" s="579"/>
      <c r="K16" s="579"/>
      <c r="L16" s="579"/>
      <c r="O16" s="2"/>
    </row>
    <row r="17" spans="1:15" s="1" customFormat="1" ht="18" customHeight="1">
      <c r="A17" s="13"/>
      <c r="B17" s="123"/>
      <c r="C17" s="123"/>
      <c r="D17" s="123"/>
      <c r="E17" s="123"/>
      <c r="F17" s="123"/>
      <c r="G17" s="123"/>
      <c r="H17" s="5"/>
      <c r="I17" s="120"/>
      <c r="J17" s="120"/>
      <c r="K17" s="120"/>
      <c r="L17" s="120"/>
      <c r="O17" s="2"/>
    </row>
    <row r="18" spans="1:15" ht="24" customHeight="1" thickBot="1">
      <c r="A18" s="13" t="s">
        <v>236</v>
      </c>
      <c r="B18" s="14"/>
      <c r="C18" s="14"/>
      <c r="D18" s="14"/>
      <c r="E18" s="15"/>
      <c r="F18" s="15"/>
      <c r="G18" s="15"/>
      <c r="H18" s="15"/>
      <c r="I18" s="15"/>
      <c r="J18" s="15"/>
      <c r="K18" s="15"/>
      <c r="L18" s="15"/>
      <c r="O18" s="5"/>
    </row>
    <row r="19" spans="1:15" s="15" customFormat="1" ht="24" customHeight="1" thickBot="1">
      <c r="A19" s="580" t="s">
        <v>12</v>
      </c>
      <c r="B19" s="581"/>
      <c r="C19" s="581"/>
      <c r="D19" s="582"/>
      <c r="E19" s="583" t="s">
        <v>13</v>
      </c>
      <c r="F19" s="582"/>
      <c r="G19" s="583" t="s">
        <v>14</v>
      </c>
      <c r="H19" s="581"/>
      <c r="I19" s="581"/>
      <c r="J19" s="581"/>
      <c r="K19" s="581"/>
      <c r="L19" s="584"/>
      <c r="M19" s="16"/>
      <c r="N19" s="16"/>
    </row>
    <row r="20" spans="1:15" s="15" customFormat="1" ht="24" customHeight="1" thickTop="1">
      <c r="A20" s="18">
        <v>1</v>
      </c>
      <c r="B20" s="19" t="s">
        <v>15</v>
      </c>
      <c r="C20" s="19"/>
      <c r="D20" s="20"/>
      <c r="E20" s="585">
        <f>'参考見積書（建築）_0205'!J38</f>
        <v>10893600</v>
      </c>
      <c r="F20" s="586"/>
      <c r="G20" s="21" t="s">
        <v>16</v>
      </c>
      <c r="H20" s="22"/>
      <c r="I20" s="22"/>
      <c r="J20" s="22"/>
      <c r="K20" s="22"/>
      <c r="L20" s="23"/>
      <c r="M20" s="587"/>
      <c r="N20" s="588"/>
    </row>
    <row r="21" spans="1:15" s="15" customFormat="1" ht="24" customHeight="1">
      <c r="A21" s="25">
        <v>2</v>
      </c>
      <c r="B21" s="26" t="s">
        <v>17</v>
      </c>
      <c r="C21" s="26"/>
      <c r="D21" s="27"/>
      <c r="E21" s="562">
        <v>0</v>
      </c>
      <c r="F21" s="563"/>
      <c r="G21" s="28" t="s">
        <v>230</v>
      </c>
      <c r="H21" s="29"/>
      <c r="I21" s="29"/>
      <c r="J21" s="29"/>
      <c r="K21" s="29"/>
      <c r="L21" s="30"/>
      <c r="M21" s="564"/>
      <c r="N21" s="565"/>
    </row>
    <row r="22" spans="1:15" s="15" customFormat="1" ht="24" customHeight="1">
      <c r="A22" s="25">
        <v>3</v>
      </c>
      <c r="B22" s="26" t="s">
        <v>231</v>
      </c>
      <c r="C22" s="26"/>
      <c r="D22" s="27"/>
      <c r="E22" s="562">
        <f>E20*1.1</f>
        <v>11982960.000000002</v>
      </c>
      <c r="F22" s="563"/>
      <c r="G22" s="28" t="s">
        <v>233</v>
      </c>
      <c r="H22" s="29"/>
      <c r="I22" s="29"/>
      <c r="J22" s="29"/>
      <c r="K22" s="29"/>
      <c r="L22" s="31"/>
      <c r="M22" s="564"/>
      <c r="N22" s="565"/>
      <c r="O22" s="1"/>
    </row>
    <row r="23" spans="1:15" s="15" customFormat="1" ht="24" customHeight="1">
      <c r="A23" s="33">
        <v>4</v>
      </c>
      <c r="B23" s="34" t="s">
        <v>232</v>
      </c>
      <c r="C23" s="34"/>
      <c r="D23" s="35"/>
      <c r="E23" s="589">
        <f>(E20+E22)*0.15</f>
        <v>3431484</v>
      </c>
      <c r="F23" s="590"/>
      <c r="G23" s="36" t="s">
        <v>234</v>
      </c>
      <c r="H23" s="37"/>
      <c r="I23" s="37"/>
      <c r="J23" s="38"/>
      <c r="K23" s="38"/>
      <c r="L23" s="39"/>
      <c r="M23" s="564"/>
      <c r="N23" s="565"/>
    </row>
    <row r="24" spans="1:15" s="15" customFormat="1" ht="24" customHeight="1">
      <c r="A24" s="40" t="s">
        <v>27</v>
      </c>
      <c r="B24" s="41"/>
      <c r="C24" s="41"/>
      <c r="D24" s="42"/>
      <c r="E24" s="591">
        <f>+E20+E21+E22+E23</f>
        <v>26308044</v>
      </c>
      <c r="F24" s="592"/>
      <c r="G24" s="43" t="s">
        <v>28</v>
      </c>
      <c r="H24" s="44"/>
      <c r="I24" s="44"/>
      <c r="J24" s="44"/>
      <c r="K24" s="44"/>
      <c r="L24" s="45"/>
      <c r="M24" s="564"/>
      <c r="N24" s="565"/>
    </row>
    <row r="25" spans="1:15" s="15" customFormat="1" ht="24" customHeight="1">
      <c r="A25" s="46" t="s">
        <v>29</v>
      </c>
      <c r="B25" s="26"/>
      <c r="C25" s="26"/>
      <c r="D25" s="27"/>
      <c r="E25" s="562">
        <f>ROUNDDOWN(E24,-4)</f>
        <v>26300000</v>
      </c>
      <c r="F25" s="563"/>
      <c r="G25" s="28" t="s">
        <v>30</v>
      </c>
      <c r="H25" s="29"/>
      <c r="I25" s="29"/>
      <c r="J25" s="29"/>
      <c r="K25" s="29"/>
      <c r="L25" s="47"/>
      <c r="M25" s="564"/>
      <c r="N25" s="565"/>
    </row>
    <row r="26" spans="1:15" s="15" customFormat="1" ht="24" customHeight="1">
      <c r="A26" s="46" t="s">
        <v>31</v>
      </c>
      <c r="B26" s="26"/>
      <c r="C26" s="26"/>
      <c r="D26" s="27"/>
      <c r="E26" s="562">
        <f>+E25*0.1</f>
        <v>2630000</v>
      </c>
      <c r="F26" s="563"/>
      <c r="G26" s="48">
        <v>0.1</v>
      </c>
      <c r="H26" s="29"/>
      <c r="I26" s="29"/>
      <c r="J26" s="29"/>
      <c r="K26" s="29"/>
      <c r="L26" s="47"/>
      <c r="M26" s="564"/>
      <c r="N26" s="565"/>
    </row>
    <row r="27" spans="1:15" s="15" customFormat="1" ht="24" customHeight="1" thickBot="1">
      <c r="A27" s="49" t="s">
        <v>32</v>
      </c>
      <c r="B27" s="50"/>
      <c r="C27" s="50"/>
      <c r="D27" s="50"/>
      <c r="E27" s="593">
        <f>+E25*1.1</f>
        <v>28930000.000000004</v>
      </c>
      <c r="F27" s="594"/>
      <c r="G27" s="51"/>
      <c r="H27" s="52"/>
      <c r="I27" s="52"/>
      <c r="J27" s="52"/>
      <c r="K27" s="52"/>
      <c r="L27" s="53"/>
      <c r="M27" s="564"/>
      <c r="N27" s="565"/>
    </row>
    <row r="28" spans="1:15" s="15" customFormat="1" ht="24" customHeight="1">
      <c r="A28" s="54"/>
      <c r="E28" s="55"/>
      <c r="F28" s="55"/>
      <c r="G28" s="5"/>
      <c r="H28" s="5"/>
      <c r="I28" s="5"/>
      <c r="J28" s="5"/>
      <c r="K28" s="5"/>
      <c r="L28" s="5"/>
      <c r="M28" s="410"/>
      <c r="N28" s="24"/>
    </row>
    <row r="29" spans="1:15" ht="24" customHeight="1" thickBot="1">
      <c r="A29" s="13" t="s">
        <v>235</v>
      </c>
      <c r="B29" s="14"/>
      <c r="C29" s="14"/>
      <c r="D29" s="14"/>
      <c r="E29" s="15"/>
      <c r="F29" s="15"/>
      <c r="G29" s="15"/>
      <c r="H29" s="15"/>
      <c r="I29" s="15"/>
      <c r="J29" s="15"/>
      <c r="K29" s="15"/>
      <c r="L29" s="15"/>
      <c r="M29" s="564"/>
      <c r="N29" s="565"/>
      <c r="O29" s="5"/>
    </row>
    <row r="30" spans="1:15" ht="24" customHeight="1" thickBot="1">
      <c r="A30" s="580" t="s">
        <v>12</v>
      </c>
      <c r="B30" s="581"/>
      <c r="C30" s="581"/>
      <c r="D30" s="582"/>
      <c r="E30" s="583" t="s">
        <v>13</v>
      </c>
      <c r="F30" s="582"/>
      <c r="G30" s="583" t="s">
        <v>14</v>
      </c>
      <c r="H30" s="581"/>
      <c r="I30" s="581"/>
      <c r="J30" s="581"/>
      <c r="K30" s="581"/>
      <c r="L30" s="584"/>
      <c r="M30" s="24"/>
      <c r="N30" s="24"/>
      <c r="O30" s="5"/>
    </row>
    <row r="31" spans="1:15" ht="24" customHeight="1" thickTop="1">
      <c r="A31" s="749">
        <v>1</v>
      </c>
      <c r="B31" s="19" t="s">
        <v>310</v>
      </c>
      <c r="C31" s="19" t="s">
        <v>307</v>
      </c>
      <c r="D31" s="20"/>
      <c r="E31" s="585">
        <f>+'参考見積書（造園）_0205'!E21</f>
        <v>5653600</v>
      </c>
      <c r="F31" s="586"/>
      <c r="G31" s="21" t="s">
        <v>16</v>
      </c>
      <c r="H31" s="22"/>
      <c r="I31" s="22"/>
      <c r="J31" s="22"/>
      <c r="K31" s="22"/>
      <c r="L31" s="23"/>
      <c r="M31" s="24"/>
      <c r="N31" s="24"/>
      <c r="O31" s="5"/>
    </row>
    <row r="32" spans="1:15" ht="24" customHeight="1">
      <c r="A32" s="750"/>
      <c r="B32" s="41" t="s">
        <v>306</v>
      </c>
      <c r="C32" s="41" t="s">
        <v>308</v>
      </c>
      <c r="D32" s="42"/>
      <c r="E32" s="562">
        <f>+'参考見積書（造園）_0205'!E22</f>
        <v>3416500</v>
      </c>
      <c r="F32" s="563"/>
      <c r="G32" s="43" t="s">
        <v>16</v>
      </c>
      <c r="H32" s="44"/>
      <c r="I32" s="44"/>
      <c r="J32" s="44"/>
      <c r="K32" s="44"/>
      <c r="L32" s="535"/>
      <c r="M32" s="24"/>
      <c r="N32" s="24"/>
      <c r="O32" s="5"/>
    </row>
    <row r="33" spans="1:24" ht="24" customHeight="1">
      <c r="A33" s="25">
        <v>2</v>
      </c>
      <c r="B33" s="26" t="s">
        <v>17</v>
      </c>
      <c r="C33" s="26"/>
      <c r="D33" s="27"/>
      <c r="E33" s="562">
        <f>'参考見積書（造園）_0205'!E23</f>
        <v>35000</v>
      </c>
      <c r="F33" s="563"/>
      <c r="G33" s="28" t="s">
        <v>18</v>
      </c>
      <c r="H33" s="29"/>
      <c r="I33" s="29"/>
      <c r="J33" s="29"/>
      <c r="K33" s="29"/>
      <c r="L33" s="30"/>
      <c r="M33" s="57"/>
      <c r="N33" s="58"/>
      <c r="O33" s="5"/>
    </row>
    <row r="34" spans="1:24" ht="24" customHeight="1">
      <c r="A34" s="25">
        <v>3</v>
      </c>
      <c r="B34" s="26" t="s">
        <v>19</v>
      </c>
      <c r="C34" s="26"/>
      <c r="D34" s="27"/>
      <c r="E34" s="562">
        <f>(+E31+E32)+E33</f>
        <v>9105100</v>
      </c>
      <c r="F34" s="563"/>
      <c r="G34" s="28" t="s">
        <v>20</v>
      </c>
      <c r="H34" s="29"/>
      <c r="I34" s="29"/>
      <c r="J34" s="29"/>
      <c r="K34" s="29"/>
      <c r="L34" s="31"/>
      <c r="O34" s="62"/>
      <c r="P34" s="62"/>
      <c r="Q34" s="63"/>
      <c r="R34" s="64"/>
      <c r="S34" s="63"/>
      <c r="T34" s="63"/>
      <c r="U34" s="63"/>
      <c r="V34" s="63"/>
      <c r="W34" s="65"/>
      <c r="X34" s="66"/>
    </row>
    <row r="35" spans="1:24" ht="24" customHeight="1">
      <c r="A35" s="25">
        <v>4</v>
      </c>
      <c r="B35" s="26" t="s">
        <v>21</v>
      </c>
      <c r="C35" s="26"/>
      <c r="D35" s="27"/>
      <c r="E35" s="562">
        <f>+ROUNDDOWN((E31+E32)*0.5385,0)</f>
        <v>4884248</v>
      </c>
      <c r="F35" s="563"/>
      <c r="G35" s="28" t="s">
        <v>22</v>
      </c>
      <c r="H35" s="29"/>
      <c r="I35" s="29"/>
      <c r="J35" s="32"/>
      <c r="K35" s="32"/>
      <c r="L35" s="30"/>
    </row>
    <row r="36" spans="1:24" s="150" customFormat="1" ht="24" customHeight="1">
      <c r="A36" s="25">
        <v>5</v>
      </c>
      <c r="B36" s="26" t="s">
        <v>23</v>
      </c>
      <c r="C36" s="26"/>
      <c r="D36" s="27"/>
      <c r="E36" s="562">
        <f>E34+E35</f>
        <v>13989348</v>
      </c>
      <c r="F36" s="563"/>
      <c r="G36" s="28" t="s">
        <v>24</v>
      </c>
      <c r="H36" s="29"/>
      <c r="I36" s="29"/>
      <c r="J36" s="32"/>
      <c r="K36" s="32"/>
      <c r="L36" s="31"/>
      <c r="M36" s="353"/>
      <c r="N36" s="148"/>
      <c r="O36" s="149"/>
    </row>
    <row r="37" spans="1:24" s="15" customFormat="1" ht="24" customHeight="1">
      <c r="A37" s="33">
        <v>6</v>
      </c>
      <c r="B37" s="34" t="s">
        <v>25</v>
      </c>
      <c r="C37" s="34"/>
      <c r="D37" s="35"/>
      <c r="E37" s="589">
        <f>+ROUNDDOWN(E36*0.5385,0)</f>
        <v>7533263</v>
      </c>
      <c r="F37" s="590"/>
      <c r="G37" s="36" t="s">
        <v>26</v>
      </c>
      <c r="H37" s="37"/>
      <c r="I37" s="37"/>
      <c r="J37" s="38"/>
      <c r="K37" s="38"/>
      <c r="L37" s="39"/>
      <c r="M37" s="353"/>
      <c r="N37" s="68"/>
      <c r="O37" s="595"/>
      <c r="P37" s="595"/>
    </row>
    <row r="38" spans="1:24" s="15" customFormat="1" ht="24" customHeight="1">
      <c r="A38" s="40" t="s">
        <v>27</v>
      </c>
      <c r="B38" s="41"/>
      <c r="C38" s="41"/>
      <c r="D38" s="42"/>
      <c r="E38" s="591">
        <f>+E36+E37</f>
        <v>21522611</v>
      </c>
      <c r="F38" s="592"/>
      <c r="G38" s="43" t="s">
        <v>28</v>
      </c>
      <c r="H38" s="44"/>
      <c r="I38" s="44"/>
      <c r="J38" s="44"/>
      <c r="K38" s="44"/>
      <c r="L38" s="45"/>
      <c r="M38" s="353"/>
      <c r="N38" s="68"/>
      <c r="O38" s="71"/>
      <c r="P38" s="71"/>
    </row>
    <row r="39" spans="1:24" s="15" customFormat="1" ht="24" customHeight="1">
      <c r="A39" s="46" t="s">
        <v>29</v>
      </c>
      <c r="B39" s="26"/>
      <c r="C39" s="26"/>
      <c r="D39" s="27"/>
      <c r="E39" s="562">
        <f>ROUNDDOWN(E38,-4)</f>
        <v>21520000</v>
      </c>
      <c r="F39" s="563"/>
      <c r="G39" s="28" t="s">
        <v>30</v>
      </c>
      <c r="H39" s="29"/>
      <c r="I39" s="29"/>
      <c r="J39" s="29"/>
      <c r="K39" s="29"/>
      <c r="L39" s="47"/>
      <c r="M39" s="353"/>
      <c r="N39" s="68"/>
      <c r="O39" s="71"/>
      <c r="P39" s="71"/>
    </row>
    <row r="40" spans="1:24" s="15" customFormat="1" ht="24" customHeight="1">
      <c r="A40" s="46" t="s">
        <v>31</v>
      </c>
      <c r="B40" s="26"/>
      <c r="C40" s="26"/>
      <c r="D40" s="27"/>
      <c r="E40" s="562">
        <f>+E39*0.1</f>
        <v>2152000</v>
      </c>
      <c r="F40" s="563"/>
      <c r="G40" s="48">
        <v>0.1</v>
      </c>
      <c r="H40" s="29"/>
      <c r="I40" s="29"/>
      <c r="J40" s="29"/>
      <c r="K40" s="29"/>
      <c r="L40" s="47"/>
      <c r="M40" s="353"/>
      <c r="N40" s="68"/>
      <c r="O40" s="71"/>
      <c r="P40" s="71"/>
    </row>
    <row r="41" spans="1:24" s="15" customFormat="1" ht="24" customHeight="1" thickBot="1">
      <c r="A41" s="49" t="s">
        <v>32</v>
      </c>
      <c r="B41" s="50"/>
      <c r="C41" s="50"/>
      <c r="D41" s="50"/>
      <c r="E41" s="593">
        <f>+E39*1.1</f>
        <v>23672000.000000004</v>
      </c>
      <c r="F41" s="594"/>
      <c r="G41" s="51"/>
      <c r="H41" s="52"/>
      <c r="I41" s="52"/>
      <c r="J41" s="52"/>
      <c r="K41" s="52"/>
      <c r="L41" s="53"/>
      <c r="M41" s="353"/>
      <c r="N41" s="68"/>
      <c r="O41" s="71"/>
      <c r="P41" s="71"/>
    </row>
    <row r="42" spans="1:24" s="15" customFormat="1" ht="21.95" customHeight="1">
      <c r="A42" s="54"/>
      <c r="E42" s="55"/>
      <c r="F42" s="55"/>
      <c r="G42" s="5"/>
      <c r="H42" s="5"/>
      <c r="I42" s="5"/>
      <c r="J42" s="5"/>
      <c r="K42" s="5"/>
      <c r="L42" s="5"/>
      <c r="M42" s="353"/>
      <c r="N42" s="68"/>
      <c r="O42" s="69"/>
    </row>
    <row r="43" spans="1:24" s="15" customFormat="1" ht="22.5" customHeight="1" thickBot="1">
      <c r="A43" s="93" t="s">
        <v>263</v>
      </c>
      <c r="B43" s="444"/>
      <c r="C43" s="445"/>
      <c r="D43" s="111"/>
      <c r="E43" s="111"/>
      <c r="F43" s="111"/>
      <c r="G43" s="111"/>
      <c r="H43" s="111"/>
      <c r="I43" s="111"/>
      <c r="J43" s="111"/>
      <c r="K43" s="111"/>
      <c r="L43" s="111"/>
      <c r="M43" s="353"/>
      <c r="N43" s="117"/>
      <c r="O43" s="69"/>
    </row>
    <row r="44" spans="1:24" s="15" customFormat="1" ht="30" customHeight="1">
      <c r="A44" s="446"/>
      <c r="B44" s="447" t="s">
        <v>238</v>
      </c>
      <c r="C44" s="447"/>
      <c r="D44" s="448"/>
      <c r="E44" s="602">
        <f>E25</f>
        <v>26300000</v>
      </c>
      <c r="F44" s="603"/>
      <c r="G44" s="449" t="s">
        <v>274</v>
      </c>
      <c r="H44" s="449"/>
      <c r="I44" s="449"/>
      <c r="J44" s="449"/>
      <c r="K44" s="449"/>
      <c r="L44" s="458"/>
      <c r="M44" s="353"/>
      <c r="N44" s="117"/>
      <c r="O44" s="69"/>
    </row>
    <row r="45" spans="1:24" s="15" customFormat="1" ht="30" customHeight="1" thickBot="1">
      <c r="A45" s="440"/>
      <c r="B45" s="332" t="s">
        <v>237</v>
      </c>
      <c r="C45" s="332"/>
      <c r="D45" s="441"/>
      <c r="E45" s="604">
        <f>+E39</f>
        <v>21520000</v>
      </c>
      <c r="F45" s="605"/>
      <c r="G45" s="442" t="s">
        <v>274</v>
      </c>
      <c r="H45" s="5"/>
      <c r="I45" s="5"/>
      <c r="J45" s="5"/>
      <c r="K45" s="5"/>
      <c r="L45" s="443"/>
      <c r="M45" s="353"/>
      <c r="N45" s="117"/>
      <c r="O45" s="69"/>
    </row>
    <row r="46" spans="1:24" s="15" customFormat="1" ht="30" customHeight="1" thickTop="1">
      <c r="A46" s="452"/>
      <c r="B46" s="463" t="s">
        <v>202</v>
      </c>
      <c r="C46" s="453"/>
      <c r="D46" s="454"/>
      <c r="E46" s="606">
        <f>E45+E44</f>
        <v>47820000</v>
      </c>
      <c r="F46" s="607"/>
      <c r="G46" s="455" t="s">
        <v>273</v>
      </c>
      <c r="H46" s="456"/>
      <c r="I46" s="456"/>
      <c r="J46" s="456"/>
      <c r="K46" s="456"/>
      <c r="L46" s="457"/>
      <c r="M46" s="353"/>
      <c r="N46" s="117"/>
      <c r="O46" s="69"/>
    </row>
    <row r="47" spans="1:24" s="15" customFormat="1" ht="30" customHeight="1">
      <c r="A47" s="460"/>
      <c r="B47" s="596" t="s">
        <v>203</v>
      </c>
      <c r="C47" s="596"/>
      <c r="D47" s="461"/>
      <c r="E47" s="597">
        <f>E46*0.1</f>
        <v>4782000</v>
      </c>
      <c r="F47" s="598"/>
      <c r="G47" s="461"/>
      <c r="H47" s="461"/>
      <c r="I47" s="461"/>
      <c r="J47" s="461"/>
      <c r="K47" s="461"/>
      <c r="L47" s="462"/>
      <c r="M47" s="353"/>
      <c r="N47" s="117"/>
      <c r="O47" s="69"/>
    </row>
    <row r="48" spans="1:24" s="15" customFormat="1" ht="30" customHeight="1" thickBot="1">
      <c r="A48" s="459"/>
      <c r="B48" s="599" t="s">
        <v>279</v>
      </c>
      <c r="C48" s="599"/>
      <c r="D48" s="111"/>
      <c r="E48" s="600">
        <f>E46+E47</f>
        <v>52602000</v>
      </c>
      <c r="F48" s="601"/>
      <c r="G48" s="111" t="s">
        <v>281</v>
      </c>
      <c r="H48" s="111"/>
      <c r="I48" s="111"/>
      <c r="J48" s="111"/>
      <c r="K48" s="111"/>
      <c r="L48" s="112"/>
      <c r="M48" s="353"/>
      <c r="N48" s="117"/>
      <c r="O48" s="69"/>
    </row>
    <row r="49" spans="1:15" s="15" customFormat="1" ht="24.95" customHeight="1">
      <c r="A49" s="3"/>
      <c r="B49" s="4"/>
      <c r="C49" s="4"/>
      <c r="D49" s="5"/>
      <c r="E49" s="5"/>
      <c r="F49" s="5"/>
      <c r="G49" s="5"/>
      <c r="H49" s="5"/>
      <c r="I49" s="5"/>
      <c r="J49" s="5"/>
      <c r="K49" s="5"/>
      <c r="L49" s="5"/>
      <c r="M49" s="353"/>
      <c r="N49" s="117"/>
      <c r="O49" s="69"/>
    </row>
    <row r="50" spans="1:15" s="15" customFormat="1" ht="24.95" customHeight="1">
      <c r="A50" s="3"/>
      <c r="B50" s="4"/>
      <c r="C50" s="4"/>
      <c r="D50" s="5"/>
      <c r="E50" s="5"/>
      <c r="F50" s="5"/>
      <c r="G50" s="5"/>
      <c r="H50" s="5"/>
      <c r="I50" s="5"/>
      <c r="J50" s="5"/>
      <c r="K50" s="5"/>
      <c r="L50" s="5"/>
      <c r="M50" s="353"/>
      <c r="N50" s="117"/>
      <c r="O50" s="69"/>
    </row>
    <row r="51" spans="1:15" s="15" customFormat="1" ht="22.5" customHeight="1">
      <c r="A51" s="3"/>
      <c r="B51" s="4"/>
      <c r="C51" s="4"/>
      <c r="D51" s="5"/>
      <c r="E51" s="5"/>
      <c r="F51" s="5"/>
      <c r="G51" s="5"/>
      <c r="H51" s="5"/>
      <c r="I51" s="5"/>
      <c r="J51" s="5"/>
      <c r="K51" s="5"/>
      <c r="L51" s="5"/>
      <c r="M51" s="353"/>
      <c r="N51" s="117"/>
      <c r="O51" s="69"/>
    </row>
    <row r="52" spans="1:15" s="15" customFormat="1" ht="22.5" customHeight="1">
      <c r="A52" s="3"/>
      <c r="B52" s="4"/>
      <c r="C52" s="4"/>
      <c r="D52" s="5"/>
      <c r="E52" s="5"/>
      <c r="F52" s="5"/>
      <c r="G52" s="5"/>
      <c r="H52" s="5"/>
      <c r="I52" s="5"/>
      <c r="J52" s="5"/>
      <c r="K52" s="5"/>
      <c r="L52" s="5"/>
      <c r="M52" s="353"/>
      <c r="N52" s="117"/>
      <c r="O52" s="69"/>
    </row>
    <row r="53" spans="1:15" s="15" customFormat="1" ht="22.5" customHeight="1">
      <c r="A53" s="3"/>
      <c r="B53" s="4"/>
      <c r="C53" s="4"/>
      <c r="D53" s="5"/>
      <c r="E53" s="5"/>
      <c r="F53" s="5"/>
      <c r="G53" s="5"/>
      <c r="H53" s="5"/>
      <c r="I53" s="5"/>
      <c r="J53" s="5"/>
      <c r="K53" s="5"/>
      <c r="L53" s="5"/>
      <c r="M53" s="353"/>
      <c r="N53" s="117"/>
      <c r="O53" s="69"/>
    </row>
    <row r="54" spans="1:15" s="15" customFormat="1" ht="22.5" customHeight="1">
      <c r="A54" s="3"/>
      <c r="B54" s="4"/>
      <c r="C54" s="4"/>
      <c r="D54" s="5"/>
      <c r="E54" s="5"/>
      <c r="F54" s="5"/>
      <c r="G54" s="5"/>
      <c r="H54" s="5"/>
      <c r="I54" s="5"/>
      <c r="J54" s="5"/>
      <c r="K54" s="5"/>
      <c r="L54" s="5"/>
      <c r="M54" s="353"/>
      <c r="N54" s="117"/>
      <c r="O54" s="69"/>
    </row>
    <row r="55" spans="1:15" s="15" customFormat="1" ht="22.5" customHeight="1">
      <c r="A55" s="3"/>
      <c r="B55" s="4"/>
      <c r="C55" s="4"/>
      <c r="D55" s="5"/>
      <c r="E55" s="5"/>
      <c r="F55" s="5"/>
      <c r="G55" s="5"/>
      <c r="H55" s="5"/>
      <c r="I55" s="5"/>
      <c r="J55" s="5"/>
      <c r="K55" s="5"/>
      <c r="L55" s="5"/>
      <c r="M55" s="353"/>
      <c r="N55" s="117"/>
      <c r="O55" s="69"/>
    </row>
    <row r="56" spans="1:15" s="150" customFormat="1" ht="22.5" customHeight="1">
      <c r="A56" s="3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353"/>
      <c r="N56" s="155"/>
      <c r="O56" s="149"/>
    </row>
    <row r="57" spans="1:15" s="15" customFormat="1" ht="22.5" customHeight="1">
      <c r="A57" s="3"/>
      <c r="B57" s="4"/>
      <c r="C57" s="4"/>
      <c r="D57" s="5"/>
      <c r="E57" s="5"/>
      <c r="F57" s="5"/>
      <c r="G57" s="5"/>
      <c r="H57" s="5"/>
      <c r="I57" s="5"/>
      <c r="J57" s="5"/>
      <c r="K57" s="5"/>
      <c r="L57" s="5"/>
      <c r="M57" s="353"/>
      <c r="N57" s="117"/>
      <c r="O57" s="69"/>
    </row>
    <row r="58" spans="1:15" s="15" customFormat="1" ht="22.5" customHeight="1">
      <c r="A58" s="3"/>
      <c r="B58" s="4"/>
      <c r="C58" s="4"/>
      <c r="D58" s="5"/>
      <c r="E58" s="5"/>
      <c r="F58" s="5"/>
      <c r="G58" s="5"/>
      <c r="H58" s="5"/>
      <c r="I58" s="5"/>
      <c r="J58" s="5"/>
      <c r="K58" s="5"/>
      <c r="L58" s="5"/>
      <c r="M58" s="353"/>
      <c r="N58" s="117"/>
      <c r="O58" s="69"/>
    </row>
    <row r="59" spans="1:15" s="15" customFormat="1" ht="22.5" customHeight="1">
      <c r="A59" s="3"/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  <c r="M59" s="353"/>
      <c r="N59" s="117"/>
      <c r="O59" s="69"/>
    </row>
    <row r="60" spans="1:15" s="15" customFormat="1" ht="22.5" customHeight="1">
      <c r="A60" s="3"/>
      <c r="B60" s="4"/>
      <c r="C60" s="4"/>
      <c r="D60" s="5"/>
      <c r="E60" s="5"/>
      <c r="F60" s="5"/>
      <c r="G60" s="5"/>
      <c r="H60" s="5"/>
      <c r="I60" s="5"/>
      <c r="J60" s="5"/>
      <c r="K60" s="5"/>
      <c r="L60" s="5"/>
      <c r="M60" s="353"/>
      <c r="N60" s="117"/>
      <c r="O60" s="69"/>
    </row>
    <row r="61" spans="1:15" s="150" customFormat="1" ht="22.5" customHeight="1">
      <c r="A61" s="3"/>
      <c r="B61" s="4"/>
      <c r="C61" s="4"/>
      <c r="D61" s="5"/>
      <c r="E61" s="5"/>
      <c r="F61" s="5"/>
      <c r="G61" s="5"/>
      <c r="H61" s="5"/>
      <c r="I61" s="5"/>
      <c r="J61" s="5"/>
      <c r="K61" s="5"/>
      <c r="L61" s="5"/>
      <c r="M61" s="353"/>
      <c r="N61" s="155"/>
      <c r="O61" s="149"/>
    </row>
    <row r="62" spans="1:15" s="150" customFormat="1" ht="17.100000000000001" customHeight="1">
      <c r="A62" s="3"/>
      <c r="B62" s="4"/>
      <c r="C62" s="4"/>
      <c r="D62" s="5"/>
      <c r="E62" s="5"/>
      <c r="F62" s="5"/>
      <c r="G62" s="5"/>
      <c r="H62" s="5"/>
      <c r="I62" s="5"/>
      <c r="J62" s="5"/>
      <c r="K62" s="5"/>
      <c r="L62" s="5"/>
      <c r="M62" s="354"/>
      <c r="N62" s="155"/>
      <c r="O62" s="149"/>
    </row>
    <row r="63" spans="1:15" s="150" customFormat="1" ht="17.100000000000001" customHeight="1">
      <c r="A63" s="3"/>
      <c r="B63" s="4"/>
      <c r="C63" s="4"/>
      <c r="D63" s="5"/>
      <c r="E63" s="5"/>
      <c r="F63" s="5"/>
      <c r="G63" s="5"/>
      <c r="H63" s="5"/>
      <c r="I63" s="5"/>
      <c r="J63" s="5"/>
      <c r="K63" s="5"/>
      <c r="L63" s="5"/>
      <c r="M63" s="354"/>
      <c r="N63" s="155"/>
      <c r="O63" s="149"/>
    </row>
    <row r="64" spans="1:15" s="150" customFormat="1" ht="22.5" customHeight="1">
      <c r="A64" s="3"/>
      <c r="B64" s="4"/>
      <c r="C64" s="4"/>
      <c r="D64" s="5"/>
      <c r="E64" s="5"/>
      <c r="F64" s="5"/>
      <c r="G64" s="5"/>
      <c r="H64" s="5"/>
      <c r="I64" s="5"/>
      <c r="J64" s="5"/>
      <c r="K64" s="5"/>
      <c r="L64" s="5"/>
      <c r="M64" s="353"/>
      <c r="N64" s="155"/>
      <c r="O64" s="149"/>
    </row>
    <row r="65" spans="1:15" s="150" customFormat="1" ht="22.5" customHeight="1">
      <c r="A65" s="3"/>
      <c r="B65" s="4"/>
      <c r="C65" s="4"/>
      <c r="D65" s="5"/>
      <c r="E65" s="5"/>
      <c r="F65" s="5"/>
      <c r="G65" s="5"/>
      <c r="H65" s="5"/>
      <c r="I65" s="5"/>
      <c r="J65" s="5"/>
      <c r="K65" s="5"/>
      <c r="L65" s="5"/>
      <c r="M65" s="353"/>
      <c r="N65" s="155"/>
      <c r="O65" s="149"/>
    </row>
    <row r="66" spans="1:15" s="15" customFormat="1" ht="22.5" customHeight="1">
      <c r="A66" s="3"/>
      <c r="B66" s="4"/>
      <c r="C66" s="4"/>
      <c r="D66" s="5"/>
      <c r="E66" s="5"/>
      <c r="F66" s="5"/>
      <c r="G66" s="5"/>
      <c r="H66" s="5"/>
      <c r="I66" s="5"/>
      <c r="J66" s="5"/>
      <c r="K66" s="5"/>
      <c r="L66" s="5"/>
      <c r="M66" s="353"/>
      <c r="N66" s="116"/>
      <c r="O66" s="69"/>
    </row>
    <row r="67" spans="1:15" s="15" customFormat="1" ht="22.5" customHeight="1">
      <c r="A67" s="3"/>
      <c r="B67" s="4"/>
      <c r="C67" s="4"/>
      <c r="D67" s="5"/>
      <c r="E67" s="5"/>
      <c r="F67" s="5"/>
      <c r="G67" s="5"/>
      <c r="H67" s="5"/>
      <c r="I67" s="5"/>
      <c r="J67" s="5"/>
      <c r="K67" s="5"/>
      <c r="L67" s="5"/>
      <c r="M67" s="353"/>
      <c r="N67" s="68"/>
      <c r="O67" s="69"/>
    </row>
    <row r="68" spans="1:15" s="15" customFormat="1" ht="22.5" customHeight="1">
      <c r="A68" s="3"/>
      <c r="B68" s="4"/>
      <c r="C68" s="4"/>
      <c r="D68" s="5"/>
      <c r="E68" s="5"/>
      <c r="F68" s="5"/>
      <c r="G68" s="5"/>
      <c r="H68" s="5"/>
      <c r="I68" s="5"/>
      <c r="J68" s="5"/>
      <c r="K68" s="5"/>
      <c r="L68" s="5"/>
      <c r="M68" s="353"/>
      <c r="N68" s="68"/>
      <c r="O68" s="69"/>
    </row>
    <row r="69" spans="1:15" s="150" customFormat="1" ht="22.5" customHeight="1">
      <c r="A69" s="3"/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  <c r="M69" s="353"/>
      <c r="N69" s="148"/>
      <c r="O69" s="149"/>
    </row>
    <row r="70" spans="1:15" ht="22.5" customHeight="1">
      <c r="M70" s="82"/>
      <c r="N70" s="83"/>
      <c r="O70" s="84"/>
    </row>
    <row r="71" spans="1:15" ht="22.5" customHeight="1">
      <c r="M71" s="88"/>
      <c r="N71" s="5"/>
      <c r="O71" s="84"/>
    </row>
    <row r="72" spans="1:15" ht="18.95" customHeight="1">
      <c r="M72" s="88"/>
      <c r="N72" s="5"/>
      <c r="O72" s="92"/>
    </row>
    <row r="73" spans="1:15" ht="22.5" customHeight="1">
      <c r="M73" s="5"/>
      <c r="N73" s="5"/>
    </row>
    <row r="74" spans="1:15" ht="22.5" customHeight="1"/>
    <row r="75" spans="1:15" ht="22.5" customHeight="1"/>
    <row r="76" spans="1:15" ht="22.5" customHeight="1"/>
    <row r="77" spans="1:15" ht="22.5" customHeight="1"/>
    <row r="78" spans="1:15" ht="22.5" customHeight="1"/>
    <row r="79" spans="1:15" ht="22.5" customHeight="1"/>
    <row r="80" spans="1:15" ht="22.5" customHeight="1"/>
    <row r="81" spans="15:15" ht="22.5" customHeight="1">
      <c r="O81" s="84"/>
    </row>
    <row r="82" spans="15:15" ht="22.5" customHeight="1"/>
  </sheetData>
  <mergeCells count="59">
    <mergeCell ref="E46:F46"/>
    <mergeCell ref="B47:C47"/>
    <mergeCell ref="E47:F47"/>
    <mergeCell ref="B48:C48"/>
    <mergeCell ref="E48:F48"/>
    <mergeCell ref="E45:F45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4:F44"/>
    <mergeCell ref="O37:P37"/>
    <mergeCell ref="M29:N29"/>
    <mergeCell ref="A30:D30"/>
    <mergeCell ref="E30:F30"/>
    <mergeCell ref="G30:L30"/>
    <mergeCell ref="A31:A32"/>
    <mergeCell ref="E31:F31"/>
    <mergeCell ref="E32:F32"/>
    <mergeCell ref="E25:F25"/>
    <mergeCell ref="M25:N25"/>
    <mergeCell ref="E26:F26"/>
    <mergeCell ref="M26:N26"/>
    <mergeCell ref="E27:F27"/>
    <mergeCell ref="M27:N27"/>
    <mergeCell ref="E22:F22"/>
    <mergeCell ref="M22:N22"/>
    <mergeCell ref="E23:F23"/>
    <mergeCell ref="M23:N23"/>
    <mergeCell ref="E24:F24"/>
    <mergeCell ref="M24:N24"/>
    <mergeCell ref="E21:F21"/>
    <mergeCell ref="M21:N21"/>
    <mergeCell ref="J7:K8"/>
    <mergeCell ref="C8:G8"/>
    <mergeCell ref="A9:B9"/>
    <mergeCell ref="A10:B10"/>
    <mergeCell ref="B13:G16"/>
    <mergeCell ref="I13:L13"/>
    <mergeCell ref="I14:L14"/>
    <mergeCell ref="I15:L15"/>
    <mergeCell ref="I16:L16"/>
    <mergeCell ref="A19:D19"/>
    <mergeCell ref="E19:F19"/>
    <mergeCell ref="G19:L19"/>
    <mergeCell ref="E20:F20"/>
    <mergeCell ref="M20:N20"/>
    <mergeCell ref="E6:F6"/>
    <mergeCell ref="J6:K6"/>
    <mergeCell ref="A1:L1"/>
    <mergeCell ref="A3:C4"/>
    <mergeCell ref="J3:K3"/>
    <mergeCell ref="J4:K4"/>
    <mergeCell ref="J5:K5"/>
  </mergeCells>
  <phoneticPr fontId="4"/>
  <printOptions horizontalCentered="1"/>
  <pageMargins left="0.39370078740157483" right="0.39370078740157483" top="0.39370078740157483" bottom="0.39370078740157483" header="0.39370078740157483" footer="0.39370078740157483"/>
  <pageSetup paperSize="9" scale="69" orientation="portrait" r:id="rId1"/>
  <headerFooter>
    <oddFooter>&amp;R&amp;"BIZ UDPゴシック,標準"&amp;8株式会社プレック研究所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4BE9-3FB2-4096-BE6C-9F34F7579DC1}">
  <sheetPr codeName="Sheet11">
    <tabColor theme="8" tint="0.39997558519241921"/>
    <pageSetUpPr fitToPage="1"/>
  </sheetPr>
  <dimension ref="A1:X85"/>
  <sheetViews>
    <sheetView view="pageBreakPreview" topLeftCell="A16" zoomScaleNormal="100" zoomScaleSheetLayoutView="100" workbookViewId="0">
      <selection activeCell="J44" sqref="J44"/>
    </sheetView>
  </sheetViews>
  <sheetFormatPr defaultColWidth="8.25" defaultRowHeight="12"/>
  <cols>
    <col min="1" max="1" width="3" style="3" customWidth="1"/>
    <col min="2" max="2" width="10.5" style="4" customWidth="1"/>
    <col min="3" max="3" width="27" style="4" customWidth="1"/>
    <col min="4" max="9" width="8.125" style="5" customWidth="1"/>
    <col min="10" max="10" width="11.875" style="5" customWidth="1"/>
    <col min="11" max="11" width="2.875" style="5" customWidth="1"/>
    <col min="12" max="12" width="22" style="5" customWidth="1"/>
    <col min="13" max="13" width="13.375" style="1" customWidth="1"/>
    <col min="14" max="14" width="13.375" style="1" bestFit="1" customWidth="1"/>
    <col min="15" max="15" width="16.5" style="2" bestFit="1" customWidth="1"/>
    <col min="16" max="21" width="8.25" style="5"/>
    <col min="22" max="22" width="11.375" style="5" bestFit="1" customWidth="1"/>
    <col min="23" max="23" width="10.375" style="5" bestFit="1" customWidth="1"/>
    <col min="24" max="16384" width="8.25" style="5"/>
  </cols>
  <sheetData>
    <row r="1" spans="1:18" s="1" customFormat="1" ht="84" customHeight="1">
      <c r="A1" s="556" t="s">
        <v>0</v>
      </c>
      <c r="B1" s="556"/>
      <c r="C1" s="556"/>
      <c r="D1" s="556"/>
      <c r="E1" s="556"/>
      <c r="F1" s="556"/>
      <c r="G1" s="556"/>
      <c r="H1" s="556"/>
      <c r="I1" s="556"/>
      <c r="J1" s="556"/>
      <c r="K1" s="556"/>
      <c r="L1" s="556"/>
      <c r="O1" s="2"/>
    </row>
    <row r="2" spans="1:18" s="1" customFormat="1" ht="20.100000000000001" customHeight="1">
      <c r="A2" s="3"/>
      <c r="B2" s="4"/>
      <c r="C2" s="4"/>
      <c r="D2" s="5"/>
      <c r="E2" s="5"/>
      <c r="F2" s="5"/>
      <c r="G2" s="5"/>
      <c r="H2" s="5"/>
      <c r="I2" s="5"/>
      <c r="J2" s="5"/>
      <c r="K2" s="5"/>
      <c r="L2" s="136">
        <v>45321</v>
      </c>
      <c r="O2" s="2"/>
    </row>
    <row r="3" spans="1:18" s="1" customFormat="1" ht="20.100000000000001" customHeight="1">
      <c r="A3" s="557" t="s">
        <v>62</v>
      </c>
      <c r="B3" s="557"/>
      <c r="C3" s="557"/>
      <c r="D3" s="125"/>
      <c r="E3" s="6"/>
      <c r="F3" s="5"/>
      <c r="G3" s="5"/>
      <c r="H3" s="5"/>
      <c r="I3" s="5"/>
      <c r="J3" s="559" t="s">
        <v>1</v>
      </c>
      <c r="K3" s="559"/>
      <c r="L3" s="7" t="s">
        <v>50</v>
      </c>
      <c r="O3" s="2"/>
    </row>
    <row r="4" spans="1:18" s="1" customFormat="1" ht="20.100000000000001" customHeight="1">
      <c r="A4" s="558"/>
      <c r="B4" s="558"/>
      <c r="C4" s="558"/>
      <c r="D4" s="134"/>
      <c r="E4" s="134"/>
      <c r="F4" s="134"/>
      <c r="G4" s="5"/>
      <c r="H4" s="5"/>
      <c r="I4" s="5"/>
      <c r="J4" s="560" t="s">
        <v>57</v>
      </c>
      <c r="K4" s="561"/>
      <c r="L4" s="138">
        <v>45747</v>
      </c>
      <c r="O4" s="2"/>
    </row>
    <row r="5" spans="1:18" s="1" customFormat="1" ht="20.100000000000001" customHeight="1">
      <c r="A5" s="3"/>
      <c r="B5" s="8"/>
      <c r="C5" s="130"/>
      <c r="D5" s="130"/>
      <c r="E5" s="6"/>
      <c r="F5" s="5"/>
      <c r="G5" s="5"/>
      <c r="H5" s="5"/>
      <c r="I5" s="5"/>
      <c r="J5" s="554" t="s">
        <v>58</v>
      </c>
      <c r="K5" s="555"/>
      <c r="L5" s="11" t="s">
        <v>4</v>
      </c>
      <c r="O5" s="2"/>
    </row>
    <row r="6" spans="1:18" s="1" customFormat="1" ht="20.100000000000001" customHeight="1">
      <c r="A6" s="131" t="s">
        <v>52</v>
      </c>
      <c r="B6" s="131"/>
      <c r="C6" s="113">
        <f>+E28</f>
        <v>28930000.000000004</v>
      </c>
      <c r="D6" s="9" t="s">
        <v>2</v>
      </c>
      <c r="E6" s="553">
        <f>+E26*0.1</f>
        <v>2630000</v>
      </c>
      <c r="F6" s="553"/>
      <c r="G6" s="10" t="s">
        <v>3</v>
      </c>
      <c r="H6" s="135"/>
      <c r="I6" s="5"/>
      <c r="J6" s="554" t="s">
        <v>59</v>
      </c>
      <c r="K6" s="555"/>
      <c r="L6" s="11" t="s">
        <v>5</v>
      </c>
      <c r="O6" s="2"/>
      <c r="Q6" s="3"/>
      <c r="R6" s="121"/>
    </row>
    <row r="7" spans="1:18" s="1" customFormat="1" ht="20.100000000000001" customHeight="1">
      <c r="A7" s="132"/>
      <c r="B7" s="133"/>
      <c r="C7" s="124"/>
      <c r="D7" s="124"/>
      <c r="E7" s="124"/>
      <c r="F7" s="124"/>
      <c r="G7" s="124"/>
      <c r="H7" s="124"/>
      <c r="I7" s="5"/>
      <c r="J7" s="554" t="s">
        <v>60</v>
      </c>
      <c r="K7" s="555"/>
      <c r="L7" s="11" t="s">
        <v>63</v>
      </c>
      <c r="O7" s="2"/>
      <c r="Q7" s="3"/>
      <c r="R7" s="121"/>
    </row>
    <row r="8" spans="1:18" s="1" customFormat="1" ht="20.100000000000001" customHeight="1">
      <c r="A8" s="131" t="s">
        <v>6</v>
      </c>
      <c r="B8" s="131"/>
      <c r="C8" s="567" t="s">
        <v>61</v>
      </c>
      <c r="D8" s="567"/>
      <c r="E8" s="567"/>
      <c r="F8" s="567"/>
      <c r="G8" s="567"/>
      <c r="H8" s="124"/>
      <c r="I8" s="5"/>
      <c r="J8" s="566"/>
      <c r="K8" s="559"/>
      <c r="L8" s="12" t="s">
        <v>64</v>
      </c>
      <c r="O8" s="2"/>
      <c r="Q8" s="3"/>
      <c r="R8" s="7"/>
    </row>
    <row r="9" spans="1:18" s="1" customFormat="1" ht="20.100000000000001" customHeight="1">
      <c r="A9" s="568"/>
      <c r="B9" s="568"/>
      <c r="C9" s="124"/>
      <c r="D9" s="124"/>
      <c r="E9" s="124"/>
      <c r="F9" s="124"/>
      <c r="G9" s="124"/>
      <c r="H9" s="124"/>
      <c r="I9" s="5"/>
      <c r="J9" s="128"/>
      <c r="K9" s="128"/>
      <c r="L9" s="129"/>
      <c r="O9" s="2"/>
      <c r="Q9" s="3"/>
      <c r="R9" s="7"/>
    </row>
    <row r="10" spans="1:18" s="1" customFormat="1" ht="18" customHeight="1">
      <c r="A10" s="569"/>
      <c r="B10" s="569"/>
      <c r="C10" s="124"/>
      <c r="D10" s="126"/>
      <c r="E10" s="126"/>
      <c r="F10" s="126"/>
      <c r="G10" s="126"/>
      <c r="H10" s="127"/>
      <c r="I10" s="5"/>
      <c r="J10" s="5"/>
      <c r="K10" s="5"/>
      <c r="L10" s="5"/>
      <c r="O10" s="2"/>
      <c r="Q10" s="3"/>
      <c r="R10" s="7"/>
    </row>
    <row r="11" spans="1:18" s="1" customFormat="1" ht="18" customHeight="1">
      <c r="A11" s="3"/>
      <c r="B11" s="15" t="s">
        <v>7</v>
      </c>
      <c r="C11" s="4"/>
      <c r="D11" s="5"/>
      <c r="E11" s="5"/>
      <c r="F11" s="5"/>
      <c r="G11" s="5"/>
      <c r="H11" s="5"/>
      <c r="I11" s="5"/>
      <c r="J11" s="5"/>
      <c r="K11" s="5"/>
      <c r="L11" s="5"/>
      <c r="O11" s="2"/>
    </row>
    <row r="12" spans="1:18" s="1" customFormat="1" ht="18" customHeight="1">
      <c r="A12" s="3"/>
      <c r="B12" s="15" t="s">
        <v>8</v>
      </c>
      <c r="C12" s="4"/>
      <c r="D12" s="5"/>
      <c r="E12" s="5"/>
      <c r="F12" s="5"/>
      <c r="G12" s="5"/>
      <c r="H12" s="5"/>
      <c r="I12" s="5"/>
      <c r="J12" s="5"/>
      <c r="K12" s="5"/>
      <c r="L12" s="5"/>
      <c r="O12" s="2"/>
    </row>
    <row r="13" spans="1:18" s="1" customFormat="1" ht="18" customHeight="1">
      <c r="A13" s="3"/>
      <c r="B13" s="570" t="s">
        <v>51</v>
      </c>
      <c r="C13" s="571"/>
      <c r="D13" s="571"/>
      <c r="E13" s="571"/>
      <c r="F13" s="571"/>
      <c r="G13" s="572"/>
      <c r="H13" s="5"/>
      <c r="I13" s="579" t="s">
        <v>56</v>
      </c>
      <c r="J13" s="579"/>
      <c r="K13" s="579"/>
      <c r="L13" s="579"/>
      <c r="O13" s="2"/>
    </row>
    <row r="14" spans="1:18" s="1" customFormat="1" ht="18" customHeight="1">
      <c r="A14" s="13"/>
      <c r="B14" s="573"/>
      <c r="C14" s="574"/>
      <c r="D14" s="574"/>
      <c r="E14" s="574"/>
      <c r="F14" s="574"/>
      <c r="G14" s="575"/>
      <c r="H14" s="5"/>
      <c r="I14" s="579" t="s">
        <v>9</v>
      </c>
      <c r="J14" s="579"/>
      <c r="K14" s="579"/>
      <c r="L14" s="579"/>
      <c r="O14" s="2"/>
    </row>
    <row r="15" spans="1:18" s="1" customFormat="1" ht="18" customHeight="1">
      <c r="A15" s="13"/>
      <c r="B15" s="573"/>
      <c r="C15" s="574"/>
      <c r="D15" s="574"/>
      <c r="E15" s="574"/>
      <c r="F15" s="574"/>
      <c r="G15" s="575"/>
      <c r="H15" s="5"/>
      <c r="I15" s="579" t="s">
        <v>55</v>
      </c>
      <c r="J15" s="579"/>
      <c r="K15" s="579"/>
      <c r="L15" s="579"/>
      <c r="O15" s="2"/>
    </row>
    <row r="16" spans="1:18" s="1" customFormat="1" ht="18" customHeight="1">
      <c r="A16" s="13"/>
      <c r="B16" s="576"/>
      <c r="C16" s="577"/>
      <c r="D16" s="577"/>
      <c r="E16" s="577"/>
      <c r="F16" s="577"/>
      <c r="G16" s="578"/>
      <c r="H16" s="5"/>
      <c r="I16" s="579" t="s">
        <v>10</v>
      </c>
      <c r="J16" s="579"/>
      <c r="K16" s="579"/>
      <c r="L16" s="579"/>
      <c r="O16" s="2"/>
    </row>
    <row r="17" spans="1:24" s="1" customFormat="1" ht="18" customHeight="1">
      <c r="A17" s="13"/>
      <c r="B17" s="123"/>
      <c r="C17" s="123"/>
      <c r="D17" s="123"/>
      <c r="E17" s="123"/>
      <c r="F17" s="123"/>
      <c r="G17" s="123"/>
      <c r="H17" s="5"/>
      <c r="I17" s="120"/>
      <c r="J17" s="120"/>
      <c r="K17" s="120"/>
      <c r="L17" s="120"/>
      <c r="O17" s="2"/>
    </row>
    <row r="18" spans="1:24" ht="18" customHeight="1">
      <c r="A18" s="13"/>
      <c r="B18" s="122"/>
      <c r="C18" s="122"/>
      <c r="D18" s="122"/>
      <c r="E18" s="122"/>
      <c r="F18" s="122"/>
      <c r="G18" s="122"/>
      <c r="I18" s="579"/>
      <c r="J18" s="579"/>
      <c r="K18" s="579"/>
      <c r="L18" s="579"/>
      <c r="O18" s="5"/>
    </row>
    <row r="19" spans="1:24" s="15" customFormat="1" ht="18.95" customHeight="1" thickBot="1">
      <c r="A19" s="13" t="s">
        <v>11</v>
      </c>
      <c r="B19" s="14"/>
      <c r="C19" s="14"/>
      <c r="D19" s="14"/>
      <c r="M19" s="16"/>
      <c r="N19" s="16"/>
    </row>
    <row r="20" spans="1:24" s="15" customFormat="1" ht="19.5" customHeight="1" thickBot="1">
      <c r="A20" s="580" t="s">
        <v>12</v>
      </c>
      <c r="B20" s="581"/>
      <c r="C20" s="581"/>
      <c r="D20" s="582"/>
      <c r="E20" s="583" t="s">
        <v>13</v>
      </c>
      <c r="F20" s="582"/>
      <c r="G20" s="583" t="s">
        <v>14</v>
      </c>
      <c r="H20" s="581"/>
      <c r="I20" s="581"/>
      <c r="J20" s="581"/>
      <c r="K20" s="581"/>
      <c r="L20" s="584"/>
      <c r="M20" s="587"/>
      <c r="N20" s="588"/>
    </row>
    <row r="21" spans="1:24" s="15" customFormat="1" ht="18.95" customHeight="1" thickTop="1">
      <c r="A21" s="18">
        <v>1</v>
      </c>
      <c r="B21" s="19" t="s">
        <v>15</v>
      </c>
      <c r="C21" s="19"/>
      <c r="D21" s="20"/>
      <c r="E21" s="585">
        <f>+J46</f>
        <v>10893600</v>
      </c>
      <c r="F21" s="586"/>
      <c r="G21" s="21" t="s">
        <v>16</v>
      </c>
      <c r="H21" s="22"/>
      <c r="I21" s="22"/>
      <c r="J21" s="22"/>
      <c r="K21" s="22"/>
      <c r="L21" s="23"/>
      <c r="M21" s="564"/>
      <c r="N21" s="565"/>
    </row>
    <row r="22" spans="1:24" s="15" customFormat="1" ht="18.95" customHeight="1">
      <c r="A22" s="25">
        <v>2</v>
      </c>
      <c r="B22" s="26" t="s">
        <v>17</v>
      </c>
      <c r="C22" s="26"/>
      <c r="D22" s="27"/>
      <c r="E22" s="562">
        <v>0</v>
      </c>
      <c r="F22" s="563"/>
      <c r="G22" s="28" t="s">
        <v>230</v>
      </c>
      <c r="H22" s="29"/>
      <c r="I22" s="29"/>
      <c r="J22" s="29"/>
      <c r="K22" s="29"/>
      <c r="L22" s="30"/>
      <c r="M22" s="564"/>
      <c r="N22" s="565"/>
      <c r="O22" s="1"/>
    </row>
    <row r="23" spans="1:24" s="15" customFormat="1" ht="18.95" customHeight="1">
      <c r="A23" s="25">
        <v>3</v>
      </c>
      <c r="B23" s="26" t="s">
        <v>231</v>
      </c>
      <c r="C23" s="26"/>
      <c r="D23" s="27"/>
      <c r="E23" s="562">
        <f>E21*1.1</f>
        <v>11982960.000000002</v>
      </c>
      <c r="F23" s="563"/>
      <c r="G23" s="28" t="s">
        <v>233</v>
      </c>
      <c r="H23" s="29"/>
      <c r="I23" s="29"/>
      <c r="J23" s="29"/>
      <c r="K23" s="29"/>
      <c r="L23" s="31"/>
      <c r="M23" s="564"/>
      <c r="N23" s="565"/>
    </row>
    <row r="24" spans="1:24" s="15" customFormat="1" ht="18.95" customHeight="1">
      <c r="A24" s="33">
        <v>4</v>
      </c>
      <c r="B24" s="34" t="s">
        <v>232</v>
      </c>
      <c r="C24" s="34"/>
      <c r="D24" s="35"/>
      <c r="E24" s="589">
        <f>(E21+E23)*0.15</f>
        <v>3431484</v>
      </c>
      <c r="F24" s="590"/>
      <c r="G24" s="36" t="s">
        <v>234</v>
      </c>
      <c r="H24" s="37"/>
      <c r="I24" s="37"/>
      <c r="J24" s="38"/>
      <c r="K24" s="38"/>
      <c r="L24" s="39"/>
      <c r="M24" s="564"/>
      <c r="N24" s="565"/>
    </row>
    <row r="25" spans="1:24" s="15" customFormat="1" ht="18.95" customHeight="1">
      <c r="A25" s="40" t="s">
        <v>27</v>
      </c>
      <c r="B25" s="41"/>
      <c r="C25" s="41"/>
      <c r="D25" s="42"/>
      <c r="E25" s="591">
        <f>+E21+E22+E23+E24</f>
        <v>26308044</v>
      </c>
      <c r="F25" s="592"/>
      <c r="G25" s="43" t="s">
        <v>28</v>
      </c>
      <c r="H25" s="44"/>
      <c r="I25" s="44"/>
      <c r="J25" s="44"/>
      <c r="K25" s="44"/>
      <c r="L25" s="45"/>
      <c r="M25" s="564"/>
      <c r="N25" s="565"/>
    </row>
    <row r="26" spans="1:24" s="15" customFormat="1" ht="18.95" customHeight="1">
      <c r="A26" s="46" t="s">
        <v>29</v>
      </c>
      <c r="B26" s="26"/>
      <c r="C26" s="26"/>
      <c r="D26" s="27"/>
      <c r="E26" s="562">
        <f>ROUNDDOWN(E25,-4)</f>
        <v>26300000</v>
      </c>
      <c r="F26" s="563"/>
      <c r="G26" s="28" t="s">
        <v>30</v>
      </c>
      <c r="H26" s="29"/>
      <c r="I26" s="29"/>
      <c r="J26" s="29"/>
      <c r="K26" s="29"/>
      <c r="L26" s="47"/>
      <c r="M26" s="564"/>
      <c r="N26" s="565"/>
    </row>
    <row r="27" spans="1:24" s="15" customFormat="1" ht="18.95" customHeight="1">
      <c r="A27" s="46" t="s">
        <v>31</v>
      </c>
      <c r="B27" s="26"/>
      <c r="C27" s="26"/>
      <c r="D27" s="27"/>
      <c r="E27" s="562">
        <f>+E26*0.1</f>
        <v>2630000</v>
      </c>
      <c r="F27" s="563"/>
      <c r="G27" s="48">
        <v>0.1</v>
      </c>
      <c r="H27" s="29"/>
      <c r="I27" s="29"/>
      <c r="J27" s="29"/>
      <c r="K27" s="29"/>
      <c r="L27" s="47"/>
      <c r="M27" s="564"/>
      <c r="N27" s="565"/>
    </row>
    <row r="28" spans="1:24" ht="18.95" customHeight="1">
      <c r="A28" s="412" t="s">
        <v>32</v>
      </c>
      <c r="B28" s="413"/>
      <c r="C28" s="413"/>
      <c r="D28" s="413"/>
      <c r="E28" s="608">
        <f>+E26*1.1</f>
        <v>28930000.000000004</v>
      </c>
      <c r="F28" s="609"/>
      <c r="G28" s="414"/>
      <c r="H28" s="415"/>
      <c r="I28" s="415"/>
      <c r="J28" s="415"/>
      <c r="K28" s="415"/>
      <c r="L28" s="416"/>
      <c r="M28" s="564"/>
      <c r="N28" s="565"/>
      <c r="O28" s="5"/>
    </row>
    <row r="29" spans="1:24" ht="42.6" customHeight="1">
      <c r="A29" s="610" t="s">
        <v>256</v>
      </c>
      <c r="B29" s="610"/>
      <c r="C29" s="610"/>
      <c r="D29" s="610"/>
      <c r="E29" s="610"/>
      <c r="F29" s="610"/>
      <c r="G29" s="610"/>
      <c r="H29" s="610"/>
      <c r="I29" s="610"/>
      <c r="J29" s="610"/>
      <c r="K29" s="610"/>
      <c r="L29" s="610"/>
      <c r="M29" s="24"/>
      <c r="N29" s="24"/>
      <c r="O29" s="5"/>
    </row>
    <row r="30" spans="1:24" ht="22.5" customHeight="1" thickBot="1">
      <c r="A30" s="13" t="s">
        <v>53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56"/>
      <c r="M30" s="57"/>
      <c r="N30" s="58"/>
      <c r="O30" s="5"/>
    </row>
    <row r="31" spans="1:24" ht="22.5" customHeight="1">
      <c r="A31" s="611" t="s">
        <v>33</v>
      </c>
      <c r="B31" s="612"/>
      <c r="C31" s="613"/>
      <c r="D31" s="59" t="s">
        <v>34</v>
      </c>
      <c r="E31" s="60" t="s">
        <v>35</v>
      </c>
      <c r="F31" s="60" t="s">
        <v>36</v>
      </c>
      <c r="G31" s="60" t="s">
        <v>37</v>
      </c>
      <c r="H31" s="60" t="s">
        <v>38</v>
      </c>
      <c r="I31" s="59" t="s">
        <v>39</v>
      </c>
      <c r="J31" s="61" t="s">
        <v>40</v>
      </c>
      <c r="K31" s="617" t="s">
        <v>14</v>
      </c>
      <c r="L31" s="618"/>
      <c r="O31" s="62"/>
      <c r="P31" s="62"/>
      <c r="Q31" s="63"/>
      <c r="R31" s="64"/>
      <c r="S31" s="63"/>
      <c r="T31" s="63"/>
      <c r="U31" s="63"/>
      <c r="V31" s="63"/>
      <c r="W31" s="65"/>
      <c r="X31" s="66"/>
    </row>
    <row r="32" spans="1:24" ht="22.5" customHeight="1" thickBot="1">
      <c r="A32" s="614"/>
      <c r="B32" s="615"/>
      <c r="C32" s="616"/>
      <c r="D32" s="114">
        <v>70900</v>
      </c>
      <c r="E32" s="115">
        <v>62200</v>
      </c>
      <c r="F32" s="115">
        <v>55200</v>
      </c>
      <c r="G32" s="115">
        <v>45300</v>
      </c>
      <c r="H32" s="115">
        <v>35600</v>
      </c>
      <c r="I32" s="114">
        <v>31600</v>
      </c>
      <c r="J32" s="137" t="s">
        <v>41</v>
      </c>
      <c r="K32" s="619"/>
      <c r="L32" s="620"/>
    </row>
    <row r="33" spans="1:17" s="150" customFormat="1" ht="22.5" customHeight="1" thickTop="1">
      <c r="A33" s="144" t="s">
        <v>65</v>
      </c>
      <c r="B33" s="621" t="s">
        <v>66</v>
      </c>
      <c r="C33" s="622"/>
      <c r="D33" s="145"/>
      <c r="E33" s="146"/>
      <c r="F33" s="146"/>
      <c r="G33" s="146"/>
      <c r="H33" s="146"/>
      <c r="I33" s="146"/>
      <c r="J33" s="147">
        <f t="shared" ref="J33:J72" si="0">+$D$32*D33+$E$32*E33+$F$32*F33+$G$32*G33+$H$32*H33+$I$32*I33</f>
        <v>0</v>
      </c>
      <c r="K33" s="623" t="s">
        <v>249</v>
      </c>
      <c r="L33" s="624"/>
      <c r="M33" s="291">
        <f>+$D$32*D33+$E$32*E33+$F$32*F33+$G$32*G33+$H$32*H33+$I$32*I33</f>
        <v>0</v>
      </c>
      <c r="N33" s="148"/>
      <c r="O33" s="149"/>
    </row>
    <row r="34" spans="1:17" s="15" customFormat="1" ht="22.5" customHeight="1">
      <c r="A34" s="70"/>
      <c r="B34" s="625" t="s">
        <v>69</v>
      </c>
      <c r="C34" s="626"/>
      <c r="D34" s="289"/>
      <c r="E34" s="345"/>
      <c r="F34" s="345"/>
      <c r="G34" s="345"/>
      <c r="H34" s="345"/>
      <c r="I34" s="345"/>
      <c r="J34" s="290">
        <f t="shared" si="0"/>
        <v>0</v>
      </c>
      <c r="K34" s="635"/>
      <c r="L34" s="636"/>
      <c r="M34" s="291">
        <f t="shared" ref="M34:M72" si="1">+$D$32*D34+$E$32*E34+$F$32*F34+$G$32*G34+$H$32*H34+$I$32*I34</f>
        <v>0</v>
      </c>
      <c r="N34" s="68"/>
      <c r="O34" s="595"/>
      <c r="P34" s="595"/>
    </row>
    <row r="35" spans="1:17" s="15" customFormat="1" ht="22.5" customHeight="1">
      <c r="A35" s="70"/>
      <c r="B35" s="637" t="s">
        <v>229</v>
      </c>
      <c r="C35" s="638"/>
      <c r="D35" s="289"/>
      <c r="E35" s="345"/>
      <c r="F35" s="345"/>
      <c r="G35" s="345"/>
      <c r="H35" s="345"/>
      <c r="I35" s="345"/>
      <c r="J35" s="290">
        <f t="shared" si="0"/>
        <v>0</v>
      </c>
      <c r="K35" s="627"/>
      <c r="L35" s="628"/>
      <c r="M35" s="291">
        <f t="shared" si="1"/>
        <v>0</v>
      </c>
      <c r="N35" s="68"/>
      <c r="O35" s="71"/>
      <c r="P35" s="71"/>
    </row>
    <row r="36" spans="1:17" s="15" customFormat="1" ht="22.5" customHeight="1">
      <c r="A36" s="70"/>
      <c r="B36" s="625" t="s">
        <v>72</v>
      </c>
      <c r="C36" s="626"/>
      <c r="D36" s="289"/>
      <c r="E36" s="345"/>
      <c r="F36" s="345"/>
      <c r="G36" s="345"/>
      <c r="H36" s="345"/>
      <c r="I36" s="345"/>
      <c r="J36" s="290">
        <f t="shared" si="0"/>
        <v>0</v>
      </c>
      <c r="K36" s="635"/>
      <c r="L36" s="636"/>
      <c r="M36" s="291">
        <f t="shared" si="1"/>
        <v>0</v>
      </c>
      <c r="N36" s="68"/>
      <c r="O36" s="71"/>
      <c r="P36" s="71"/>
    </row>
    <row r="37" spans="1:17" s="15" customFormat="1" ht="22.5" customHeight="1">
      <c r="A37" s="70"/>
      <c r="B37" s="625" t="s">
        <v>73</v>
      </c>
      <c r="C37" s="626"/>
      <c r="D37" s="289"/>
      <c r="E37" s="345"/>
      <c r="F37" s="345"/>
      <c r="G37" s="345"/>
      <c r="H37" s="345"/>
      <c r="I37" s="345"/>
      <c r="J37" s="290">
        <f t="shared" si="0"/>
        <v>0</v>
      </c>
      <c r="K37" s="627"/>
      <c r="L37" s="628"/>
      <c r="M37" s="291">
        <f t="shared" si="1"/>
        <v>0</v>
      </c>
      <c r="N37" s="68"/>
      <c r="O37" s="69"/>
    </row>
    <row r="38" spans="1:17" s="150" customFormat="1" ht="22.5" customHeight="1">
      <c r="A38" s="151" t="s">
        <v>68</v>
      </c>
      <c r="B38" s="621" t="s">
        <v>67</v>
      </c>
      <c r="C38" s="622"/>
      <c r="D38" s="152"/>
      <c r="E38" s="152"/>
      <c r="F38" s="152"/>
      <c r="G38" s="152"/>
      <c r="H38" s="152">
        <f>H46</f>
        <v>306</v>
      </c>
      <c r="I38" s="152"/>
      <c r="J38" s="346">
        <f t="shared" si="0"/>
        <v>10893600</v>
      </c>
      <c r="K38" s="629" t="s">
        <v>255</v>
      </c>
      <c r="L38" s="630"/>
      <c r="M38" s="291">
        <f t="shared" si="1"/>
        <v>10893600</v>
      </c>
      <c r="N38" s="148"/>
      <c r="O38" s="149"/>
    </row>
    <row r="39" spans="1:17" s="15" customFormat="1" ht="22.5" customHeight="1">
      <c r="A39" s="70"/>
      <c r="B39" s="631" t="s">
        <v>74</v>
      </c>
      <c r="C39" s="632"/>
      <c r="D39" s="289"/>
      <c r="E39" s="345"/>
      <c r="F39" s="345"/>
      <c r="G39" s="345"/>
      <c r="H39" s="345"/>
      <c r="I39" s="345"/>
      <c r="J39" s="290">
        <f t="shared" si="0"/>
        <v>0</v>
      </c>
      <c r="K39" s="633"/>
      <c r="L39" s="634"/>
      <c r="M39" s="291">
        <f t="shared" si="1"/>
        <v>0</v>
      </c>
      <c r="N39" s="68"/>
      <c r="O39" s="595"/>
      <c r="P39" s="595"/>
      <c r="Q39" s="595"/>
    </row>
    <row r="40" spans="1:17" s="15" customFormat="1" ht="22.5" customHeight="1">
      <c r="A40" s="70"/>
      <c r="B40" s="625" t="s">
        <v>85</v>
      </c>
      <c r="C40" s="626"/>
      <c r="D40" s="289"/>
      <c r="E40" s="345"/>
      <c r="F40" s="345"/>
      <c r="G40" s="345"/>
      <c r="H40" s="345"/>
      <c r="I40" s="345"/>
      <c r="J40" s="290">
        <f t="shared" si="0"/>
        <v>0</v>
      </c>
      <c r="K40" s="633"/>
      <c r="L40" s="634"/>
      <c r="M40" s="291">
        <f t="shared" si="1"/>
        <v>0</v>
      </c>
      <c r="N40" s="117"/>
      <c r="O40" s="69"/>
    </row>
    <row r="41" spans="1:17" s="15" customFormat="1" ht="22.5" customHeight="1">
      <c r="A41" s="70"/>
      <c r="B41" s="639" t="s">
        <v>79</v>
      </c>
      <c r="C41" s="640"/>
      <c r="D41" s="289"/>
      <c r="E41" s="323"/>
      <c r="F41" s="323"/>
      <c r="G41" s="323"/>
      <c r="H41" s="323"/>
      <c r="I41" s="323"/>
      <c r="J41" s="347">
        <f>+$D$35*D41+$E$35*E41+$F$35*F41+$G$35*G41+$H$35*H41+$I$35*I41</f>
        <v>0</v>
      </c>
      <c r="K41" s="635"/>
      <c r="L41" s="636"/>
      <c r="M41" s="291">
        <f>+$D$35*D41+$E$35*E41+$F$35*F41+$G$35*G41+$H$35*H41+$I$35*I41</f>
        <v>0</v>
      </c>
      <c r="N41" s="117"/>
      <c r="O41" s="69"/>
    </row>
    <row r="42" spans="1:17" s="15" customFormat="1" ht="22.5" customHeight="1">
      <c r="A42" s="70"/>
      <c r="B42" s="639" t="s">
        <v>80</v>
      </c>
      <c r="C42" s="640"/>
      <c r="D42" s="289"/>
      <c r="E42" s="323"/>
      <c r="F42" s="323"/>
      <c r="G42" s="323"/>
      <c r="H42" s="323"/>
      <c r="I42" s="323"/>
      <c r="J42" s="347">
        <f>+$D$35*D42+$E$35*E42+$F$35*F42+$G$35*G42+$H$35*H42+$I$35*I42</f>
        <v>0</v>
      </c>
      <c r="K42" s="635"/>
      <c r="L42" s="636"/>
      <c r="M42" s="291">
        <f>+$D$35*D42+$E$35*E42+$F$35*F42+$G$35*G42+$H$35*H42+$I$35*I42</f>
        <v>0</v>
      </c>
      <c r="N42" s="117"/>
      <c r="O42" s="69"/>
    </row>
    <row r="43" spans="1:17" s="15" customFormat="1" ht="22.5" customHeight="1">
      <c r="A43" s="70"/>
      <c r="B43" s="639" t="s">
        <v>81</v>
      </c>
      <c r="C43" s="640"/>
      <c r="D43" s="289"/>
      <c r="E43" s="323"/>
      <c r="F43" s="323"/>
      <c r="G43" s="323"/>
      <c r="H43" s="323"/>
      <c r="I43" s="323"/>
      <c r="J43" s="347">
        <f>+$D$35*D43+$E$35*E43+$F$35*F43+$G$35*G43+$H$35*H43+$I$35*I43</f>
        <v>0</v>
      </c>
      <c r="K43" s="635"/>
      <c r="L43" s="636"/>
      <c r="M43" s="291">
        <f>+$D$35*D43+$E$35*E43+$F$35*F43+$G$35*G43+$H$35*H43+$I$35*I43</f>
        <v>0</v>
      </c>
      <c r="N43" s="117"/>
      <c r="O43" s="69"/>
    </row>
    <row r="44" spans="1:17" s="15" customFormat="1" ht="22.5" customHeight="1">
      <c r="A44" s="70"/>
      <c r="B44" s="639" t="s">
        <v>82</v>
      </c>
      <c r="C44" s="640"/>
      <c r="D44" s="289"/>
      <c r="E44" s="323"/>
      <c r="F44" s="323"/>
      <c r="G44" s="323"/>
      <c r="H44" s="323"/>
      <c r="I44" s="323"/>
      <c r="J44" s="347">
        <f>+$D$35*D44+$E$35*E44+$F$35*F44+$G$35*G44+$H$35*H44+$I$35*I44</f>
        <v>0</v>
      </c>
      <c r="K44" s="635"/>
      <c r="L44" s="636"/>
      <c r="M44" s="291">
        <f>+$D$35*D44+$E$35*E44+$F$35*F44+$G$35*G44+$H$35*H44+$I$35*I44</f>
        <v>0</v>
      </c>
      <c r="N44" s="117"/>
      <c r="O44" s="69"/>
    </row>
    <row r="45" spans="1:17" s="15" customFormat="1" ht="22.5" customHeight="1">
      <c r="A45" s="70"/>
      <c r="B45" s="639" t="s">
        <v>83</v>
      </c>
      <c r="C45" s="640"/>
      <c r="D45" s="289"/>
      <c r="E45" s="323"/>
      <c r="F45" s="323"/>
      <c r="G45" s="323"/>
      <c r="H45" s="323"/>
      <c r="I45" s="323"/>
      <c r="J45" s="347">
        <f>+$D$35*D45+$E$35*E45+$F$35*F45+$G$35*G45+$H$35*H45+$I$35*I45</f>
        <v>0</v>
      </c>
      <c r="K45" s="635"/>
      <c r="L45" s="636"/>
      <c r="M45" s="291">
        <f>+$D$35*D45+$E$35*E45+$F$35*F45+$G$35*G45+$H$35*H45+$I$35*I45</f>
        <v>0</v>
      </c>
      <c r="N45" s="117"/>
      <c r="O45" s="69"/>
    </row>
    <row r="46" spans="1:17" s="15" customFormat="1" ht="22.5" customHeight="1">
      <c r="A46" s="70"/>
      <c r="B46" s="639" t="s">
        <v>84</v>
      </c>
      <c r="C46" s="640"/>
      <c r="D46" s="289"/>
      <c r="E46" s="344"/>
      <c r="F46" s="344"/>
      <c r="G46" s="344"/>
      <c r="H46" s="417">
        <f>SUM(H47+H48+H52+H53)</f>
        <v>306</v>
      </c>
      <c r="I46" s="344"/>
      <c r="J46" s="347">
        <f t="shared" si="0"/>
        <v>10893600</v>
      </c>
      <c r="K46" s="635"/>
      <c r="L46" s="636"/>
      <c r="M46" s="291">
        <f t="shared" si="1"/>
        <v>10893600</v>
      </c>
      <c r="N46" s="117"/>
      <c r="O46" s="69"/>
    </row>
    <row r="47" spans="1:17" s="15" customFormat="1" ht="22.5" customHeight="1">
      <c r="A47" s="70"/>
      <c r="B47" s="639" t="s">
        <v>213</v>
      </c>
      <c r="C47" s="640"/>
      <c r="D47" s="289"/>
      <c r="E47" s="323"/>
      <c r="F47" s="323"/>
      <c r="G47" s="323"/>
      <c r="H47" s="418">
        <f>ROUNDDOWN(33.1/2,0)</f>
        <v>16</v>
      </c>
      <c r="I47" s="323"/>
      <c r="J47" s="343">
        <f t="shared" si="0"/>
        <v>569600</v>
      </c>
      <c r="K47" s="635"/>
      <c r="L47" s="636"/>
      <c r="M47" s="291">
        <f t="shared" si="1"/>
        <v>569600</v>
      </c>
      <c r="N47" s="117"/>
      <c r="O47" s="69"/>
    </row>
    <row r="48" spans="1:17" s="15" customFormat="1" ht="22.5" customHeight="1">
      <c r="A48" s="70"/>
      <c r="B48" s="639" t="s">
        <v>214</v>
      </c>
      <c r="C48" s="640"/>
      <c r="D48" s="289"/>
      <c r="E48" s="323"/>
      <c r="F48" s="323"/>
      <c r="G48" s="323"/>
      <c r="H48" s="418">
        <f>SUM(H49:H51)</f>
        <v>237</v>
      </c>
      <c r="I48" s="323"/>
      <c r="J48" s="343">
        <f t="shared" si="0"/>
        <v>8437200</v>
      </c>
      <c r="K48" s="635"/>
      <c r="L48" s="636"/>
      <c r="M48" s="291">
        <f t="shared" si="1"/>
        <v>8437200</v>
      </c>
      <c r="N48" s="117"/>
      <c r="O48" s="69"/>
    </row>
    <row r="49" spans="1:15" s="15" customFormat="1" ht="22.5" customHeight="1">
      <c r="A49" s="70"/>
      <c r="B49" s="641" t="s">
        <v>251</v>
      </c>
      <c r="C49" s="642"/>
      <c r="D49" s="289"/>
      <c r="E49" s="323"/>
      <c r="F49" s="323"/>
      <c r="G49" s="323"/>
      <c r="H49" s="323">
        <v>30</v>
      </c>
      <c r="I49" s="323"/>
      <c r="J49" s="343">
        <f t="shared" si="0"/>
        <v>1068000</v>
      </c>
      <c r="K49" s="635"/>
      <c r="L49" s="636"/>
      <c r="M49" s="291">
        <f t="shared" si="1"/>
        <v>1068000</v>
      </c>
      <c r="N49" s="117"/>
      <c r="O49" s="69"/>
    </row>
    <row r="50" spans="1:15" s="15" customFormat="1" ht="22.5" customHeight="1">
      <c r="A50" s="70"/>
      <c r="B50" s="641" t="s">
        <v>252</v>
      </c>
      <c r="C50" s="642"/>
      <c r="D50" s="289"/>
      <c r="E50" s="323"/>
      <c r="F50" s="323"/>
      <c r="G50" s="323"/>
      <c r="H50" s="323">
        <f>ROUNDDOWN(295/2,0)</f>
        <v>147</v>
      </c>
      <c r="I50" s="323"/>
      <c r="J50" s="343">
        <f t="shared" si="0"/>
        <v>5233200</v>
      </c>
      <c r="K50" s="635"/>
      <c r="L50" s="636"/>
      <c r="M50" s="291">
        <f t="shared" si="1"/>
        <v>5233200</v>
      </c>
      <c r="N50" s="117"/>
      <c r="O50" s="69"/>
    </row>
    <row r="51" spans="1:15" s="15" customFormat="1" ht="22.5" customHeight="1">
      <c r="A51" s="70"/>
      <c r="B51" s="641" t="s">
        <v>253</v>
      </c>
      <c r="C51" s="642"/>
      <c r="D51" s="289"/>
      <c r="E51" s="323"/>
      <c r="F51" s="323"/>
      <c r="G51" s="323"/>
      <c r="H51" s="323">
        <v>60</v>
      </c>
      <c r="I51" s="323"/>
      <c r="J51" s="343">
        <f t="shared" si="0"/>
        <v>2136000</v>
      </c>
      <c r="K51" s="635"/>
      <c r="L51" s="636"/>
      <c r="M51" s="291">
        <f t="shared" si="1"/>
        <v>2136000</v>
      </c>
      <c r="N51" s="117"/>
      <c r="O51" s="69"/>
    </row>
    <row r="52" spans="1:15" s="15" customFormat="1" ht="22.5" customHeight="1">
      <c r="A52" s="70"/>
      <c r="B52" s="639" t="s">
        <v>216</v>
      </c>
      <c r="C52" s="640"/>
      <c r="D52" s="289"/>
      <c r="E52" s="323"/>
      <c r="F52" s="323"/>
      <c r="G52" s="323"/>
      <c r="H52" s="418">
        <f>ROUNDDOWN(35.2/2,0)</f>
        <v>17</v>
      </c>
      <c r="I52" s="323"/>
      <c r="J52" s="343">
        <f t="shared" si="0"/>
        <v>605200</v>
      </c>
      <c r="K52" s="635"/>
      <c r="L52" s="636"/>
      <c r="M52" s="291">
        <f t="shared" si="1"/>
        <v>605200</v>
      </c>
      <c r="N52" s="117"/>
      <c r="O52" s="69"/>
    </row>
    <row r="53" spans="1:15" s="15" customFormat="1" ht="22.5" customHeight="1">
      <c r="A53" s="70"/>
      <c r="B53" s="639" t="s">
        <v>217</v>
      </c>
      <c r="C53" s="640"/>
      <c r="D53" s="289"/>
      <c r="E53" s="323"/>
      <c r="F53" s="323"/>
      <c r="G53" s="323"/>
      <c r="H53" s="418">
        <f>ROUNDDOWN(73.1/2,0)</f>
        <v>36</v>
      </c>
      <c r="I53" s="323"/>
      <c r="J53" s="343">
        <f t="shared" si="0"/>
        <v>1281600</v>
      </c>
      <c r="K53" s="635"/>
      <c r="L53" s="636"/>
      <c r="M53" s="291">
        <f t="shared" si="1"/>
        <v>1281600</v>
      </c>
      <c r="N53" s="117"/>
      <c r="O53" s="69"/>
    </row>
    <row r="54" spans="1:15" s="15" customFormat="1" ht="24.95" customHeight="1">
      <c r="A54" s="70"/>
      <c r="B54" s="631" t="s">
        <v>86</v>
      </c>
      <c r="C54" s="643"/>
      <c r="D54" s="289"/>
      <c r="E54" s="345"/>
      <c r="F54" s="345"/>
      <c r="G54" s="345"/>
      <c r="H54" s="345"/>
      <c r="I54" s="345"/>
      <c r="J54" s="290">
        <f t="shared" si="0"/>
        <v>0</v>
      </c>
      <c r="K54" s="644"/>
      <c r="L54" s="645"/>
      <c r="M54" s="291">
        <f t="shared" si="1"/>
        <v>0</v>
      </c>
      <c r="N54" s="117"/>
      <c r="O54" s="69"/>
    </row>
    <row r="55" spans="1:15" s="15" customFormat="1" ht="24.95" customHeight="1">
      <c r="A55" s="70"/>
      <c r="B55" s="639" t="s">
        <v>87</v>
      </c>
      <c r="C55" s="640"/>
      <c r="D55" s="289"/>
      <c r="E55" s="345"/>
      <c r="F55" s="345"/>
      <c r="G55" s="345"/>
      <c r="H55" s="345"/>
      <c r="I55" s="345"/>
      <c r="J55" s="290">
        <f t="shared" si="0"/>
        <v>0</v>
      </c>
      <c r="K55" s="635"/>
      <c r="L55" s="636"/>
      <c r="M55" s="291">
        <f t="shared" si="1"/>
        <v>0</v>
      </c>
      <c r="N55" s="117"/>
      <c r="O55" s="69"/>
    </row>
    <row r="56" spans="1:15" s="15" customFormat="1" ht="22.5" customHeight="1">
      <c r="A56" s="70"/>
      <c r="B56" s="639" t="s">
        <v>88</v>
      </c>
      <c r="C56" s="640"/>
      <c r="D56" s="289"/>
      <c r="E56" s="323"/>
      <c r="F56" s="323"/>
      <c r="G56" s="323"/>
      <c r="H56" s="323"/>
      <c r="I56" s="323"/>
      <c r="J56" s="347">
        <f>+$D$35*D56+$E$35*E56+$F$35*F56+$G$35*G56+$H$35*H56+$I$35*I56</f>
        <v>0</v>
      </c>
      <c r="K56" s="633"/>
      <c r="L56" s="634"/>
      <c r="M56" s="291">
        <f>+$D$35*D56+$E$35*E56+$F$35*F56+$G$35*G56+$H$35*H56+$I$35*I56</f>
        <v>0</v>
      </c>
      <c r="N56" s="117"/>
      <c r="O56" s="69"/>
    </row>
    <row r="57" spans="1:15" s="15" customFormat="1" ht="22.5" customHeight="1">
      <c r="A57" s="70"/>
      <c r="B57" s="639" t="s">
        <v>89</v>
      </c>
      <c r="C57" s="640"/>
      <c r="D57" s="289"/>
      <c r="E57" s="323"/>
      <c r="F57" s="323"/>
      <c r="G57" s="323"/>
      <c r="H57" s="323"/>
      <c r="I57" s="323"/>
      <c r="J57" s="347">
        <f>+$D$35*D57+$E$35*E57+$F$35*F57+$G$35*G57+$H$35*H57+$I$35*I57</f>
        <v>0</v>
      </c>
      <c r="K57" s="635"/>
      <c r="L57" s="636"/>
      <c r="M57" s="291">
        <f>+$D$35*D57+$E$35*E57+$F$35*F57+$G$35*G57+$H$35*H57+$I$35*I57</f>
        <v>0</v>
      </c>
      <c r="N57" s="117"/>
      <c r="O57" s="69"/>
    </row>
    <row r="58" spans="1:15" s="15" customFormat="1" ht="22.5" customHeight="1">
      <c r="A58" s="70"/>
      <c r="B58" s="639" t="s">
        <v>90</v>
      </c>
      <c r="C58" s="640"/>
      <c r="D58" s="289"/>
      <c r="E58" s="323"/>
      <c r="F58" s="323"/>
      <c r="G58" s="323"/>
      <c r="H58" s="323"/>
      <c r="I58" s="323"/>
      <c r="J58" s="347">
        <f>+$D$35*D58+$E$35*E58+$F$35*F58+$G$35*G58+$H$35*H58+$I$35*I58</f>
        <v>0</v>
      </c>
      <c r="K58" s="635"/>
      <c r="L58" s="636"/>
      <c r="M58" s="291">
        <f>+$D$35*D58+$E$35*E58+$F$35*F58+$G$35*G58+$H$35*H58+$I$35*I58</f>
        <v>0</v>
      </c>
      <c r="N58" s="117"/>
      <c r="O58" s="69"/>
    </row>
    <row r="59" spans="1:15" s="15" customFormat="1" ht="22.5" customHeight="1">
      <c r="A59" s="70"/>
      <c r="B59" s="639" t="s">
        <v>91</v>
      </c>
      <c r="C59" s="640"/>
      <c r="D59" s="289"/>
      <c r="E59" s="345"/>
      <c r="F59" s="345"/>
      <c r="G59" s="345"/>
      <c r="H59" s="345"/>
      <c r="I59" s="345"/>
      <c r="J59" s="290">
        <f t="shared" si="0"/>
        <v>0</v>
      </c>
      <c r="K59" s="635"/>
      <c r="L59" s="636"/>
      <c r="M59" s="291">
        <f t="shared" si="1"/>
        <v>0</v>
      </c>
      <c r="N59" s="117"/>
      <c r="O59" s="69"/>
    </row>
    <row r="60" spans="1:15" s="15" customFormat="1" ht="22.5" customHeight="1">
      <c r="A60" s="70"/>
      <c r="B60" s="639" t="s">
        <v>92</v>
      </c>
      <c r="C60" s="640"/>
      <c r="D60" s="289"/>
      <c r="E60" s="345"/>
      <c r="F60" s="345"/>
      <c r="G60" s="345"/>
      <c r="H60" s="345"/>
      <c r="I60" s="345"/>
      <c r="J60" s="290">
        <f t="shared" si="0"/>
        <v>0</v>
      </c>
      <c r="K60" s="635"/>
      <c r="L60" s="636"/>
      <c r="M60" s="291">
        <f t="shared" si="1"/>
        <v>0</v>
      </c>
      <c r="N60" s="117"/>
      <c r="O60" s="69"/>
    </row>
    <row r="61" spans="1:15" s="150" customFormat="1" ht="22.5" customHeight="1">
      <c r="A61" s="151" t="s">
        <v>93</v>
      </c>
      <c r="B61" s="646" t="s">
        <v>94</v>
      </c>
      <c r="C61" s="647"/>
      <c r="D61" s="152"/>
      <c r="E61" s="154"/>
      <c r="F61" s="154"/>
      <c r="G61" s="154"/>
      <c r="H61" s="154"/>
      <c r="I61" s="154"/>
      <c r="J61" s="153">
        <f t="shared" si="0"/>
        <v>0</v>
      </c>
      <c r="K61" s="648" t="s">
        <v>250</v>
      </c>
      <c r="L61" s="649"/>
      <c r="M61" s="291">
        <f t="shared" si="1"/>
        <v>0</v>
      </c>
      <c r="N61" s="155"/>
      <c r="O61" s="149"/>
    </row>
    <row r="62" spans="1:15" s="15" customFormat="1" ht="22.5" customHeight="1">
      <c r="A62" s="70"/>
      <c r="B62" s="639" t="s">
        <v>95</v>
      </c>
      <c r="C62" s="640"/>
      <c r="D62" s="289"/>
      <c r="E62" s="345"/>
      <c r="F62" s="345"/>
      <c r="G62" s="345"/>
      <c r="H62" s="345"/>
      <c r="I62" s="345"/>
      <c r="J62" s="290">
        <f t="shared" si="0"/>
        <v>0</v>
      </c>
      <c r="K62" s="635"/>
      <c r="L62" s="636"/>
      <c r="M62" s="291">
        <f t="shared" si="1"/>
        <v>0</v>
      </c>
      <c r="N62" s="117"/>
      <c r="O62" s="69"/>
    </row>
    <row r="63" spans="1:15" s="15" customFormat="1" ht="22.5" customHeight="1">
      <c r="A63" s="70"/>
      <c r="B63" s="639" t="s">
        <v>96</v>
      </c>
      <c r="C63" s="640"/>
      <c r="D63" s="289"/>
      <c r="E63" s="345"/>
      <c r="F63" s="345"/>
      <c r="G63" s="345"/>
      <c r="H63" s="345"/>
      <c r="I63" s="345"/>
      <c r="J63" s="290">
        <f t="shared" si="0"/>
        <v>0</v>
      </c>
      <c r="K63" s="627"/>
      <c r="L63" s="628"/>
      <c r="M63" s="291">
        <f t="shared" si="1"/>
        <v>0</v>
      </c>
      <c r="N63" s="117"/>
      <c r="O63" s="69"/>
    </row>
    <row r="64" spans="1:15" s="15" customFormat="1" ht="22.5" customHeight="1">
      <c r="A64" s="70"/>
      <c r="B64" s="639" t="s">
        <v>98</v>
      </c>
      <c r="C64" s="640"/>
      <c r="D64" s="289"/>
      <c r="E64" s="345"/>
      <c r="F64" s="345"/>
      <c r="G64" s="345"/>
      <c r="H64" s="345"/>
      <c r="I64" s="345"/>
      <c r="J64" s="290">
        <f t="shared" si="0"/>
        <v>0</v>
      </c>
      <c r="K64" s="627"/>
      <c r="L64" s="628"/>
      <c r="M64" s="291">
        <f t="shared" si="1"/>
        <v>0</v>
      </c>
      <c r="N64" s="117"/>
      <c r="O64" s="69"/>
    </row>
    <row r="65" spans="1:15" s="15" customFormat="1" ht="22.5" customHeight="1">
      <c r="A65" s="70"/>
      <c r="B65" s="639" t="s">
        <v>100</v>
      </c>
      <c r="C65" s="640"/>
      <c r="D65" s="289"/>
      <c r="E65" s="345"/>
      <c r="F65" s="345"/>
      <c r="G65" s="345"/>
      <c r="H65" s="345"/>
      <c r="I65" s="345"/>
      <c r="J65" s="290">
        <f t="shared" si="0"/>
        <v>0</v>
      </c>
      <c r="K65" s="650"/>
      <c r="L65" s="634"/>
      <c r="M65" s="291">
        <f t="shared" si="1"/>
        <v>0</v>
      </c>
      <c r="N65" s="117"/>
      <c r="O65" s="69"/>
    </row>
    <row r="66" spans="1:15" s="150" customFormat="1" ht="22.5" customHeight="1">
      <c r="A66" s="151" t="s">
        <v>101</v>
      </c>
      <c r="B66" s="646" t="s">
        <v>102</v>
      </c>
      <c r="C66" s="647"/>
      <c r="D66" s="152"/>
      <c r="E66" s="154"/>
      <c r="F66" s="154"/>
      <c r="G66" s="154"/>
      <c r="H66" s="154"/>
      <c r="I66" s="154"/>
      <c r="J66" s="153">
        <f t="shared" si="0"/>
        <v>0</v>
      </c>
      <c r="K66" s="648" t="s">
        <v>250</v>
      </c>
      <c r="L66" s="649"/>
      <c r="M66" s="291">
        <f t="shared" si="1"/>
        <v>0</v>
      </c>
      <c r="N66" s="155"/>
      <c r="O66" s="149"/>
    </row>
    <row r="67" spans="1:15" s="150" customFormat="1" ht="22.5" customHeight="1">
      <c r="A67" s="151" t="s">
        <v>103</v>
      </c>
      <c r="B67" s="646" t="s">
        <v>104</v>
      </c>
      <c r="C67" s="647"/>
      <c r="D67" s="152"/>
      <c r="E67" s="154"/>
      <c r="F67" s="154"/>
      <c r="G67" s="154"/>
      <c r="H67" s="154"/>
      <c r="I67" s="154"/>
      <c r="J67" s="153">
        <f t="shared" si="0"/>
        <v>0</v>
      </c>
      <c r="K67" s="648" t="s">
        <v>250</v>
      </c>
      <c r="L67" s="649"/>
      <c r="M67" s="291">
        <f t="shared" si="1"/>
        <v>0</v>
      </c>
      <c r="N67" s="155"/>
      <c r="O67" s="149"/>
    </row>
    <row r="68" spans="1:15" s="150" customFormat="1" ht="22.5" customHeight="1">
      <c r="A68" s="151" t="s">
        <v>105</v>
      </c>
      <c r="B68" s="646" t="s">
        <v>106</v>
      </c>
      <c r="C68" s="647"/>
      <c r="D68" s="152"/>
      <c r="E68" s="154"/>
      <c r="F68" s="154"/>
      <c r="G68" s="154"/>
      <c r="H68" s="154"/>
      <c r="I68" s="154"/>
      <c r="J68" s="153">
        <f t="shared" si="0"/>
        <v>0</v>
      </c>
      <c r="K68" s="648" t="s">
        <v>250</v>
      </c>
      <c r="L68" s="649"/>
      <c r="M68" s="291">
        <f t="shared" si="1"/>
        <v>0</v>
      </c>
      <c r="N68" s="155"/>
      <c r="O68" s="149"/>
    </row>
    <row r="69" spans="1:15" s="15" customFormat="1" ht="22.5" customHeight="1">
      <c r="A69" s="70"/>
      <c r="B69" s="639" t="s">
        <v>109</v>
      </c>
      <c r="C69" s="640"/>
      <c r="D69" s="73"/>
      <c r="E69" s="345"/>
      <c r="F69" s="345"/>
      <c r="G69" s="345"/>
      <c r="H69" s="345"/>
      <c r="I69" s="345"/>
      <c r="J69" s="290">
        <f t="shared" si="0"/>
        <v>0</v>
      </c>
      <c r="K69" s="635"/>
      <c r="L69" s="636"/>
      <c r="M69" s="291">
        <f t="shared" si="1"/>
        <v>0</v>
      </c>
      <c r="N69" s="116"/>
      <c r="O69" s="69"/>
    </row>
    <row r="70" spans="1:15" s="15" customFormat="1" ht="22.5" customHeight="1">
      <c r="A70" s="70"/>
      <c r="B70" s="639" t="s">
        <v>110</v>
      </c>
      <c r="C70" s="640"/>
      <c r="D70" s="74"/>
      <c r="E70" s="345"/>
      <c r="F70" s="345"/>
      <c r="G70" s="345"/>
      <c r="H70" s="345"/>
      <c r="I70" s="345"/>
      <c r="J70" s="290">
        <f t="shared" si="0"/>
        <v>0</v>
      </c>
      <c r="K70" s="627"/>
      <c r="L70" s="628"/>
      <c r="M70" s="291">
        <f t="shared" si="1"/>
        <v>0</v>
      </c>
      <c r="N70" s="68"/>
      <c r="O70" s="69"/>
    </row>
    <row r="71" spans="1:15" s="15" customFormat="1" ht="22.5" customHeight="1">
      <c r="A71" s="70"/>
      <c r="B71" s="639" t="s">
        <v>111</v>
      </c>
      <c r="C71" s="640"/>
      <c r="D71" s="74"/>
      <c r="E71" s="345"/>
      <c r="F71" s="345"/>
      <c r="G71" s="345"/>
      <c r="H71" s="345"/>
      <c r="I71" s="345"/>
      <c r="J71" s="290">
        <f t="shared" si="0"/>
        <v>0</v>
      </c>
      <c r="K71" s="635"/>
      <c r="L71" s="636"/>
      <c r="M71" s="291">
        <f t="shared" si="1"/>
        <v>0</v>
      </c>
      <c r="N71" s="68"/>
      <c r="O71" s="69"/>
    </row>
    <row r="72" spans="1:15" s="150" customFormat="1" ht="22.5" customHeight="1" thickBot="1">
      <c r="A72" s="156" t="s">
        <v>107</v>
      </c>
      <c r="B72" s="665" t="s">
        <v>108</v>
      </c>
      <c r="C72" s="666"/>
      <c r="D72" s="157"/>
      <c r="E72" s="158"/>
      <c r="F72" s="158"/>
      <c r="G72" s="158"/>
      <c r="H72" s="158"/>
      <c r="I72" s="158"/>
      <c r="J72" s="153">
        <f t="shared" si="0"/>
        <v>0</v>
      </c>
      <c r="K72" s="648" t="s">
        <v>250</v>
      </c>
      <c r="L72" s="649"/>
      <c r="M72" s="291">
        <f t="shared" si="1"/>
        <v>0</v>
      </c>
      <c r="N72" s="148"/>
      <c r="O72" s="149"/>
    </row>
    <row r="73" spans="1:15" ht="22.5" customHeight="1">
      <c r="A73" s="77"/>
      <c r="B73" s="78" t="s">
        <v>40</v>
      </c>
      <c r="C73" s="79" t="s">
        <v>42</v>
      </c>
      <c r="D73" s="80">
        <f t="shared" ref="D73:I73" si="2">D33+D38+D61+D66+D67+D68+D72</f>
        <v>0</v>
      </c>
      <c r="E73" s="80">
        <f t="shared" si="2"/>
        <v>0</v>
      </c>
      <c r="F73" s="80">
        <f t="shared" si="2"/>
        <v>0</v>
      </c>
      <c r="G73" s="80">
        <f t="shared" si="2"/>
        <v>0</v>
      </c>
      <c r="H73" s="80">
        <f t="shared" si="2"/>
        <v>306</v>
      </c>
      <c r="I73" s="80">
        <f t="shared" si="2"/>
        <v>0</v>
      </c>
      <c r="J73" s="81">
        <f>SUM(D73:I73)</f>
        <v>306</v>
      </c>
      <c r="K73" s="651" t="s">
        <v>43</v>
      </c>
      <c r="L73" s="652"/>
      <c r="M73" s="82"/>
      <c r="N73" s="83"/>
      <c r="O73" s="84"/>
    </row>
    <row r="74" spans="1:15" ht="22.5" customHeight="1" thickBot="1">
      <c r="A74" s="85"/>
      <c r="B74" s="86"/>
      <c r="C74" s="87" t="s">
        <v>44</v>
      </c>
      <c r="D74" s="118">
        <f t="shared" ref="D74:I74" si="3">D73*D32</f>
        <v>0</v>
      </c>
      <c r="E74" s="118">
        <f t="shared" si="3"/>
        <v>0</v>
      </c>
      <c r="F74" s="118">
        <f t="shared" si="3"/>
        <v>0</v>
      </c>
      <c r="G74" s="118">
        <f t="shared" si="3"/>
        <v>0</v>
      </c>
      <c r="H74" s="118">
        <f t="shared" si="3"/>
        <v>10893600</v>
      </c>
      <c r="I74" s="118">
        <f t="shared" si="3"/>
        <v>0</v>
      </c>
      <c r="J74" s="341">
        <f>+D32*D73+E32*E73+F32*F73+G32*G73+H32*H73+I32*I73</f>
        <v>10893600</v>
      </c>
      <c r="K74" s="653" t="s">
        <v>45</v>
      </c>
      <c r="L74" s="654"/>
      <c r="M74" s="88"/>
      <c r="N74" s="5"/>
      <c r="O74" s="84"/>
    </row>
    <row r="75" spans="1:15" ht="18.95" customHeight="1">
      <c r="A75" s="89"/>
      <c r="B75" s="90"/>
      <c r="C75" s="90"/>
      <c r="D75" s="90"/>
      <c r="E75" s="91"/>
      <c r="F75" s="91"/>
      <c r="G75" s="91"/>
      <c r="H75" s="91"/>
      <c r="I75" s="91"/>
      <c r="J75" s="91"/>
      <c r="K75" s="91"/>
      <c r="L75" s="91"/>
      <c r="M75" s="88"/>
      <c r="N75" s="5"/>
      <c r="O75" s="92"/>
    </row>
    <row r="76" spans="1:15" ht="22.5" customHeight="1" thickBot="1">
      <c r="A76" s="93" t="s">
        <v>54</v>
      </c>
      <c r="B76" s="94"/>
      <c r="C76" s="94"/>
      <c r="D76" s="94"/>
      <c r="E76" s="95"/>
      <c r="F76" s="95"/>
      <c r="G76" s="95"/>
      <c r="H76" s="95"/>
      <c r="I76" s="95"/>
      <c r="J76" s="95"/>
      <c r="K76" s="95"/>
      <c r="L76" s="95"/>
      <c r="M76" s="5"/>
      <c r="N76" s="5"/>
    </row>
    <row r="77" spans="1:15" ht="22.5" customHeight="1" thickBot="1">
      <c r="A77" s="655" t="s">
        <v>46</v>
      </c>
      <c r="B77" s="656"/>
      <c r="C77" s="657"/>
      <c r="D77" s="17" t="s">
        <v>47</v>
      </c>
      <c r="E77" s="96" t="s">
        <v>48</v>
      </c>
      <c r="F77" s="17" t="s">
        <v>49</v>
      </c>
      <c r="G77" s="658" t="s">
        <v>13</v>
      </c>
      <c r="H77" s="657"/>
      <c r="I77" s="658" t="s">
        <v>14</v>
      </c>
      <c r="J77" s="656"/>
      <c r="K77" s="656"/>
      <c r="L77" s="659"/>
    </row>
    <row r="78" spans="1:15" ht="22.5" customHeight="1" thickTop="1">
      <c r="A78" s="67" t="s">
        <v>65</v>
      </c>
      <c r="B78" s="97" t="s">
        <v>112</v>
      </c>
      <c r="C78" s="98"/>
      <c r="D78" s="99" t="s">
        <v>183</v>
      </c>
      <c r="E78" s="100">
        <v>1</v>
      </c>
      <c r="F78" s="119"/>
      <c r="G78" s="660">
        <f>+E78*F78</f>
        <v>0</v>
      </c>
      <c r="H78" s="661"/>
      <c r="I78" s="662" t="s">
        <v>250</v>
      </c>
      <c r="J78" s="663"/>
      <c r="K78" s="663"/>
      <c r="L78" s="664"/>
    </row>
    <row r="79" spans="1:15" ht="22.5" customHeight="1">
      <c r="A79" s="139"/>
      <c r="B79" s="140" t="s">
        <v>180</v>
      </c>
      <c r="C79" s="141"/>
      <c r="D79" s="142" t="s">
        <v>179</v>
      </c>
      <c r="E79" s="450">
        <v>3</v>
      </c>
      <c r="F79" s="143"/>
      <c r="G79" s="667">
        <f>+E79*F79</f>
        <v>0</v>
      </c>
      <c r="H79" s="668"/>
      <c r="I79" s="669"/>
      <c r="J79" s="670"/>
      <c r="K79" s="670"/>
      <c r="L79" s="671"/>
    </row>
    <row r="80" spans="1:15" ht="22.5" customHeight="1">
      <c r="A80" s="139"/>
      <c r="B80" s="140" t="s">
        <v>113</v>
      </c>
      <c r="C80" s="141"/>
      <c r="D80" s="321" t="s">
        <v>179</v>
      </c>
      <c r="E80" s="451">
        <v>36</v>
      </c>
      <c r="F80" s="143"/>
      <c r="G80" s="667">
        <f>+E80*F80</f>
        <v>0</v>
      </c>
      <c r="H80" s="668"/>
      <c r="I80" s="669"/>
      <c r="J80" s="670"/>
      <c r="K80" s="670"/>
      <c r="L80" s="671"/>
    </row>
    <row r="81" spans="1:15" ht="22.5" customHeight="1">
      <c r="A81" s="70" t="s">
        <v>68</v>
      </c>
      <c r="B81" s="101" t="s">
        <v>114</v>
      </c>
      <c r="C81" s="102"/>
      <c r="D81" s="142" t="s">
        <v>183</v>
      </c>
      <c r="E81" s="320">
        <v>1</v>
      </c>
      <c r="F81" s="103"/>
      <c r="G81" s="679">
        <v>0</v>
      </c>
      <c r="H81" s="680"/>
      <c r="I81" s="669" t="s">
        <v>249</v>
      </c>
      <c r="J81" s="670"/>
      <c r="K81" s="670"/>
      <c r="L81" s="671"/>
    </row>
    <row r="82" spans="1:15" ht="22.5" customHeight="1">
      <c r="A82" s="160"/>
      <c r="B82" s="161" t="s">
        <v>115</v>
      </c>
      <c r="C82" s="162"/>
      <c r="D82" s="163" t="s">
        <v>183</v>
      </c>
      <c r="E82" s="164">
        <v>1</v>
      </c>
      <c r="F82" s="165"/>
      <c r="G82" s="667">
        <v>0</v>
      </c>
      <c r="H82" s="668"/>
      <c r="I82" s="669"/>
      <c r="J82" s="670"/>
      <c r="K82" s="670"/>
      <c r="L82" s="671"/>
    </row>
    <row r="83" spans="1:15" ht="22.5" customHeight="1" thickBot="1">
      <c r="A83" s="75"/>
      <c r="B83" s="334" t="s">
        <v>116</v>
      </c>
      <c r="C83" s="335"/>
      <c r="D83" s="104" t="s">
        <v>183</v>
      </c>
      <c r="E83" s="76">
        <v>1</v>
      </c>
      <c r="F83" s="105"/>
      <c r="G83" s="672">
        <v>0</v>
      </c>
      <c r="H83" s="673"/>
      <c r="I83" s="674"/>
      <c r="J83" s="675"/>
      <c r="K83" s="675"/>
      <c r="L83" s="676"/>
    </row>
    <row r="84" spans="1:15" ht="22.5" customHeight="1" thickBot="1">
      <c r="A84" s="106"/>
      <c r="B84" s="95" t="s">
        <v>40</v>
      </c>
      <c r="C84" s="107"/>
      <c r="D84" s="108"/>
      <c r="E84" s="109"/>
      <c r="F84" s="110"/>
      <c r="G84" s="677">
        <f>G78+G81</f>
        <v>0</v>
      </c>
      <c r="H84" s="678"/>
      <c r="I84" s="111"/>
      <c r="J84" s="111"/>
      <c r="K84" s="111"/>
      <c r="L84" s="112"/>
      <c r="O84" s="84"/>
    </row>
    <row r="85" spans="1:15" ht="22.5" customHeight="1"/>
  </sheetData>
  <mergeCells count="140">
    <mergeCell ref="G82:H82"/>
    <mergeCell ref="I82:L82"/>
    <mergeCell ref="G83:H83"/>
    <mergeCell ref="I83:L83"/>
    <mergeCell ref="G84:H84"/>
    <mergeCell ref="G79:H79"/>
    <mergeCell ref="I79:L79"/>
    <mergeCell ref="G80:H80"/>
    <mergeCell ref="I80:L80"/>
    <mergeCell ref="G81:H81"/>
    <mergeCell ref="I81:L81"/>
    <mergeCell ref="K73:L73"/>
    <mergeCell ref="K74:L74"/>
    <mergeCell ref="A77:C77"/>
    <mergeCell ref="G77:H77"/>
    <mergeCell ref="I77:L77"/>
    <mergeCell ref="G78:H78"/>
    <mergeCell ref="I78:L78"/>
    <mergeCell ref="B70:C70"/>
    <mergeCell ref="K70:L70"/>
    <mergeCell ref="B71:C71"/>
    <mergeCell ref="K71:L71"/>
    <mergeCell ref="B72:C72"/>
    <mergeCell ref="K72:L72"/>
    <mergeCell ref="B67:C67"/>
    <mergeCell ref="K67:L67"/>
    <mergeCell ref="B68:C68"/>
    <mergeCell ref="K68:L68"/>
    <mergeCell ref="B69:C69"/>
    <mergeCell ref="K69:L69"/>
    <mergeCell ref="B64:C64"/>
    <mergeCell ref="K64:L64"/>
    <mergeCell ref="B65:C65"/>
    <mergeCell ref="K65:L65"/>
    <mergeCell ref="B66:C66"/>
    <mergeCell ref="K66:L66"/>
    <mergeCell ref="B61:C61"/>
    <mergeCell ref="K61:L61"/>
    <mergeCell ref="B62:C62"/>
    <mergeCell ref="K62:L62"/>
    <mergeCell ref="B63:C63"/>
    <mergeCell ref="K63:L63"/>
    <mergeCell ref="B58:C58"/>
    <mergeCell ref="K58:L58"/>
    <mergeCell ref="B59:C59"/>
    <mergeCell ref="K59:L59"/>
    <mergeCell ref="B60:C60"/>
    <mergeCell ref="K60:L60"/>
    <mergeCell ref="B55:C55"/>
    <mergeCell ref="K55:L55"/>
    <mergeCell ref="B56:C56"/>
    <mergeCell ref="K56:L56"/>
    <mergeCell ref="B57:C57"/>
    <mergeCell ref="K57:L57"/>
    <mergeCell ref="B52:C52"/>
    <mergeCell ref="K52:L52"/>
    <mergeCell ref="B53:C53"/>
    <mergeCell ref="K53:L53"/>
    <mergeCell ref="B54:C54"/>
    <mergeCell ref="K54:L54"/>
    <mergeCell ref="B49:C49"/>
    <mergeCell ref="K49:L49"/>
    <mergeCell ref="B50:C50"/>
    <mergeCell ref="K50:L50"/>
    <mergeCell ref="B51:C51"/>
    <mergeCell ref="K51:L51"/>
    <mergeCell ref="B46:C46"/>
    <mergeCell ref="K46:L46"/>
    <mergeCell ref="B47:C47"/>
    <mergeCell ref="K47:L47"/>
    <mergeCell ref="B48:C48"/>
    <mergeCell ref="K48:L48"/>
    <mergeCell ref="B43:C43"/>
    <mergeCell ref="K43:L43"/>
    <mergeCell ref="B44:C44"/>
    <mergeCell ref="K44:L44"/>
    <mergeCell ref="B45:C45"/>
    <mergeCell ref="K45:L45"/>
    <mergeCell ref="O39:Q39"/>
    <mergeCell ref="B40:C40"/>
    <mergeCell ref="K40:L40"/>
    <mergeCell ref="B41:C41"/>
    <mergeCell ref="K41:L41"/>
    <mergeCell ref="B42:C42"/>
    <mergeCell ref="K42:L42"/>
    <mergeCell ref="B37:C37"/>
    <mergeCell ref="K37:L37"/>
    <mergeCell ref="B38:C38"/>
    <mergeCell ref="K38:L38"/>
    <mergeCell ref="B39:C39"/>
    <mergeCell ref="K39:L39"/>
    <mergeCell ref="B34:C34"/>
    <mergeCell ref="K34:L34"/>
    <mergeCell ref="O34:P34"/>
    <mergeCell ref="B35:C35"/>
    <mergeCell ref="K35:L35"/>
    <mergeCell ref="B36:C36"/>
    <mergeCell ref="K36:L36"/>
    <mergeCell ref="E28:F28"/>
    <mergeCell ref="M28:N28"/>
    <mergeCell ref="A29:L29"/>
    <mergeCell ref="A31:C32"/>
    <mergeCell ref="K31:L32"/>
    <mergeCell ref="B33:C33"/>
    <mergeCell ref="K33:L33"/>
    <mergeCell ref="E25:F25"/>
    <mergeCell ref="M25:N25"/>
    <mergeCell ref="E26:F26"/>
    <mergeCell ref="M26:N26"/>
    <mergeCell ref="E27:F27"/>
    <mergeCell ref="M27:N27"/>
    <mergeCell ref="E23:F23"/>
    <mergeCell ref="M23:N23"/>
    <mergeCell ref="E24:F24"/>
    <mergeCell ref="M24:N24"/>
    <mergeCell ref="I18:L18"/>
    <mergeCell ref="A20:D20"/>
    <mergeCell ref="E20:F20"/>
    <mergeCell ref="G20:L20"/>
    <mergeCell ref="M20:N20"/>
    <mergeCell ref="E21:F21"/>
    <mergeCell ref="M21:N21"/>
    <mergeCell ref="A9:B9"/>
    <mergeCell ref="A10:B10"/>
    <mergeCell ref="B13:G16"/>
    <mergeCell ref="I13:L13"/>
    <mergeCell ref="I14:L14"/>
    <mergeCell ref="I15:L15"/>
    <mergeCell ref="I16:L16"/>
    <mergeCell ref="E22:F22"/>
    <mergeCell ref="M22:N22"/>
    <mergeCell ref="A1:L1"/>
    <mergeCell ref="A3:C4"/>
    <mergeCell ref="J3:K3"/>
    <mergeCell ref="J4:K4"/>
    <mergeCell ref="J5:K5"/>
    <mergeCell ref="E6:F6"/>
    <mergeCell ref="J6:K6"/>
    <mergeCell ref="J7:K8"/>
    <mergeCell ref="C8:G8"/>
  </mergeCells>
  <phoneticPr fontId="4"/>
  <printOptions horizontalCentered="1"/>
  <pageMargins left="0.39370078740157483" right="0.39370078740157483" top="0.39370078740157483" bottom="0.39370078740157483" header="0.39370078740157483" footer="0.39370078740157483"/>
  <pageSetup paperSize="9" scale="62" orientation="portrait" r:id="rId1"/>
  <headerFooter>
    <oddFooter>&amp;R&amp;"BIZ UDPゴシック,標準"&amp;8株式会社プレック研究所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5A44C-047C-4732-8C4C-4979840741A7}">
  <sheetPr codeName="Sheet16">
    <tabColor theme="8" tint="0.39997558519241921"/>
    <pageSetUpPr fitToPage="1"/>
  </sheetPr>
  <dimension ref="A1:X92"/>
  <sheetViews>
    <sheetView view="pageBreakPreview" topLeftCell="A64" zoomScale="85" zoomScaleNormal="100" zoomScaleSheetLayoutView="85" workbookViewId="0">
      <selection activeCell="J44" sqref="J44"/>
    </sheetView>
  </sheetViews>
  <sheetFormatPr defaultColWidth="8.25" defaultRowHeight="12"/>
  <cols>
    <col min="1" max="1" width="3" style="3" customWidth="1"/>
    <col min="2" max="2" width="10.5" style="4" customWidth="1"/>
    <col min="3" max="3" width="27" style="4" customWidth="1"/>
    <col min="4" max="9" width="8.125" style="5" customWidth="1"/>
    <col min="10" max="10" width="12.25" style="5" customWidth="1"/>
    <col min="11" max="11" width="2.875" style="5" customWidth="1"/>
    <col min="12" max="12" width="22" style="5" customWidth="1"/>
    <col min="13" max="13" width="13.375" style="1" customWidth="1"/>
    <col min="14" max="14" width="13.375" style="1" bestFit="1" customWidth="1"/>
    <col min="15" max="15" width="16.5" style="2" bestFit="1" customWidth="1"/>
    <col min="16" max="21" width="8.25" style="5"/>
    <col min="22" max="22" width="11.375" style="5" bestFit="1" customWidth="1"/>
    <col min="23" max="23" width="10.375" style="5" bestFit="1" customWidth="1"/>
    <col min="24" max="16384" width="8.25" style="5"/>
  </cols>
  <sheetData>
    <row r="1" spans="1:18" s="1" customFormat="1" ht="84" customHeight="1">
      <c r="A1" s="556" t="s">
        <v>0</v>
      </c>
      <c r="B1" s="556"/>
      <c r="C1" s="556"/>
      <c r="D1" s="556"/>
      <c r="E1" s="556"/>
      <c r="F1" s="556"/>
      <c r="G1" s="556"/>
      <c r="H1" s="556"/>
      <c r="I1" s="556"/>
      <c r="J1" s="556"/>
      <c r="K1" s="556"/>
      <c r="L1" s="556"/>
      <c r="O1" s="2"/>
    </row>
    <row r="2" spans="1:18" s="1" customFormat="1" ht="20.100000000000001" customHeight="1">
      <c r="A2" s="3"/>
      <c r="B2" s="4"/>
      <c r="C2" s="4"/>
      <c r="D2" s="5"/>
      <c r="E2" s="5"/>
      <c r="F2" s="5"/>
      <c r="G2" s="5"/>
      <c r="H2" s="5"/>
      <c r="I2" s="5"/>
      <c r="J2" s="5"/>
      <c r="K2" s="5"/>
      <c r="L2" s="136">
        <v>45321</v>
      </c>
      <c r="O2" s="2"/>
    </row>
    <row r="3" spans="1:18" s="1" customFormat="1" ht="20.100000000000001" customHeight="1">
      <c r="A3" s="557" t="s">
        <v>62</v>
      </c>
      <c r="B3" s="557"/>
      <c r="C3" s="557"/>
      <c r="D3" s="125"/>
      <c r="E3" s="6"/>
      <c r="F3" s="5"/>
      <c r="G3" s="5"/>
      <c r="H3" s="5"/>
      <c r="I3" s="5"/>
      <c r="J3" s="559" t="s">
        <v>1</v>
      </c>
      <c r="K3" s="559"/>
      <c r="L3" s="7" t="s">
        <v>50</v>
      </c>
      <c r="O3" s="2"/>
    </row>
    <row r="4" spans="1:18" s="1" customFormat="1" ht="20.100000000000001" customHeight="1">
      <c r="A4" s="558"/>
      <c r="B4" s="558"/>
      <c r="C4" s="558"/>
      <c r="D4" s="134"/>
      <c r="E4" s="134"/>
      <c r="F4" s="134"/>
      <c r="G4" s="5"/>
      <c r="H4" s="5"/>
      <c r="I4" s="5"/>
      <c r="J4" s="560" t="s">
        <v>57</v>
      </c>
      <c r="K4" s="561"/>
      <c r="L4" s="138">
        <v>45747</v>
      </c>
      <c r="O4" s="2"/>
    </row>
    <row r="5" spans="1:18" s="1" customFormat="1" ht="20.100000000000001" customHeight="1">
      <c r="A5" s="3"/>
      <c r="B5" s="8"/>
      <c r="C5" s="130"/>
      <c r="D5" s="130"/>
      <c r="E5" s="6"/>
      <c r="F5" s="5"/>
      <c r="G5" s="5"/>
      <c r="H5" s="5"/>
      <c r="I5" s="5"/>
      <c r="J5" s="554" t="s">
        <v>58</v>
      </c>
      <c r="K5" s="555"/>
      <c r="L5" s="11" t="s">
        <v>4</v>
      </c>
      <c r="O5" s="2"/>
    </row>
    <row r="6" spans="1:18" s="1" customFormat="1" ht="20.100000000000001" customHeight="1">
      <c r="A6" s="131" t="s">
        <v>52</v>
      </c>
      <c r="B6" s="131"/>
      <c r="C6" s="409">
        <f>+E31</f>
        <v>23672000.000000004</v>
      </c>
      <c r="D6" s="9" t="s">
        <v>2</v>
      </c>
      <c r="E6" s="553">
        <f>+E29*0.1</f>
        <v>2152000</v>
      </c>
      <c r="F6" s="553"/>
      <c r="G6" s="10" t="s">
        <v>3</v>
      </c>
      <c r="H6" s="135"/>
      <c r="I6" s="5"/>
      <c r="J6" s="554" t="s">
        <v>59</v>
      </c>
      <c r="K6" s="555"/>
      <c r="L6" s="11" t="s">
        <v>5</v>
      </c>
      <c r="O6" s="2"/>
      <c r="Q6" s="3"/>
      <c r="R6" s="121"/>
    </row>
    <row r="7" spans="1:18" s="1" customFormat="1" ht="20.100000000000001" customHeight="1">
      <c r="A7" s="132"/>
      <c r="B7" s="133"/>
      <c r="C7" s="124"/>
      <c r="D7" s="124"/>
      <c r="E7" s="124"/>
      <c r="F7" s="124"/>
      <c r="G7" s="124"/>
      <c r="H7" s="124"/>
      <c r="I7" s="5"/>
      <c r="J7" s="554" t="s">
        <v>60</v>
      </c>
      <c r="K7" s="555"/>
      <c r="L7" s="11" t="s">
        <v>63</v>
      </c>
      <c r="O7" s="2"/>
      <c r="Q7" s="3"/>
      <c r="R7" s="121"/>
    </row>
    <row r="8" spans="1:18" s="1" customFormat="1" ht="20.100000000000001" customHeight="1">
      <c r="A8" s="131" t="s">
        <v>6</v>
      </c>
      <c r="B8" s="131"/>
      <c r="C8" s="567" t="s">
        <v>61</v>
      </c>
      <c r="D8" s="567"/>
      <c r="E8" s="567"/>
      <c r="F8" s="567"/>
      <c r="G8" s="567"/>
      <c r="H8" s="124"/>
      <c r="I8" s="5"/>
      <c r="J8" s="566"/>
      <c r="K8" s="559"/>
      <c r="L8" s="12" t="s">
        <v>64</v>
      </c>
      <c r="O8" s="2"/>
      <c r="Q8" s="3"/>
      <c r="R8" s="7"/>
    </row>
    <row r="9" spans="1:18" s="1" customFormat="1" ht="20.100000000000001" customHeight="1">
      <c r="A9" s="568"/>
      <c r="B9" s="568"/>
      <c r="C9" s="124"/>
      <c r="D9" s="124"/>
      <c r="E9" s="124"/>
      <c r="F9" s="124"/>
      <c r="G9" s="124"/>
      <c r="H9" s="124"/>
      <c r="I9" s="5"/>
      <c r="J9" s="128"/>
      <c r="K9" s="128"/>
      <c r="L9" s="129"/>
      <c r="O9" s="2"/>
      <c r="Q9" s="3"/>
      <c r="R9" s="7"/>
    </row>
    <row r="10" spans="1:18" s="1" customFormat="1" ht="18" customHeight="1">
      <c r="A10" s="569"/>
      <c r="B10" s="569"/>
      <c r="C10" s="124"/>
      <c r="D10" s="126"/>
      <c r="E10" s="126"/>
      <c r="F10" s="126"/>
      <c r="G10" s="126"/>
      <c r="H10" s="127"/>
      <c r="I10" s="5"/>
      <c r="J10" s="5"/>
      <c r="K10" s="5"/>
      <c r="L10" s="5"/>
      <c r="O10" s="2"/>
      <c r="Q10" s="3"/>
      <c r="R10" s="7"/>
    </row>
    <row r="11" spans="1:18" s="1" customFormat="1" ht="18" customHeight="1">
      <c r="A11" s="3"/>
      <c r="B11" s="15" t="s">
        <v>7</v>
      </c>
      <c r="C11" s="4"/>
      <c r="D11" s="5"/>
      <c r="E11" s="5"/>
      <c r="F11" s="5"/>
      <c r="G11" s="5"/>
      <c r="H11" s="5"/>
      <c r="I11" s="5"/>
      <c r="J11" s="5"/>
      <c r="K11" s="5"/>
      <c r="L11" s="5"/>
      <c r="O11" s="2"/>
    </row>
    <row r="12" spans="1:18" s="1" customFormat="1" ht="18" customHeight="1">
      <c r="A12" s="3"/>
      <c r="B12" s="15" t="s">
        <v>8</v>
      </c>
      <c r="C12" s="4"/>
      <c r="D12" s="5"/>
      <c r="E12" s="5"/>
      <c r="F12" s="5"/>
      <c r="G12" s="5"/>
      <c r="H12" s="5"/>
      <c r="I12" s="5"/>
      <c r="J12" s="5"/>
      <c r="K12" s="5"/>
      <c r="L12" s="5"/>
      <c r="O12" s="2"/>
    </row>
    <row r="13" spans="1:18" s="1" customFormat="1" ht="18" customHeight="1">
      <c r="A13" s="3"/>
      <c r="B13" s="570" t="s">
        <v>51</v>
      </c>
      <c r="C13" s="571"/>
      <c r="D13" s="571"/>
      <c r="E13" s="571"/>
      <c r="F13" s="571"/>
      <c r="G13" s="572"/>
      <c r="H13" s="5"/>
      <c r="I13" s="579" t="s">
        <v>56</v>
      </c>
      <c r="J13" s="579"/>
      <c r="K13" s="579"/>
      <c r="L13" s="579"/>
      <c r="O13" s="2"/>
    </row>
    <row r="14" spans="1:18" s="1" customFormat="1" ht="18" customHeight="1">
      <c r="A14" s="13"/>
      <c r="B14" s="573"/>
      <c r="C14" s="574"/>
      <c r="D14" s="574"/>
      <c r="E14" s="574"/>
      <c r="F14" s="574"/>
      <c r="G14" s="575"/>
      <c r="H14" s="5"/>
      <c r="I14" s="579" t="s">
        <v>9</v>
      </c>
      <c r="J14" s="579"/>
      <c r="K14" s="579"/>
      <c r="L14" s="579"/>
      <c r="O14" s="2"/>
    </row>
    <row r="15" spans="1:18" s="1" customFormat="1" ht="18" customHeight="1">
      <c r="A15" s="13"/>
      <c r="B15" s="573"/>
      <c r="C15" s="574"/>
      <c r="D15" s="574"/>
      <c r="E15" s="574"/>
      <c r="F15" s="574"/>
      <c r="G15" s="575"/>
      <c r="H15" s="5"/>
      <c r="I15" s="579" t="s">
        <v>55</v>
      </c>
      <c r="J15" s="579"/>
      <c r="K15" s="579"/>
      <c r="L15" s="579"/>
      <c r="O15" s="2"/>
    </row>
    <row r="16" spans="1:18" s="1" customFormat="1" ht="18" customHeight="1">
      <c r="A16" s="13"/>
      <c r="B16" s="576"/>
      <c r="C16" s="577"/>
      <c r="D16" s="577"/>
      <c r="E16" s="577"/>
      <c r="F16" s="577"/>
      <c r="G16" s="578"/>
      <c r="H16" s="5"/>
      <c r="I16" s="579" t="s">
        <v>10</v>
      </c>
      <c r="J16" s="579"/>
      <c r="K16" s="579"/>
      <c r="L16" s="579"/>
      <c r="O16" s="2"/>
    </row>
    <row r="17" spans="1:15" s="1" customFormat="1" ht="18" customHeight="1">
      <c r="A17" s="13"/>
      <c r="B17" s="123"/>
      <c r="C17" s="123"/>
      <c r="D17" s="123"/>
      <c r="E17" s="123"/>
      <c r="F17" s="123"/>
      <c r="G17" s="123"/>
      <c r="H17" s="5"/>
      <c r="I17" s="120"/>
      <c r="J17" s="120"/>
      <c r="K17" s="120"/>
      <c r="L17" s="120"/>
      <c r="O17" s="2"/>
    </row>
    <row r="18" spans="1:15" ht="18" customHeight="1">
      <c r="A18" s="13"/>
      <c r="B18" s="122"/>
      <c r="C18" s="122"/>
      <c r="D18" s="122"/>
      <c r="E18" s="122"/>
      <c r="F18" s="122"/>
      <c r="G18" s="122"/>
      <c r="I18" s="579"/>
      <c r="J18" s="579"/>
      <c r="K18" s="579"/>
      <c r="L18" s="579"/>
      <c r="O18" s="5"/>
    </row>
    <row r="19" spans="1:15" s="15" customFormat="1" ht="18.95" customHeight="1" thickBot="1">
      <c r="A19" s="13" t="s">
        <v>11</v>
      </c>
      <c r="B19" s="14"/>
      <c r="C19" s="14"/>
      <c r="D19" s="14"/>
      <c r="M19" s="16"/>
      <c r="N19" s="16"/>
    </row>
    <row r="20" spans="1:15" s="15" customFormat="1" ht="19.5" customHeight="1" thickBot="1">
      <c r="A20" s="580" t="s">
        <v>12</v>
      </c>
      <c r="B20" s="581"/>
      <c r="C20" s="581"/>
      <c r="D20" s="582"/>
      <c r="E20" s="583" t="s">
        <v>13</v>
      </c>
      <c r="F20" s="582"/>
      <c r="G20" s="583" t="s">
        <v>14</v>
      </c>
      <c r="H20" s="581"/>
      <c r="I20" s="581"/>
      <c r="J20" s="581"/>
      <c r="K20" s="581"/>
      <c r="L20" s="584"/>
      <c r="M20" s="587"/>
      <c r="N20" s="588"/>
    </row>
    <row r="21" spans="1:15" s="15" customFormat="1" ht="18.95" customHeight="1" thickTop="1">
      <c r="A21" s="18">
        <v>1</v>
      </c>
      <c r="B21" s="19" t="s">
        <v>15</v>
      </c>
      <c r="C21" s="19" t="s">
        <v>304</v>
      </c>
      <c r="D21" s="20"/>
      <c r="E21" s="585">
        <f>J81-J44-J69-J70-J75</f>
        <v>5653600</v>
      </c>
      <c r="F21" s="586"/>
      <c r="G21" s="21" t="s">
        <v>16</v>
      </c>
      <c r="H21" s="22"/>
      <c r="I21" s="22"/>
      <c r="J21" s="22"/>
      <c r="K21" s="22"/>
      <c r="L21" s="23"/>
      <c r="M21" s="564"/>
      <c r="N21" s="565"/>
    </row>
    <row r="22" spans="1:15" s="15" customFormat="1" ht="18.95" customHeight="1">
      <c r="A22" s="139"/>
      <c r="B22" s="41" t="s">
        <v>15</v>
      </c>
      <c r="C22" s="41" t="s">
        <v>305</v>
      </c>
      <c r="D22" s="42"/>
      <c r="E22" s="562">
        <f>J44+J69+J70+J75</f>
        <v>3416500</v>
      </c>
      <c r="F22" s="563"/>
      <c r="G22" s="43"/>
      <c r="H22" s="44"/>
      <c r="I22" s="44"/>
      <c r="J22" s="44"/>
      <c r="K22" s="44"/>
      <c r="L22" s="535"/>
      <c r="M22" s="410"/>
      <c r="N22" s="24"/>
    </row>
    <row r="23" spans="1:15" s="15" customFormat="1" ht="18.95" customHeight="1">
      <c r="A23" s="25">
        <v>2</v>
      </c>
      <c r="B23" s="26" t="s">
        <v>17</v>
      </c>
      <c r="C23" s="26"/>
      <c r="D23" s="27"/>
      <c r="E23" s="562">
        <f>G91</f>
        <v>35000</v>
      </c>
      <c r="F23" s="563"/>
      <c r="G23" s="28" t="s">
        <v>18</v>
      </c>
      <c r="H23" s="29"/>
      <c r="I23" s="29"/>
      <c r="J23" s="29"/>
      <c r="K23" s="29"/>
      <c r="L23" s="30"/>
      <c r="M23" s="564"/>
      <c r="N23" s="565"/>
      <c r="O23" s="1"/>
    </row>
    <row r="24" spans="1:15" s="15" customFormat="1" ht="18.95" customHeight="1">
      <c r="A24" s="25">
        <v>3</v>
      </c>
      <c r="B24" s="26" t="s">
        <v>19</v>
      </c>
      <c r="C24" s="26"/>
      <c r="D24" s="27"/>
      <c r="E24" s="562">
        <f>(+E21+E22)+E23</f>
        <v>9105100</v>
      </c>
      <c r="F24" s="563"/>
      <c r="G24" s="28" t="s">
        <v>20</v>
      </c>
      <c r="H24" s="29"/>
      <c r="I24" s="29"/>
      <c r="J24" s="29"/>
      <c r="K24" s="29"/>
      <c r="L24" s="31"/>
      <c r="M24" s="564"/>
      <c r="N24" s="565"/>
    </row>
    <row r="25" spans="1:15" s="15" customFormat="1" ht="18.95" customHeight="1">
      <c r="A25" s="25">
        <v>4</v>
      </c>
      <c r="B25" s="26" t="s">
        <v>21</v>
      </c>
      <c r="C25" s="26"/>
      <c r="D25" s="27"/>
      <c r="E25" s="562">
        <f>+ROUNDDOWN((E21+E22)*0.5385,0)</f>
        <v>4884248</v>
      </c>
      <c r="F25" s="563"/>
      <c r="G25" s="28" t="s">
        <v>22</v>
      </c>
      <c r="H25" s="29"/>
      <c r="I25" s="29"/>
      <c r="J25" s="32"/>
      <c r="K25" s="32"/>
      <c r="L25" s="30"/>
      <c r="M25" s="564"/>
      <c r="N25" s="565"/>
    </row>
    <row r="26" spans="1:15" s="15" customFormat="1" ht="18.95" customHeight="1">
      <c r="A26" s="25">
        <v>5</v>
      </c>
      <c r="B26" s="26" t="s">
        <v>23</v>
      </c>
      <c r="C26" s="26"/>
      <c r="D26" s="27"/>
      <c r="E26" s="562">
        <f>E24+E25</f>
        <v>13989348</v>
      </c>
      <c r="F26" s="563"/>
      <c r="G26" s="28" t="s">
        <v>24</v>
      </c>
      <c r="H26" s="29"/>
      <c r="I26" s="29"/>
      <c r="J26" s="32"/>
      <c r="K26" s="32"/>
      <c r="L26" s="31"/>
      <c r="M26" s="564"/>
      <c r="N26" s="565"/>
    </row>
    <row r="27" spans="1:15" s="15" customFormat="1" ht="18.95" customHeight="1">
      <c r="A27" s="33">
        <v>6</v>
      </c>
      <c r="B27" s="34" t="s">
        <v>25</v>
      </c>
      <c r="C27" s="34"/>
      <c r="D27" s="35"/>
      <c r="E27" s="589">
        <f>+ROUNDDOWN(E26*0.5385,0)</f>
        <v>7533263</v>
      </c>
      <c r="F27" s="590"/>
      <c r="G27" s="36" t="s">
        <v>26</v>
      </c>
      <c r="H27" s="37"/>
      <c r="I27" s="37"/>
      <c r="J27" s="38"/>
      <c r="K27" s="38"/>
      <c r="L27" s="39"/>
      <c r="M27" s="564"/>
      <c r="N27" s="565"/>
    </row>
    <row r="28" spans="1:15" s="15" customFormat="1" ht="18.95" customHeight="1">
      <c r="A28" s="40" t="s">
        <v>27</v>
      </c>
      <c r="B28" s="41"/>
      <c r="C28" s="41"/>
      <c r="D28" s="42"/>
      <c r="E28" s="591">
        <f>+E26+E27</f>
        <v>21522611</v>
      </c>
      <c r="F28" s="592"/>
      <c r="G28" s="43" t="s">
        <v>28</v>
      </c>
      <c r="H28" s="44"/>
      <c r="I28" s="44"/>
      <c r="J28" s="44"/>
      <c r="K28" s="44"/>
      <c r="L28" s="45"/>
      <c r="M28" s="564"/>
      <c r="N28" s="565"/>
    </row>
    <row r="29" spans="1:15" s="15" customFormat="1" ht="18.95" customHeight="1">
      <c r="A29" s="46" t="s">
        <v>29</v>
      </c>
      <c r="B29" s="26"/>
      <c r="C29" s="26"/>
      <c r="D29" s="27"/>
      <c r="E29" s="562">
        <f>ROUNDDOWN(E28,-4)</f>
        <v>21520000</v>
      </c>
      <c r="F29" s="563"/>
      <c r="G29" s="28" t="s">
        <v>30</v>
      </c>
      <c r="H29" s="29"/>
      <c r="I29" s="29"/>
      <c r="J29" s="29"/>
      <c r="K29" s="29"/>
      <c r="L29" s="47"/>
      <c r="M29" s="564"/>
      <c r="N29" s="565"/>
    </row>
    <row r="30" spans="1:15" s="15" customFormat="1" ht="18.95" customHeight="1">
      <c r="A30" s="46" t="s">
        <v>31</v>
      </c>
      <c r="B30" s="26"/>
      <c r="C30" s="26"/>
      <c r="D30" s="27"/>
      <c r="E30" s="562">
        <f>+E29*0.1</f>
        <v>2152000</v>
      </c>
      <c r="F30" s="563"/>
      <c r="G30" s="48">
        <v>0.1</v>
      </c>
      <c r="H30" s="29"/>
      <c r="I30" s="29"/>
      <c r="J30" s="29"/>
      <c r="K30" s="29"/>
      <c r="L30" s="47"/>
      <c r="M30" s="564"/>
      <c r="N30" s="565"/>
    </row>
    <row r="31" spans="1:15" ht="18.95" customHeight="1" thickBot="1">
      <c r="A31" s="49" t="s">
        <v>32</v>
      </c>
      <c r="B31" s="50"/>
      <c r="C31" s="50"/>
      <c r="D31" s="50"/>
      <c r="E31" s="593">
        <f>+E29*1.1</f>
        <v>23672000.000000004</v>
      </c>
      <c r="F31" s="594"/>
      <c r="G31" s="51"/>
      <c r="H31" s="52"/>
      <c r="I31" s="52"/>
      <c r="J31" s="52"/>
      <c r="K31" s="52"/>
      <c r="L31" s="53"/>
      <c r="M31" s="564"/>
      <c r="N31" s="565"/>
      <c r="O31" s="5"/>
    </row>
    <row r="32" spans="1:15" ht="18.95" customHeight="1">
      <c r="A32" s="54"/>
      <c r="B32" s="15"/>
      <c r="C32" s="15"/>
      <c r="D32" s="15"/>
      <c r="E32" s="55"/>
      <c r="F32" s="55"/>
      <c r="M32" s="24"/>
      <c r="N32" s="24"/>
      <c r="O32" s="5"/>
    </row>
    <row r="33" spans="1:24" ht="42.6" customHeight="1">
      <c r="A33" s="610" t="s">
        <v>257</v>
      </c>
      <c r="B33" s="610"/>
      <c r="C33" s="610"/>
      <c r="D33" s="610"/>
      <c r="E33" s="610"/>
      <c r="F33" s="610"/>
      <c r="G33" s="610"/>
      <c r="H33" s="610"/>
      <c r="I33" s="610"/>
      <c r="J33" s="610"/>
      <c r="K33" s="610"/>
      <c r="L33" s="610"/>
      <c r="M33" s="24"/>
      <c r="N33" s="24"/>
      <c r="O33" s="5"/>
    </row>
    <row r="34" spans="1:24" ht="22.5" customHeight="1" thickBot="1">
      <c r="A34" s="13" t="s">
        <v>53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56"/>
      <c r="M34" s="57"/>
      <c r="N34" s="58"/>
      <c r="O34" s="5" t="s">
        <v>302</v>
      </c>
    </row>
    <row r="35" spans="1:24" ht="22.5" customHeight="1">
      <c r="A35" s="611" t="s">
        <v>33</v>
      </c>
      <c r="B35" s="612"/>
      <c r="C35" s="613"/>
      <c r="D35" s="59" t="s">
        <v>34</v>
      </c>
      <c r="E35" s="60" t="s">
        <v>35</v>
      </c>
      <c r="F35" s="60" t="s">
        <v>36</v>
      </c>
      <c r="G35" s="60" t="s">
        <v>37</v>
      </c>
      <c r="H35" s="60" t="s">
        <v>38</v>
      </c>
      <c r="I35" s="59" t="s">
        <v>39</v>
      </c>
      <c r="J35" s="61" t="s">
        <v>40</v>
      </c>
      <c r="K35" s="617" t="s">
        <v>14</v>
      </c>
      <c r="L35" s="618"/>
      <c r="O35" s="62"/>
      <c r="P35" s="62"/>
      <c r="Q35" s="63"/>
      <c r="R35" s="64"/>
      <c r="S35" s="63"/>
      <c r="T35" s="63"/>
      <c r="U35" s="63"/>
      <c r="V35" s="63"/>
      <c r="W35" s="65"/>
      <c r="X35" s="66"/>
    </row>
    <row r="36" spans="1:24" ht="22.5" customHeight="1" thickBot="1">
      <c r="A36" s="614"/>
      <c r="B36" s="615"/>
      <c r="C36" s="616"/>
      <c r="D36" s="114">
        <v>70900</v>
      </c>
      <c r="E36" s="115">
        <v>62200</v>
      </c>
      <c r="F36" s="115">
        <v>55200</v>
      </c>
      <c r="G36" s="115">
        <v>45300</v>
      </c>
      <c r="H36" s="115">
        <v>35600</v>
      </c>
      <c r="I36" s="114">
        <v>31600</v>
      </c>
      <c r="J36" s="137" t="s">
        <v>41</v>
      </c>
      <c r="K36" s="619"/>
      <c r="L36" s="620"/>
    </row>
    <row r="37" spans="1:24" s="150" customFormat="1" ht="22.5" customHeight="1" thickTop="1">
      <c r="A37" s="144" t="s">
        <v>65</v>
      </c>
      <c r="B37" s="621" t="s">
        <v>66</v>
      </c>
      <c r="C37" s="622"/>
      <c r="D37" s="145"/>
      <c r="E37" s="146">
        <f>E38+E42+E43+E44</f>
        <v>1</v>
      </c>
      <c r="F37" s="146">
        <f>F38+F42+F43+F44</f>
        <v>2.5</v>
      </c>
      <c r="G37" s="146">
        <f>G38+G42+G43+G44</f>
        <v>14.5</v>
      </c>
      <c r="H37" s="146">
        <f>H38+H42+H43+H44</f>
        <v>13</v>
      </c>
      <c r="I37" s="146">
        <f>I38+I42+I43+I44</f>
        <v>0</v>
      </c>
      <c r="J37" s="147">
        <f t="shared" ref="J37:J79" si="0">+$D$36*D37+$E$36*E37+$F$36*F37+$G$36*G37+$H$36*H37+$I$36*I37</f>
        <v>1319850</v>
      </c>
      <c r="K37" s="689"/>
      <c r="L37" s="690"/>
      <c r="M37" s="291">
        <f>+$D$36*D37+$E$36*E37+$F$36*F37+$G$36*G37+$H$36*H37+$I$36*I37</f>
        <v>1319850</v>
      </c>
      <c r="N37" s="148"/>
      <c r="O37" s="149"/>
    </row>
    <row r="38" spans="1:24" s="15" customFormat="1" ht="22.5" customHeight="1">
      <c r="A38" s="70"/>
      <c r="B38" s="625" t="s">
        <v>69</v>
      </c>
      <c r="C38" s="626"/>
      <c r="D38" s="289"/>
      <c r="E38" s="345">
        <f>E40+E39+E41</f>
        <v>1</v>
      </c>
      <c r="F38" s="345">
        <f t="shared" ref="F38:H38" si="1">F40+F39+F41</f>
        <v>1.5</v>
      </c>
      <c r="G38" s="345">
        <f t="shared" si="1"/>
        <v>2.5</v>
      </c>
      <c r="H38" s="345">
        <f t="shared" si="1"/>
        <v>1</v>
      </c>
      <c r="I38" s="345"/>
      <c r="J38" s="290">
        <f>+$D$36*D38+$E$36*E38+$F$36*F38+$G$36*G38+$H$36*H38+$I$36*I38</f>
        <v>293850</v>
      </c>
      <c r="K38" s="635"/>
      <c r="L38" s="636"/>
      <c r="M38" s="291">
        <f t="shared" ref="M38:M71" si="2">+$D$36*D38+$E$36*E38+$F$36*F38+$G$36*G38+$H$36*H38+$I$36*I38</f>
        <v>293850</v>
      </c>
      <c r="N38" s="68"/>
      <c r="O38" s="595"/>
      <c r="P38" s="595"/>
    </row>
    <row r="39" spans="1:24" s="15" customFormat="1" ht="15.6" customHeight="1">
      <c r="A39" s="70"/>
      <c r="B39" s="699" t="s">
        <v>248</v>
      </c>
      <c r="C39" s="700"/>
      <c r="D39" s="289"/>
      <c r="E39" s="323">
        <v>0.5</v>
      </c>
      <c r="F39" s="323">
        <v>0.5</v>
      </c>
      <c r="G39" s="323">
        <v>1</v>
      </c>
      <c r="H39" s="345"/>
      <c r="I39" s="345"/>
      <c r="J39" s="342">
        <f t="shared" si="0"/>
        <v>104000</v>
      </c>
      <c r="K39" s="103"/>
      <c r="L39" s="411"/>
      <c r="M39" s="291">
        <f t="shared" si="2"/>
        <v>104000</v>
      </c>
      <c r="N39" s="68"/>
      <c r="O39" s="71"/>
      <c r="P39" s="71"/>
    </row>
    <row r="40" spans="1:24" s="15" customFormat="1" ht="16.5" customHeight="1">
      <c r="A40" s="70"/>
      <c r="B40" s="699" t="s">
        <v>222</v>
      </c>
      <c r="C40" s="700"/>
      <c r="D40" s="289"/>
      <c r="E40" s="323">
        <v>0.5</v>
      </c>
      <c r="F40" s="323">
        <v>1</v>
      </c>
      <c r="G40" s="323">
        <v>1</v>
      </c>
      <c r="H40" s="323"/>
      <c r="I40" s="323"/>
      <c r="J40" s="342">
        <f t="shared" si="0"/>
        <v>131600</v>
      </c>
      <c r="K40" s="635"/>
      <c r="L40" s="636"/>
      <c r="M40" s="291">
        <f t="shared" si="2"/>
        <v>131600</v>
      </c>
      <c r="N40" s="68"/>
      <c r="O40" s="71"/>
      <c r="P40" s="71"/>
    </row>
    <row r="41" spans="1:24" s="15" customFormat="1" ht="15.6" customHeight="1">
      <c r="A41" s="70"/>
      <c r="B41" s="699" t="s">
        <v>223</v>
      </c>
      <c r="C41" s="700"/>
      <c r="D41" s="289"/>
      <c r="E41" s="323"/>
      <c r="F41" s="323"/>
      <c r="G41" s="323">
        <v>0.5</v>
      </c>
      <c r="H41" s="323">
        <v>1</v>
      </c>
      <c r="I41" s="323"/>
      <c r="J41" s="342">
        <f t="shared" si="0"/>
        <v>58250</v>
      </c>
      <c r="K41" s="635"/>
      <c r="L41" s="636"/>
      <c r="M41" s="291">
        <f t="shared" si="2"/>
        <v>58250</v>
      </c>
      <c r="N41" s="68"/>
      <c r="O41" s="71"/>
      <c r="P41" s="71"/>
    </row>
    <row r="42" spans="1:24" s="15" customFormat="1" ht="22.5" customHeight="1">
      <c r="A42" s="70"/>
      <c r="B42" s="637" t="s">
        <v>229</v>
      </c>
      <c r="C42" s="751"/>
      <c r="D42" s="289"/>
      <c r="E42" s="345"/>
      <c r="F42" s="345">
        <v>0.5</v>
      </c>
      <c r="G42" s="345">
        <v>1</v>
      </c>
      <c r="H42" s="345">
        <v>1</v>
      </c>
      <c r="I42" s="345"/>
      <c r="J42" s="290">
        <f t="shared" si="0"/>
        <v>108500</v>
      </c>
      <c r="K42" s="627"/>
      <c r="L42" s="628"/>
      <c r="M42" s="291">
        <f t="shared" si="2"/>
        <v>108500</v>
      </c>
      <c r="N42" s="68"/>
      <c r="O42" s="71"/>
      <c r="P42" s="71"/>
    </row>
    <row r="43" spans="1:24" s="15" customFormat="1" ht="22.5" customHeight="1">
      <c r="A43" s="70"/>
      <c r="B43" s="625" t="s">
        <v>72</v>
      </c>
      <c r="C43" s="626"/>
      <c r="D43" s="289"/>
      <c r="E43" s="345"/>
      <c r="F43" s="345">
        <v>0.5</v>
      </c>
      <c r="G43" s="345">
        <v>1</v>
      </c>
      <c r="H43" s="345">
        <v>1</v>
      </c>
      <c r="I43" s="345"/>
      <c r="J43" s="290">
        <f t="shared" si="0"/>
        <v>108500</v>
      </c>
      <c r="K43" s="635"/>
      <c r="L43" s="636"/>
      <c r="M43" s="291">
        <f t="shared" si="2"/>
        <v>108500</v>
      </c>
      <c r="N43" s="68"/>
      <c r="O43" s="71"/>
      <c r="P43" s="71"/>
    </row>
    <row r="44" spans="1:24" s="15" customFormat="1" ht="22.5" customHeight="1">
      <c r="A44" s="70"/>
      <c r="B44" s="625" t="s">
        <v>73</v>
      </c>
      <c r="C44" s="626"/>
      <c r="D44" s="289"/>
      <c r="E44" s="345"/>
      <c r="F44" s="345"/>
      <c r="G44" s="345">
        <f t="shared" ref="G44:H44" si="3">G45+G46</f>
        <v>10</v>
      </c>
      <c r="H44" s="345">
        <f t="shared" si="3"/>
        <v>10</v>
      </c>
      <c r="I44" s="345"/>
      <c r="J44" s="290">
        <f t="shared" si="0"/>
        <v>809000</v>
      </c>
      <c r="K44" s="627"/>
      <c r="L44" s="628"/>
      <c r="M44" s="291">
        <f t="shared" si="2"/>
        <v>809000</v>
      </c>
      <c r="N44" s="68"/>
      <c r="O44" s="69"/>
    </row>
    <row r="45" spans="1:24" s="15" customFormat="1" ht="15.6" customHeight="1">
      <c r="A45" s="70"/>
      <c r="B45" s="699" t="s">
        <v>270</v>
      </c>
      <c r="C45" s="700"/>
      <c r="D45" s="289"/>
      <c r="E45" s="345"/>
      <c r="F45" s="323"/>
      <c r="G45" s="323">
        <v>7</v>
      </c>
      <c r="H45" s="323">
        <v>7</v>
      </c>
      <c r="I45" s="345"/>
      <c r="J45" s="342">
        <f t="shared" si="0"/>
        <v>566300</v>
      </c>
      <c r="K45" s="507"/>
      <c r="L45" s="508"/>
      <c r="M45" s="291"/>
      <c r="N45" s="68"/>
      <c r="O45" s="69"/>
    </row>
    <row r="46" spans="1:24" s="15" customFormat="1" ht="15.6" customHeight="1">
      <c r="A46" s="70"/>
      <c r="B46" s="699" t="s">
        <v>271</v>
      </c>
      <c r="C46" s="700"/>
      <c r="D46" s="289"/>
      <c r="E46" s="345"/>
      <c r="F46" s="323"/>
      <c r="G46" s="323">
        <v>3</v>
      </c>
      <c r="H46" s="323">
        <v>3</v>
      </c>
      <c r="I46" s="345"/>
      <c r="J46" s="342">
        <f t="shared" si="0"/>
        <v>242700</v>
      </c>
      <c r="K46" s="507"/>
      <c r="L46" s="508"/>
      <c r="M46" s="291"/>
      <c r="N46" s="68"/>
      <c r="O46" s="69"/>
    </row>
    <row r="47" spans="1:24" s="150" customFormat="1" ht="22.5" customHeight="1">
      <c r="A47" s="151" t="s">
        <v>68</v>
      </c>
      <c r="B47" s="621" t="s">
        <v>67</v>
      </c>
      <c r="C47" s="622"/>
      <c r="D47" s="152"/>
      <c r="E47" s="152">
        <f>E48+E53+E60+E61+E65+E66</f>
        <v>4.5</v>
      </c>
      <c r="F47" s="152">
        <f>F48+F53+F60+F61+F65+F66</f>
        <v>12</v>
      </c>
      <c r="G47" s="152">
        <f>G48+G53+G60+G61+G65+G66</f>
        <v>31.5</v>
      </c>
      <c r="H47" s="152">
        <f>H48+H53+H60+H61+H65+H66</f>
        <v>41.5</v>
      </c>
      <c r="I47" s="152"/>
      <c r="J47" s="346">
        <f>+$D$36*D47+$E$36*E47+$F$36*F47+$G$36*G47+$H$36*H47+$I$36*I47</f>
        <v>3846650</v>
      </c>
      <c r="K47" s="691"/>
      <c r="L47" s="692"/>
      <c r="M47" s="291">
        <f t="shared" si="2"/>
        <v>3846650</v>
      </c>
      <c r="N47" s="148"/>
      <c r="O47" s="149"/>
    </row>
    <row r="48" spans="1:24" s="15" customFormat="1" ht="22.5" customHeight="1">
      <c r="A48" s="70"/>
      <c r="B48" s="631" t="s">
        <v>74</v>
      </c>
      <c r="C48" s="632"/>
      <c r="D48" s="289"/>
      <c r="E48" s="345">
        <f>SUM(E49:E52)</f>
        <v>0.5</v>
      </c>
      <c r="F48" s="345">
        <f t="shared" ref="F48:H48" si="4">SUM(F49:F52)</f>
        <v>2.5</v>
      </c>
      <c r="G48" s="345">
        <f t="shared" si="4"/>
        <v>4.5</v>
      </c>
      <c r="H48" s="345">
        <f t="shared" si="4"/>
        <v>10.5</v>
      </c>
      <c r="I48" s="345"/>
      <c r="J48" s="290">
        <f>+$D$36*D48+$E$36*E48+$F$36*F48+$G$36*G48+$H$36*H48+$I$36*I48</f>
        <v>746750</v>
      </c>
      <c r="K48" s="635"/>
      <c r="L48" s="636"/>
      <c r="M48" s="291">
        <f t="shared" si="2"/>
        <v>746750</v>
      </c>
      <c r="N48" s="68"/>
      <c r="O48" s="595"/>
      <c r="P48" s="595"/>
      <c r="Q48" s="595"/>
    </row>
    <row r="49" spans="1:18" s="15" customFormat="1" ht="22.5" customHeight="1">
      <c r="A49" s="70"/>
      <c r="B49" s="704" t="s">
        <v>75</v>
      </c>
      <c r="C49" s="705"/>
      <c r="D49" s="289"/>
      <c r="E49" s="323"/>
      <c r="F49" s="323">
        <v>0.5</v>
      </c>
      <c r="G49" s="323">
        <v>1</v>
      </c>
      <c r="H49" s="323">
        <v>3</v>
      </c>
      <c r="I49" s="323"/>
      <c r="J49" s="347">
        <f t="shared" si="0"/>
        <v>179700</v>
      </c>
      <c r="K49" s="635"/>
      <c r="L49" s="636"/>
      <c r="M49" s="291">
        <f t="shared" si="2"/>
        <v>179700</v>
      </c>
      <c r="N49" s="68"/>
      <c r="O49" s="71"/>
      <c r="P49" s="71"/>
      <c r="Q49" s="71"/>
    </row>
    <row r="50" spans="1:18" s="15" customFormat="1" ht="22.5" customHeight="1">
      <c r="A50" s="70"/>
      <c r="B50" s="704" t="s">
        <v>76</v>
      </c>
      <c r="C50" s="705"/>
      <c r="D50" s="289"/>
      <c r="E50" s="323"/>
      <c r="F50" s="323">
        <v>0.5</v>
      </c>
      <c r="G50" s="323">
        <v>1</v>
      </c>
      <c r="H50" s="323">
        <v>3</v>
      </c>
      <c r="I50" s="323"/>
      <c r="J50" s="347">
        <f t="shared" si="0"/>
        <v>179700</v>
      </c>
      <c r="K50" s="635"/>
      <c r="L50" s="636"/>
      <c r="M50" s="291">
        <f t="shared" si="2"/>
        <v>179700</v>
      </c>
      <c r="N50" s="68"/>
      <c r="O50" s="71"/>
      <c r="P50" s="71"/>
      <c r="Q50" s="71"/>
    </row>
    <row r="51" spans="1:18" s="15" customFormat="1" ht="22.5" customHeight="1">
      <c r="A51" s="70"/>
      <c r="B51" s="704" t="s">
        <v>77</v>
      </c>
      <c r="C51" s="705"/>
      <c r="D51" s="289"/>
      <c r="E51" s="323"/>
      <c r="F51" s="323">
        <v>0.5</v>
      </c>
      <c r="G51" s="323">
        <v>1</v>
      </c>
      <c r="H51" s="323">
        <v>3</v>
      </c>
      <c r="I51" s="323"/>
      <c r="J51" s="347">
        <f t="shared" si="0"/>
        <v>179700</v>
      </c>
      <c r="K51" s="635"/>
      <c r="L51" s="636"/>
      <c r="M51" s="291">
        <f t="shared" si="2"/>
        <v>179700</v>
      </c>
      <c r="N51" s="116"/>
      <c r="O51" s="69"/>
    </row>
    <row r="52" spans="1:18" s="15" customFormat="1" ht="22.5" customHeight="1">
      <c r="A52" s="72"/>
      <c r="B52" s="639" t="s">
        <v>78</v>
      </c>
      <c r="C52" s="706"/>
      <c r="D52" s="289"/>
      <c r="E52" s="323">
        <v>0.5</v>
      </c>
      <c r="F52" s="323">
        <v>1</v>
      </c>
      <c r="G52" s="323">
        <v>1.5</v>
      </c>
      <c r="H52" s="323">
        <v>1.5</v>
      </c>
      <c r="I52" s="323"/>
      <c r="J52" s="347">
        <f t="shared" si="0"/>
        <v>207650</v>
      </c>
      <c r="K52" s="635"/>
      <c r="L52" s="636"/>
      <c r="M52" s="291">
        <f t="shared" si="2"/>
        <v>207650</v>
      </c>
      <c r="N52" s="116"/>
      <c r="O52" s="703"/>
      <c r="P52" s="703"/>
      <c r="Q52" s="703"/>
      <c r="R52" s="703"/>
    </row>
    <row r="53" spans="1:18" s="15" customFormat="1" ht="22.5" customHeight="1">
      <c r="A53" s="70"/>
      <c r="B53" s="625" t="s">
        <v>85</v>
      </c>
      <c r="C53" s="626"/>
      <c r="D53" s="345"/>
      <c r="E53" s="345">
        <f>SUM(E54:E59)</f>
        <v>2.5</v>
      </c>
      <c r="F53" s="345">
        <f t="shared" ref="F53:G53" si="5">SUM(F54:F59)</f>
        <v>5</v>
      </c>
      <c r="G53" s="345">
        <f t="shared" si="5"/>
        <v>15</v>
      </c>
      <c r="H53" s="345">
        <f>SUM(H54:H59)</f>
        <v>17</v>
      </c>
      <c r="I53" s="345"/>
      <c r="J53" s="290">
        <f t="shared" si="0"/>
        <v>1716200</v>
      </c>
      <c r="K53" s="635"/>
      <c r="L53" s="636"/>
      <c r="M53" s="291">
        <f t="shared" si="2"/>
        <v>1716200</v>
      </c>
      <c r="N53" s="117"/>
      <c r="O53" s="69"/>
    </row>
    <row r="54" spans="1:18" s="15" customFormat="1" ht="22.5" customHeight="1">
      <c r="A54" s="70"/>
      <c r="B54" s="639" t="s">
        <v>79</v>
      </c>
      <c r="C54" s="640"/>
      <c r="D54" s="323">
        <v>0.5</v>
      </c>
      <c r="E54" s="323">
        <v>0.5</v>
      </c>
      <c r="F54" s="323">
        <v>1</v>
      </c>
      <c r="G54" s="323">
        <v>4</v>
      </c>
      <c r="H54" s="323">
        <v>4</v>
      </c>
      <c r="I54" s="323"/>
      <c r="J54" s="347">
        <f t="shared" si="0"/>
        <v>445350</v>
      </c>
      <c r="K54" s="635"/>
      <c r="L54" s="636"/>
      <c r="M54" s="291">
        <f t="shared" si="2"/>
        <v>445350</v>
      </c>
      <c r="N54" s="117"/>
      <c r="O54" s="69"/>
    </row>
    <row r="55" spans="1:18" s="15" customFormat="1" ht="22.5" customHeight="1">
      <c r="A55" s="70"/>
      <c r="B55" s="639" t="s">
        <v>80</v>
      </c>
      <c r="C55" s="640"/>
      <c r="D55" s="289"/>
      <c r="E55" s="323">
        <v>0.5</v>
      </c>
      <c r="F55" s="323">
        <v>1</v>
      </c>
      <c r="G55" s="323">
        <v>2</v>
      </c>
      <c r="H55" s="323">
        <v>2</v>
      </c>
      <c r="I55" s="323"/>
      <c r="J55" s="347">
        <f t="shared" si="0"/>
        <v>248100</v>
      </c>
      <c r="K55" s="635"/>
      <c r="L55" s="636"/>
      <c r="M55" s="291">
        <f t="shared" si="2"/>
        <v>248100</v>
      </c>
      <c r="N55" s="117"/>
      <c r="O55" s="69"/>
    </row>
    <row r="56" spans="1:18" s="15" customFormat="1" ht="22.5" customHeight="1">
      <c r="A56" s="70"/>
      <c r="B56" s="639" t="s">
        <v>81</v>
      </c>
      <c r="C56" s="640"/>
      <c r="D56" s="289"/>
      <c r="E56" s="323">
        <v>0.5</v>
      </c>
      <c r="F56" s="323">
        <v>1</v>
      </c>
      <c r="G56" s="323">
        <v>3</v>
      </c>
      <c r="H56" s="323">
        <v>3</v>
      </c>
      <c r="I56" s="323"/>
      <c r="J56" s="347">
        <f t="shared" si="0"/>
        <v>329000</v>
      </c>
      <c r="K56" s="635"/>
      <c r="L56" s="636"/>
      <c r="M56" s="291">
        <f t="shared" si="2"/>
        <v>329000</v>
      </c>
      <c r="N56" s="117"/>
      <c r="O56" s="69"/>
    </row>
    <row r="57" spans="1:18" s="15" customFormat="1" ht="22.5" customHeight="1">
      <c r="A57" s="70"/>
      <c r="B57" s="639" t="s">
        <v>82</v>
      </c>
      <c r="C57" s="640"/>
      <c r="D57" s="289"/>
      <c r="E57" s="323">
        <v>0.5</v>
      </c>
      <c r="F57" s="323">
        <v>1</v>
      </c>
      <c r="G57" s="323">
        <v>3</v>
      </c>
      <c r="H57" s="323">
        <v>4</v>
      </c>
      <c r="I57" s="323"/>
      <c r="J57" s="347">
        <f t="shared" si="0"/>
        <v>364600</v>
      </c>
      <c r="K57" s="635"/>
      <c r="L57" s="636"/>
      <c r="M57" s="291">
        <f t="shared" si="2"/>
        <v>364600</v>
      </c>
      <c r="N57" s="117"/>
      <c r="O57" s="69"/>
    </row>
    <row r="58" spans="1:18" s="15" customFormat="1" ht="22.5" customHeight="1">
      <c r="A58" s="70"/>
      <c r="B58" s="639" t="s">
        <v>83</v>
      </c>
      <c r="C58" s="640"/>
      <c r="D58" s="289"/>
      <c r="E58" s="323">
        <v>0.5</v>
      </c>
      <c r="F58" s="323">
        <v>1</v>
      </c>
      <c r="G58" s="323">
        <v>3</v>
      </c>
      <c r="H58" s="323">
        <v>4</v>
      </c>
      <c r="I58" s="323"/>
      <c r="J58" s="347">
        <f t="shared" si="0"/>
        <v>364600</v>
      </c>
      <c r="K58" s="635"/>
      <c r="L58" s="636"/>
      <c r="M58" s="291">
        <f t="shared" si="2"/>
        <v>364600</v>
      </c>
      <c r="N58" s="117"/>
      <c r="O58" s="69"/>
    </row>
    <row r="59" spans="1:18" s="15" customFormat="1" ht="22.5" customHeight="1">
      <c r="A59" s="70"/>
      <c r="B59" s="639" t="s">
        <v>84</v>
      </c>
      <c r="C59" s="640"/>
      <c r="D59" s="289"/>
      <c r="E59" s="344"/>
      <c r="F59" s="344"/>
      <c r="G59" s="344"/>
      <c r="H59" s="323"/>
      <c r="I59" s="344"/>
      <c r="J59" s="347">
        <f t="shared" si="0"/>
        <v>0</v>
      </c>
      <c r="K59" s="633" t="s">
        <v>254</v>
      </c>
      <c r="L59" s="634"/>
      <c r="M59" s="291">
        <f t="shared" si="2"/>
        <v>0</v>
      </c>
      <c r="N59" s="117"/>
      <c r="O59" s="69"/>
    </row>
    <row r="60" spans="1:18" s="15" customFormat="1" ht="24.95" customHeight="1">
      <c r="A60" s="70"/>
      <c r="B60" s="631" t="s">
        <v>86</v>
      </c>
      <c r="C60" s="643"/>
      <c r="D60" s="289"/>
      <c r="E60" s="345">
        <v>0.5</v>
      </c>
      <c r="F60" s="345">
        <v>1</v>
      </c>
      <c r="G60" s="345">
        <v>2</v>
      </c>
      <c r="H60" s="345">
        <v>2</v>
      </c>
      <c r="I60" s="345"/>
      <c r="J60" s="290">
        <f t="shared" si="0"/>
        <v>248100</v>
      </c>
      <c r="K60" s="644"/>
      <c r="L60" s="645"/>
      <c r="M60" s="291">
        <f t="shared" si="2"/>
        <v>248100</v>
      </c>
      <c r="N60" s="117"/>
      <c r="O60" s="69"/>
    </row>
    <row r="61" spans="1:18" s="15" customFormat="1" ht="24.95" customHeight="1">
      <c r="A61" s="70"/>
      <c r="B61" s="639" t="s">
        <v>87</v>
      </c>
      <c r="C61" s="640"/>
      <c r="D61" s="289"/>
      <c r="E61" s="345">
        <f>SUM(E62:E64)</f>
        <v>0.5</v>
      </c>
      <c r="F61" s="345">
        <f t="shared" ref="F61:H61" si="6">SUM(F62:F64)</f>
        <v>2</v>
      </c>
      <c r="G61" s="345">
        <f t="shared" si="6"/>
        <v>7</v>
      </c>
      <c r="H61" s="345">
        <f t="shared" si="6"/>
        <v>6</v>
      </c>
      <c r="I61" s="345"/>
      <c r="J61" s="290">
        <f t="shared" si="0"/>
        <v>672200</v>
      </c>
      <c r="K61" s="633" t="s">
        <v>269</v>
      </c>
      <c r="L61" s="634"/>
      <c r="M61" s="291">
        <f t="shared" si="2"/>
        <v>672200</v>
      </c>
      <c r="N61" s="117"/>
      <c r="O61" s="69"/>
    </row>
    <row r="62" spans="1:18" s="15" customFormat="1" ht="22.5" customHeight="1">
      <c r="A62" s="70"/>
      <c r="B62" s="639" t="s">
        <v>88</v>
      </c>
      <c r="C62" s="640"/>
      <c r="D62" s="289"/>
      <c r="E62" s="323">
        <v>0.5</v>
      </c>
      <c r="F62" s="323">
        <v>1</v>
      </c>
      <c r="G62" s="323">
        <v>1</v>
      </c>
      <c r="H62" s="323"/>
      <c r="I62" s="323"/>
      <c r="J62" s="347">
        <f t="shared" si="0"/>
        <v>131600</v>
      </c>
      <c r="K62" s="633"/>
      <c r="L62" s="634"/>
      <c r="M62" s="291">
        <f t="shared" si="2"/>
        <v>131600</v>
      </c>
      <c r="N62" s="117"/>
      <c r="O62" s="69"/>
    </row>
    <row r="63" spans="1:18" s="15" customFormat="1" ht="22.5" customHeight="1">
      <c r="A63" s="70"/>
      <c r="B63" s="639" t="s">
        <v>89</v>
      </c>
      <c r="C63" s="640"/>
      <c r="D63" s="289"/>
      <c r="E63" s="323"/>
      <c r="F63" s="323">
        <v>0.5</v>
      </c>
      <c r="G63" s="323">
        <v>3</v>
      </c>
      <c r="H63" s="323">
        <v>3</v>
      </c>
      <c r="I63" s="323"/>
      <c r="J63" s="347">
        <f t="shared" si="0"/>
        <v>270300</v>
      </c>
      <c r="K63" s="635"/>
      <c r="L63" s="636"/>
      <c r="M63" s="291">
        <f t="shared" si="2"/>
        <v>270300</v>
      </c>
      <c r="N63" s="117"/>
      <c r="O63" s="69"/>
    </row>
    <row r="64" spans="1:18" s="15" customFormat="1" ht="22.5" customHeight="1">
      <c r="A64" s="70"/>
      <c r="B64" s="639" t="s">
        <v>90</v>
      </c>
      <c r="C64" s="640"/>
      <c r="D64" s="289"/>
      <c r="E64" s="323"/>
      <c r="F64" s="323">
        <v>0.5</v>
      </c>
      <c r="G64" s="323">
        <v>3</v>
      </c>
      <c r="H64" s="323">
        <v>3</v>
      </c>
      <c r="I64" s="323"/>
      <c r="J64" s="347">
        <f t="shared" si="0"/>
        <v>270300</v>
      </c>
      <c r="K64" s="635"/>
      <c r="L64" s="636"/>
      <c r="M64" s="291">
        <f t="shared" si="2"/>
        <v>270300</v>
      </c>
      <c r="N64" s="117"/>
      <c r="O64" s="69"/>
    </row>
    <row r="65" spans="1:15" s="15" customFormat="1" ht="22.5" customHeight="1">
      <c r="A65" s="70"/>
      <c r="B65" s="639" t="s">
        <v>91</v>
      </c>
      <c r="C65" s="640"/>
      <c r="D65" s="289"/>
      <c r="E65" s="345">
        <v>0.5</v>
      </c>
      <c r="F65" s="345">
        <v>1</v>
      </c>
      <c r="G65" s="345">
        <v>2</v>
      </c>
      <c r="H65" s="345">
        <v>4</v>
      </c>
      <c r="I65" s="345"/>
      <c r="J65" s="290">
        <f t="shared" si="0"/>
        <v>319300</v>
      </c>
      <c r="K65" s="635"/>
      <c r="L65" s="636"/>
      <c r="M65" s="291">
        <f t="shared" si="2"/>
        <v>319300</v>
      </c>
      <c r="N65" s="117"/>
      <c r="O65" s="69"/>
    </row>
    <row r="66" spans="1:15" s="15" customFormat="1" ht="22.5" customHeight="1">
      <c r="A66" s="70"/>
      <c r="B66" s="639" t="s">
        <v>92</v>
      </c>
      <c r="C66" s="640"/>
      <c r="D66" s="289"/>
      <c r="E66" s="345"/>
      <c r="F66" s="345">
        <v>0.5</v>
      </c>
      <c r="G66" s="345">
        <v>1</v>
      </c>
      <c r="H66" s="345">
        <v>2</v>
      </c>
      <c r="I66" s="345"/>
      <c r="J66" s="290">
        <f t="shared" si="0"/>
        <v>144100</v>
      </c>
      <c r="K66" s="635"/>
      <c r="L66" s="636"/>
      <c r="M66" s="291">
        <f t="shared" si="2"/>
        <v>144100</v>
      </c>
      <c r="N66" s="117"/>
      <c r="O66" s="69"/>
    </row>
    <row r="67" spans="1:15" s="150" customFormat="1" ht="22.5" customHeight="1">
      <c r="A67" s="151" t="s">
        <v>93</v>
      </c>
      <c r="B67" s="646" t="s">
        <v>94</v>
      </c>
      <c r="C67" s="647"/>
      <c r="D67" s="152"/>
      <c r="E67" s="154"/>
      <c r="F67" s="154">
        <f>SUM(F68:F70)</f>
        <v>1.5</v>
      </c>
      <c r="G67" s="154">
        <f>SUM(G68:G70)</f>
        <v>22</v>
      </c>
      <c r="H67" s="154">
        <f>SUM(H68:H70)</f>
        <v>17</v>
      </c>
      <c r="I67" s="154">
        <f>SUM(I68:I70)</f>
        <v>4</v>
      </c>
      <c r="J67" s="153">
        <f t="shared" si="0"/>
        <v>1811000</v>
      </c>
      <c r="K67" s="691"/>
      <c r="L67" s="692"/>
      <c r="M67" s="291">
        <f t="shared" si="2"/>
        <v>1811000</v>
      </c>
      <c r="N67" s="155"/>
      <c r="O67" s="149"/>
    </row>
    <row r="68" spans="1:15" s="15" customFormat="1" ht="22.5" customHeight="1">
      <c r="A68" s="70"/>
      <c r="B68" s="639" t="s">
        <v>95</v>
      </c>
      <c r="C68" s="640"/>
      <c r="D68" s="289"/>
      <c r="E68" s="345"/>
      <c r="F68" s="345">
        <v>0.5</v>
      </c>
      <c r="G68" s="345">
        <v>1</v>
      </c>
      <c r="H68" s="345">
        <v>3</v>
      </c>
      <c r="I68" s="345"/>
      <c r="J68" s="290">
        <f t="shared" si="0"/>
        <v>179700</v>
      </c>
      <c r="K68" s="635"/>
      <c r="L68" s="636"/>
      <c r="M68" s="291">
        <f t="shared" si="2"/>
        <v>179700</v>
      </c>
      <c r="N68" s="117"/>
      <c r="O68" s="69"/>
    </row>
    <row r="69" spans="1:15" s="15" customFormat="1" ht="22.5" customHeight="1">
      <c r="A69" s="70"/>
      <c r="B69" s="639" t="s">
        <v>96</v>
      </c>
      <c r="C69" s="640"/>
      <c r="D69" s="289"/>
      <c r="E69" s="345"/>
      <c r="F69" s="345">
        <v>1</v>
      </c>
      <c r="G69" s="345">
        <v>1</v>
      </c>
      <c r="H69" s="345">
        <v>4</v>
      </c>
      <c r="I69" s="345">
        <v>4</v>
      </c>
      <c r="J69" s="290">
        <f>+$D$36*D69+$E$36*E69+$F$36*F69+$G$36*G69+$H$36*H69+$I$36*I69</f>
        <v>369300</v>
      </c>
      <c r="K69" s="627" t="s">
        <v>97</v>
      </c>
      <c r="L69" s="628"/>
      <c r="M69" s="291">
        <f t="shared" si="2"/>
        <v>369300</v>
      </c>
      <c r="N69" s="117"/>
      <c r="O69" s="69"/>
    </row>
    <row r="70" spans="1:15" s="15" customFormat="1" ht="22.5" customHeight="1">
      <c r="A70" s="70"/>
      <c r="B70" s="639" t="s">
        <v>98</v>
      </c>
      <c r="C70" s="640"/>
      <c r="D70" s="289"/>
      <c r="E70" s="345"/>
      <c r="F70" s="345"/>
      <c r="G70" s="345">
        <v>20</v>
      </c>
      <c r="H70" s="345">
        <v>10</v>
      </c>
      <c r="I70" s="345"/>
      <c r="J70" s="290">
        <f t="shared" si="0"/>
        <v>1262000</v>
      </c>
      <c r="K70" s="627" t="s">
        <v>99</v>
      </c>
      <c r="L70" s="628"/>
      <c r="M70" s="291">
        <f t="shared" si="2"/>
        <v>1262000</v>
      </c>
      <c r="N70" s="117"/>
      <c r="O70" s="69"/>
    </row>
    <row r="71" spans="1:15" s="150" customFormat="1" ht="22.5" customHeight="1">
      <c r="A71" s="151" t="s">
        <v>101</v>
      </c>
      <c r="B71" s="646" t="s">
        <v>102</v>
      </c>
      <c r="C71" s="647"/>
      <c r="D71" s="152"/>
      <c r="E71" s="154"/>
      <c r="F71" s="154">
        <f>SUM(F72:F73)</f>
        <v>1</v>
      </c>
      <c r="G71" s="154">
        <f t="shared" ref="G71:I71" si="7">SUM(G72:G73)</f>
        <v>1</v>
      </c>
      <c r="H71" s="154">
        <f t="shared" si="7"/>
        <v>3</v>
      </c>
      <c r="I71" s="154">
        <f t="shared" si="7"/>
        <v>4</v>
      </c>
      <c r="J71" s="153">
        <f t="shared" si="0"/>
        <v>333700</v>
      </c>
      <c r="K71" s="691"/>
      <c r="L71" s="692"/>
      <c r="M71" s="291">
        <f t="shared" si="2"/>
        <v>333700</v>
      </c>
      <c r="N71" s="155"/>
      <c r="O71" s="149"/>
    </row>
    <row r="72" spans="1:15" s="150" customFormat="1" ht="17.100000000000001" hidden="1" customHeight="1">
      <c r="A72" s="348"/>
      <c r="B72" s="699" t="s">
        <v>225</v>
      </c>
      <c r="C72" s="700"/>
      <c r="D72" s="349"/>
      <c r="E72" s="350"/>
      <c r="F72" s="323">
        <v>0.5</v>
      </c>
      <c r="G72" s="323"/>
      <c r="H72" s="323">
        <v>1</v>
      </c>
      <c r="I72" s="323"/>
      <c r="J72" s="342">
        <f t="shared" si="0"/>
        <v>63200</v>
      </c>
      <c r="K72" s="650" t="s">
        <v>247</v>
      </c>
      <c r="L72" s="634"/>
      <c r="M72" s="351"/>
      <c r="N72" s="155"/>
      <c r="O72" s="149"/>
    </row>
    <row r="73" spans="1:15" s="150" customFormat="1" ht="17.100000000000001" hidden="1" customHeight="1">
      <c r="A73" s="348"/>
      <c r="B73" s="699" t="s">
        <v>102</v>
      </c>
      <c r="C73" s="700"/>
      <c r="D73" s="349"/>
      <c r="E73" s="350"/>
      <c r="F73" s="323">
        <v>0.5</v>
      </c>
      <c r="G73" s="323">
        <v>1</v>
      </c>
      <c r="H73" s="323">
        <v>2</v>
      </c>
      <c r="I73" s="323">
        <v>4</v>
      </c>
      <c r="J73" s="342">
        <f t="shared" si="0"/>
        <v>270500</v>
      </c>
      <c r="K73" s="710"/>
      <c r="L73" s="711"/>
      <c r="M73" s="351"/>
      <c r="N73" s="155"/>
      <c r="O73" s="149"/>
    </row>
    <row r="74" spans="1:15" s="150" customFormat="1" ht="22.5" customHeight="1">
      <c r="A74" s="151" t="s">
        <v>103</v>
      </c>
      <c r="B74" s="646" t="s">
        <v>104</v>
      </c>
      <c r="C74" s="647"/>
      <c r="D74" s="152"/>
      <c r="E74" s="154">
        <v>1</v>
      </c>
      <c r="F74" s="154">
        <v>2</v>
      </c>
      <c r="G74" s="154">
        <v>4</v>
      </c>
      <c r="H74" s="154">
        <v>8</v>
      </c>
      <c r="I74" s="154"/>
      <c r="J74" s="153">
        <f t="shared" si="0"/>
        <v>638600</v>
      </c>
      <c r="K74" s="691"/>
      <c r="L74" s="692"/>
      <c r="M74" s="291">
        <f t="shared" ref="M74:M79" si="8">+$D$36*D74+$E$36*E74+$F$36*F74+$G$36*G74+$H$36*H74+$I$36*I74</f>
        <v>638600</v>
      </c>
      <c r="N74" s="155"/>
      <c r="O74" s="149"/>
    </row>
    <row r="75" spans="1:15" s="150" customFormat="1" ht="22.5" customHeight="1">
      <c r="A75" s="151" t="s">
        <v>105</v>
      </c>
      <c r="B75" s="646" t="s">
        <v>106</v>
      </c>
      <c r="C75" s="647"/>
      <c r="D75" s="152"/>
      <c r="E75" s="154">
        <f>SUM(E76:E78)</f>
        <v>6</v>
      </c>
      <c r="F75" s="154">
        <f t="shared" ref="F75:H75" si="9">SUM(F76:F78)</f>
        <v>6</v>
      </c>
      <c r="G75" s="154">
        <f t="shared" si="9"/>
        <v>6</v>
      </c>
      <c r="H75" s="154">
        <f t="shared" si="9"/>
        <v>0</v>
      </c>
      <c r="I75" s="154"/>
      <c r="J75" s="153">
        <f t="shared" si="0"/>
        <v>976200</v>
      </c>
      <c r="K75" s="691"/>
      <c r="L75" s="692"/>
      <c r="M75" s="291">
        <f t="shared" si="8"/>
        <v>976200</v>
      </c>
      <c r="N75" s="155"/>
      <c r="O75" s="149"/>
    </row>
    <row r="76" spans="1:15" s="15" customFormat="1" ht="22.5" customHeight="1">
      <c r="A76" s="70"/>
      <c r="B76" s="639" t="s">
        <v>109</v>
      </c>
      <c r="C76" s="640"/>
      <c r="D76" s="73"/>
      <c r="E76" s="345">
        <v>0.5</v>
      </c>
      <c r="F76" s="345">
        <v>0.5</v>
      </c>
      <c r="G76" s="345">
        <v>0.5</v>
      </c>
      <c r="H76" s="345"/>
      <c r="I76" s="345"/>
      <c r="J76" s="290">
        <f t="shared" si="0"/>
        <v>81350</v>
      </c>
      <c r="K76" s="635"/>
      <c r="L76" s="636"/>
      <c r="M76" s="291">
        <f t="shared" si="8"/>
        <v>81350</v>
      </c>
      <c r="N76" s="116"/>
      <c r="O76" s="69"/>
    </row>
    <row r="77" spans="1:15" s="15" customFormat="1" ht="22.5" customHeight="1">
      <c r="A77" s="70"/>
      <c r="B77" s="639" t="s">
        <v>110</v>
      </c>
      <c r="C77" s="640"/>
      <c r="D77" s="74"/>
      <c r="E77" s="345">
        <v>5</v>
      </c>
      <c r="F77" s="345">
        <v>5</v>
      </c>
      <c r="G77" s="345">
        <v>5</v>
      </c>
      <c r="H77" s="345"/>
      <c r="I77" s="345"/>
      <c r="J77" s="290">
        <f t="shared" si="0"/>
        <v>813500</v>
      </c>
      <c r="K77" s="627"/>
      <c r="L77" s="628"/>
      <c r="M77" s="291">
        <f t="shared" si="8"/>
        <v>813500</v>
      </c>
      <c r="N77" s="68"/>
      <c r="O77" s="69"/>
    </row>
    <row r="78" spans="1:15" s="15" customFormat="1" ht="22.5" customHeight="1">
      <c r="A78" s="70"/>
      <c r="B78" s="639" t="s">
        <v>111</v>
      </c>
      <c r="C78" s="640"/>
      <c r="D78" s="74"/>
      <c r="E78" s="345">
        <v>0.5</v>
      </c>
      <c r="F78" s="345">
        <v>0.5</v>
      </c>
      <c r="G78" s="345">
        <v>0.5</v>
      </c>
      <c r="H78" s="345"/>
      <c r="I78" s="345"/>
      <c r="J78" s="290">
        <f t="shared" si="0"/>
        <v>81350</v>
      </c>
      <c r="K78" s="635"/>
      <c r="L78" s="636"/>
      <c r="M78" s="291">
        <f t="shared" si="8"/>
        <v>81350</v>
      </c>
      <c r="N78" s="68"/>
      <c r="O78" s="69"/>
    </row>
    <row r="79" spans="1:15" s="150" customFormat="1" ht="22.5" customHeight="1" thickBot="1">
      <c r="A79" s="156" t="s">
        <v>107</v>
      </c>
      <c r="B79" s="665" t="s">
        <v>108</v>
      </c>
      <c r="C79" s="666"/>
      <c r="D79" s="157"/>
      <c r="E79" s="158"/>
      <c r="F79" s="158">
        <v>0.5</v>
      </c>
      <c r="G79" s="158">
        <v>1</v>
      </c>
      <c r="H79" s="158">
        <v>2</v>
      </c>
      <c r="I79" s="158"/>
      <c r="J79" s="153">
        <f t="shared" si="0"/>
        <v>144100</v>
      </c>
      <c r="K79" s="691"/>
      <c r="L79" s="692"/>
      <c r="M79" s="291">
        <f t="shared" si="8"/>
        <v>144100</v>
      </c>
      <c r="N79" s="148"/>
      <c r="O79" s="149"/>
    </row>
    <row r="80" spans="1:15" ht="22.5" customHeight="1">
      <c r="A80" s="77"/>
      <c r="B80" s="78" t="s">
        <v>40</v>
      </c>
      <c r="C80" s="79" t="s">
        <v>42</v>
      </c>
      <c r="D80" s="80">
        <f t="shared" ref="D80:I80" si="10">D37+D47+D67+D71+D74+D75+D79</f>
        <v>0</v>
      </c>
      <c r="E80" s="80">
        <f t="shared" si="10"/>
        <v>12.5</v>
      </c>
      <c r="F80" s="80">
        <f t="shared" si="10"/>
        <v>25.5</v>
      </c>
      <c r="G80" s="80">
        <f t="shared" si="10"/>
        <v>80</v>
      </c>
      <c r="H80" s="80">
        <f t="shared" si="10"/>
        <v>84.5</v>
      </c>
      <c r="I80" s="80">
        <f t="shared" si="10"/>
        <v>8</v>
      </c>
      <c r="J80" s="81">
        <f>SUM(D80:I80)</f>
        <v>210.5</v>
      </c>
      <c r="K80" s="651" t="s">
        <v>43</v>
      </c>
      <c r="L80" s="652"/>
      <c r="M80" s="82"/>
      <c r="N80" s="83"/>
      <c r="O80" s="84"/>
    </row>
    <row r="81" spans="1:15" ht="22.5" customHeight="1" thickBot="1">
      <c r="A81" s="85"/>
      <c r="B81" s="86"/>
      <c r="C81" s="87" t="s">
        <v>44</v>
      </c>
      <c r="D81" s="118">
        <f t="shared" ref="D81:I81" si="11">D80*D36</f>
        <v>0</v>
      </c>
      <c r="E81" s="118">
        <f t="shared" si="11"/>
        <v>777500</v>
      </c>
      <c r="F81" s="118">
        <f t="shared" si="11"/>
        <v>1407600</v>
      </c>
      <c r="G81" s="118">
        <f t="shared" si="11"/>
        <v>3624000</v>
      </c>
      <c r="H81" s="118">
        <f t="shared" si="11"/>
        <v>3008200</v>
      </c>
      <c r="I81" s="118">
        <f t="shared" si="11"/>
        <v>252800</v>
      </c>
      <c r="J81" s="341">
        <f>+D36*D80+E36*E80+F36*F80+G36*G80+H36*H80+I36*I80</f>
        <v>9070100</v>
      </c>
      <c r="K81" s="653" t="s">
        <v>45</v>
      </c>
      <c r="L81" s="654"/>
      <c r="M81" s="88"/>
      <c r="N81" s="5"/>
      <c r="O81" s="84"/>
    </row>
    <row r="82" spans="1:15" ht="18.95" customHeight="1">
      <c r="A82" s="89"/>
      <c r="B82" s="90"/>
      <c r="C82" s="90"/>
      <c r="D82" s="90"/>
      <c r="E82" s="91"/>
      <c r="F82" s="91"/>
      <c r="G82" s="91"/>
      <c r="H82" s="91"/>
      <c r="I82" s="91"/>
      <c r="J82" s="91"/>
      <c r="K82" s="91"/>
      <c r="L82" s="91"/>
      <c r="M82" s="88"/>
      <c r="N82" s="5"/>
      <c r="O82" s="92"/>
    </row>
    <row r="83" spans="1:15" ht="22.5" customHeight="1" thickBot="1">
      <c r="A83" s="93" t="s">
        <v>54</v>
      </c>
      <c r="B83" s="94"/>
      <c r="C83" s="94"/>
      <c r="D83" s="94"/>
      <c r="E83" s="95"/>
      <c r="F83" s="95"/>
      <c r="G83" s="95"/>
      <c r="H83" s="95"/>
      <c r="I83" s="95"/>
      <c r="J83" s="95"/>
      <c r="K83" s="95"/>
      <c r="L83" s="95"/>
      <c r="M83" s="5"/>
      <c r="N83" s="5"/>
    </row>
    <row r="84" spans="1:15" ht="22.5" customHeight="1" thickBot="1">
      <c r="A84" s="655" t="s">
        <v>46</v>
      </c>
      <c r="B84" s="656"/>
      <c r="C84" s="657"/>
      <c r="D84" s="17" t="s">
        <v>47</v>
      </c>
      <c r="E84" s="96" t="s">
        <v>48</v>
      </c>
      <c r="F84" s="17" t="s">
        <v>49</v>
      </c>
      <c r="G84" s="658" t="s">
        <v>13</v>
      </c>
      <c r="H84" s="657"/>
      <c r="I84" s="658" t="s">
        <v>14</v>
      </c>
      <c r="J84" s="656"/>
      <c r="K84" s="656"/>
      <c r="L84" s="659"/>
    </row>
    <row r="85" spans="1:15" ht="22.5" customHeight="1" thickTop="1">
      <c r="A85" s="67" t="s">
        <v>65</v>
      </c>
      <c r="B85" s="97" t="s">
        <v>112</v>
      </c>
      <c r="C85" s="98"/>
      <c r="D85" s="99" t="s">
        <v>183</v>
      </c>
      <c r="E85" s="100">
        <v>1</v>
      </c>
      <c r="F85" s="119"/>
      <c r="G85" s="660">
        <f>SUM(G86:H87)</f>
        <v>5000</v>
      </c>
      <c r="H85" s="661"/>
      <c r="I85" s="662"/>
      <c r="J85" s="663"/>
      <c r="K85" s="663"/>
      <c r="L85" s="664"/>
    </row>
    <row r="86" spans="1:15" ht="22.5" customHeight="1">
      <c r="A86" s="139"/>
      <c r="B86" s="140" t="s">
        <v>180</v>
      </c>
      <c r="C86" s="141"/>
      <c r="D86" s="163" t="s">
        <v>183</v>
      </c>
      <c r="E86" s="164">
        <v>1</v>
      </c>
      <c r="F86" s="143"/>
      <c r="G86" s="667">
        <v>5000</v>
      </c>
      <c r="H86" s="668"/>
      <c r="I86" s="669" t="s">
        <v>264</v>
      </c>
      <c r="J86" s="670"/>
      <c r="K86" s="670"/>
      <c r="L86" s="671"/>
    </row>
    <row r="87" spans="1:15" ht="22.5" customHeight="1">
      <c r="A87" s="139"/>
      <c r="B87" s="140" t="s">
        <v>113</v>
      </c>
      <c r="C87" s="141"/>
      <c r="D87" s="321" t="s">
        <v>179</v>
      </c>
      <c r="E87" s="322">
        <v>36</v>
      </c>
      <c r="F87" s="143"/>
      <c r="G87" s="667">
        <f>+E87*F87</f>
        <v>0</v>
      </c>
      <c r="H87" s="668"/>
      <c r="I87" s="669" t="s">
        <v>265</v>
      </c>
      <c r="J87" s="670"/>
      <c r="K87" s="670"/>
      <c r="L87" s="671"/>
    </row>
    <row r="88" spans="1:15" ht="22.5" customHeight="1">
      <c r="A88" s="70" t="s">
        <v>68</v>
      </c>
      <c r="B88" s="101" t="s">
        <v>114</v>
      </c>
      <c r="C88" s="102"/>
      <c r="D88" s="142" t="s">
        <v>183</v>
      </c>
      <c r="E88" s="320">
        <v>1</v>
      </c>
      <c r="F88" s="103"/>
      <c r="G88" s="679">
        <f>SUM(G89:H90)</f>
        <v>30000</v>
      </c>
      <c r="H88" s="680"/>
      <c r="I88" s="669"/>
      <c r="J88" s="670"/>
      <c r="K88" s="670"/>
      <c r="L88" s="671"/>
    </row>
    <row r="89" spans="1:15" ht="22.5" customHeight="1">
      <c r="A89" s="160"/>
      <c r="B89" s="161" t="s">
        <v>115</v>
      </c>
      <c r="C89" s="162"/>
      <c r="D89" s="163" t="s">
        <v>183</v>
      </c>
      <c r="E89" s="164">
        <v>1</v>
      </c>
      <c r="F89" s="165"/>
      <c r="G89" s="667">
        <v>25000</v>
      </c>
      <c r="H89" s="668"/>
      <c r="I89" s="669" t="s">
        <v>266</v>
      </c>
      <c r="J89" s="670"/>
      <c r="K89" s="670"/>
      <c r="L89" s="671"/>
    </row>
    <row r="90" spans="1:15" ht="22.5" customHeight="1" thickBot="1">
      <c r="A90" s="75"/>
      <c r="B90" s="334" t="s">
        <v>116</v>
      </c>
      <c r="C90" s="335"/>
      <c r="D90" s="104" t="s">
        <v>183</v>
      </c>
      <c r="E90" s="76">
        <v>1</v>
      </c>
      <c r="F90" s="105"/>
      <c r="G90" s="672">
        <v>5000</v>
      </c>
      <c r="H90" s="673"/>
      <c r="I90" s="674" t="s">
        <v>267</v>
      </c>
      <c r="J90" s="675"/>
      <c r="K90" s="675"/>
      <c r="L90" s="676"/>
    </row>
    <row r="91" spans="1:15" ht="22.5" customHeight="1" thickBot="1">
      <c r="A91" s="106"/>
      <c r="B91" s="95" t="s">
        <v>40</v>
      </c>
      <c r="C91" s="107"/>
      <c r="D91" s="108"/>
      <c r="E91" s="109"/>
      <c r="F91" s="110"/>
      <c r="G91" s="677">
        <f>G85+G88</f>
        <v>35000</v>
      </c>
      <c r="H91" s="678"/>
      <c r="I91" s="111"/>
      <c r="J91" s="111"/>
      <c r="K91" s="111"/>
      <c r="L91" s="112"/>
      <c r="O91" s="84"/>
    </row>
    <row r="92" spans="1:15" ht="22.5" customHeight="1"/>
  </sheetData>
  <mergeCells count="149">
    <mergeCell ref="G90:H90"/>
    <mergeCell ref="I90:L90"/>
    <mergeCell ref="G91:H91"/>
    <mergeCell ref="G87:H87"/>
    <mergeCell ref="I87:L87"/>
    <mergeCell ref="G88:H88"/>
    <mergeCell ref="I88:L88"/>
    <mergeCell ref="G89:H89"/>
    <mergeCell ref="I89:L89"/>
    <mergeCell ref="A84:C84"/>
    <mergeCell ref="G84:H84"/>
    <mergeCell ref="I84:L84"/>
    <mergeCell ref="G85:H85"/>
    <mergeCell ref="I85:L85"/>
    <mergeCell ref="G86:H86"/>
    <mergeCell ref="I86:L86"/>
    <mergeCell ref="B78:C78"/>
    <mergeCell ref="K78:L78"/>
    <mergeCell ref="B79:C79"/>
    <mergeCell ref="K79:L79"/>
    <mergeCell ref="K80:L80"/>
    <mergeCell ref="K81:L81"/>
    <mergeCell ref="B75:C75"/>
    <mergeCell ref="K75:L75"/>
    <mergeCell ref="B76:C76"/>
    <mergeCell ref="K76:L76"/>
    <mergeCell ref="B77:C77"/>
    <mergeCell ref="K77:L77"/>
    <mergeCell ref="B72:C72"/>
    <mergeCell ref="K72:L72"/>
    <mergeCell ref="B73:C73"/>
    <mergeCell ref="K73:L73"/>
    <mergeCell ref="B74:C74"/>
    <mergeCell ref="K74:L74"/>
    <mergeCell ref="B70:C70"/>
    <mergeCell ref="K70:L70"/>
    <mergeCell ref="B71:C71"/>
    <mergeCell ref="K71:L71"/>
    <mergeCell ref="B67:C67"/>
    <mergeCell ref="K67:L67"/>
    <mergeCell ref="B68:C68"/>
    <mergeCell ref="K68:L68"/>
    <mergeCell ref="B69:C69"/>
    <mergeCell ref="K69:L69"/>
    <mergeCell ref="B64:C64"/>
    <mergeCell ref="K64:L64"/>
    <mergeCell ref="B65:C65"/>
    <mergeCell ref="K65:L65"/>
    <mergeCell ref="B66:C66"/>
    <mergeCell ref="K66:L66"/>
    <mergeCell ref="B61:C61"/>
    <mergeCell ref="K61:L61"/>
    <mergeCell ref="B62:C62"/>
    <mergeCell ref="K62:L62"/>
    <mergeCell ref="B63:C63"/>
    <mergeCell ref="K63:L63"/>
    <mergeCell ref="B58:C58"/>
    <mergeCell ref="K58:L58"/>
    <mergeCell ref="B59:C59"/>
    <mergeCell ref="K59:L59"/>
    <mergeCell ref="B60:C60"/>
    <mergeCell ref="K60:L60"/>
    <mergeCell ref="B55:C55"/>
    <mergeCell ref="K55:L55"/>
    <mergeCell ref="B56:C56"/>
    <mergeCell ref="K56:L56"/>
    <mergeCell ref="B57:C57"/>
    <mergeCell ref="K57:L57"/>
    <mergeCell ref="B52:C52"/>
    <mergeCell ref="K52:L52"/>
    <mergeCell ref="O52:R52"/>
    <mergeCell ref="B53:C53"/>
    <mergeCell ref="K53:L53"/>
    <mergeCell ref="B54:C54"/>
    <mergeCell ref="K54:L54"/>
    <mergeCell ref="O48:Q48"/>
    <mergeCell ref="B49:C49"/>
    <mergeCell ref="K49:L49"/>
    <mergeCell ref="B50:C50"/>
    <mergeCell ref="K50:L50"/>
    <mergeCell ref="B51:C51"/>
    <mergeCell ref="K51:L51"/>
    <mergeCell ref="B45:C45"/>
    <mergeCell ref="B46:C46"/>
    <mergeCell ref="B47:C47"/>
    <mergeCell ref="K47:L47"/>
    <mergeCell ref="B48:C48"/>
    <mergeCell ref="K48:L48"/>
    <mergeCell ref="B42:C42"/>
    <mergeCell ref="K42:L42"/>
    <mergeCell ref="B43:C43"/>
    <mergeCell ref="K43:L43"/>
    <mergeCell ref="B44:C44"/>
    <mergeCell ref="K44:L44"/>
    <mergeCell ref="O38:P38"/>
    <mergeCell ref="B39:C39"/>
    <mergeCell ref="B40:C40"/>
    <mergeCell ref="K40:L40"/>
    <mergeCell ref="B41:C41"/>
    <mergeCell ref="K41:L41"/>
    <mergeCell ref="A33:L33"/>
    <mergeCell ref="A35:C36"/>
    <mergeCell ref="K35:L36"/>
    <mergeCell ref="B37:C37"/>
    <mergeCell ref="K37:L37"/>
    <mergeCell ref="B38:C38"/>
    <mergeCell ref="K38:L38"/>
    <mergeCell ref="E29:F29"/>
    <mergeCell ref="M29:N29"/>
    <mergeCell ref="E30:F30"/>
    <mergeCell ref="M30:N30"/>
    <mergeCell ref="E31:F31"/>
    <mergeCell ref="M31:N31"/>
    <mergeCell ref="E26:F26"/>
    <mergeCell ref="M26:N26"/>
    <mergeCell ref="E27:F27"/>
    <mergeCell ref="M27:N27"/>
    <mergeCell ref="E28:F28"/>
    <mergeCell ref="M28:N28"/>
    <mergeCell ref="M23:N23"/>
    <mergeCell ref="E24:F24"/>
    <mergeCell ref="M24:N24"/>
    <mergeCell ref="E25:F25"/>
    <mergeCell ref="M25:N25"/>
    <mergeCell ref="I18:L18"/>
    <mergeCell ref="A20:D20"/>
    <mergeCell ref="E20:F20"/>
    <mergeCell ref="G20:L20"/>
    <mergeCell ref="M20:N20"/>
    <mergeCell ref="E21:F21"/>
    <mergeCell ref="M21:N21"/>
    <mergeCell ref="A9:B9"/>
    <mergeCell ref="A10:B10"/>
    <mergeCell ref="B13:G16"/>
    <mergeCell ref="I13:L13"/>
    <mergeCell ref="I14:L14"/>
    <mergeCell ref="I15:L15"/>
    <mergeCell ref="I16:L16"/>
    <mergeCell ref="E22:F22"/>
    <mergeCell ref="E23:F23"/>
    <mergeCell ref="A1:L1"/>
    <mergeCell ref="A3:C4"/>
    <mergeCell ref="J3:K3"/>
    <mergeCell ref="J4:K4"/>
    <mergeCell ref="J5:K5"/>
    <mergeCell ref="E6:F6"/>
    <mergeCell ref="J6:K6"/>
    <mergeCell ref="J7:K8"/>
    <mergeCell ref="C8:G8"/>
  </mergeCells>
  <phoneticPr fontId="4"/>
  <printOptions horizontalCentered="1"/>
  <pageMargins left="0.39370078740157483" right="0.39370078740157483" top="0.39370078740157483" bottom="0.39370078740157483" header="0.39370078740157483" footer="0.39370078740157483"/>
  <pageSetup paperSize="9" scale="62" orientation="portrait" r:id="rId1"/>
  <headerFooter>
    <oddFooter>&amp;R&amp;"BIZ UDPゴシック,標準"&amp;8株式会社プレック研究所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6A2D-6ECA-41A3-B669-EED28979CCA8}">
  <sheetPr codeName="Sheet7">
    <tabColor theme="5" tint="0.59999389629810485"/>
    <pageSetUpPr fitToPage="1"/>
  </sheetPr>
  <dimension ref="A1:X82"/>
  <sheetViews>
    <sheetView view="pageBreakPreview" topLeftCell="A26" zoomScale="90" zoomScaleNormal="100" zoomScaleSheetLayoutView="90" workbookViewId="0">
      <selection activeCell="J44" sqref="J44"/>
    </sheetView>
  </sheetViews>
  <sheetFormatPr defaultColWidth="8.25" defaultRowHeight="12"/>
  <cols>
    <col min="1" max="1" width="3" style="3" customWidth="1"/>
    <col min="2" max="2" width="10.5" style="4" customWidth="1"/>
    <col min="3" max="3" width="27" style="4" customWidth="1"/>
    <col min="4" max="9" width="8.125" style="5" customWidth="1"/>
    <col min="10" max="10" width="11.875" style="5" customWidth="1"/>
    <col min="11" max="11" width="2.875" style="5" customWidth="1"/>
    <col min="12" max="12" width="22" style="5" customWidth="1"/>
    <col min="13" max="13" width="13.375" style="1" customWidth="1"/>
    <col min="14" max="14" width="13.375" style="1" bestFit="1" customWidth="1"/>
    <col min="15" max="15" width="16.5" style="2" bestFit="1" customWidth="1"/>
    <col min="16" max="21" width="8.25" style="5"/>
    <col min="22" max="22" width="11.375" style="5" bestFit="1" customWidth="1"/>
    <col min="23" max="23" width="10.375" style="5" bestFit="1" customWidth="1"/>
    <col min="24" max="16384" width="8.25" style="5"/>
  </cols>
  <sheetData>
    <row r="1" spans="1:18" s="1" customFormat="1" ht="84" customHeight="1">
      <c r="A1" s="556" t="s">
        <v>0</v>
      </c>
      <c r="B1" s="556"/>
      <c r="C1" s="556"/>
      <c r="D1" s="556"/>
      <c r="E1" s="556"/>
      <c r="F1" s="556"/>
      <c r="G1" s="556"/>
      <c r="H1" s="556"/>
      <c r="I1" s="556"/>
      <c r="J1" s="556"/>
      <c r="K1" s="556"/>
      <c r="L1" s="556"/>
      <c r="O1" s="2"/>
    </row>
    <row r="2" spans="1:18" s="1" customFormat="1" ht="20.100000000000001" customHeight="1">
      <c r="A2" s="3"/>
      <c r="B2" s="4"/>
      <c r="C2" s="4"/>
      <c r="D2" s="5"/>
      <c r="E2" s="5"/>
      <c r="F2" s="5"/>
      <c r="G2" s="5"/>
      <c r="H2" s="5"/>
      <c r="I2" s="5"/>
      <c r="J2" s="5"/>
      <c r="K2" s="5"/>
      <c r="L2" s="136">
        <v>45321</v>
      </c>
      <c r="O2" s="2"/>
    </row>
    <row r="3" spans="1:18" s="1" customFormat="1" ht="20.100000000000001" customHeight="1">
      <c r="A3" s="557" t="s">
        <v>62</v>
      </c>
      <c r="B3" s="557"/>
      <c r="C3" s="557"/>
      <c r="D3" s="125"/>
      <c r="E3" s="6"/>
      <c r="F3" s="5"/>
      <c r="G3" s="5"/>
      <c r="H3" s="5"/>
      <c r="I3" s="5"/>
      <c r="J3" s="559" t="s">
        <v>1</v>
      </c>
      <c r="K3" s="559"/>
      <c r="L3" s="7" t="s">
        <v>50</v>
      </c>
      <c r="O3" s="2"/>
    </row>
    <row r="4" spans="1:18" s="1" customFormat="1" ht="20.100000000000001" customHeight="1">
      <c r="A4" s="558"/>
      <c r="B4" s="558"/>
      <c r="C4" s="558"/>
      <c r="D4" s="134"/>
      <c r="E4" s="134"/>
      <c r="F4" s="134"/>
      <c r="G4" s="5"/>
      <c r="H4" s="5"/>
      <c r="I4" s="5"/>
      <c r="J4" s="560" t="s">
        <v>57</v>
      </c>
      <c r="K4" s="561"/>
      <c r="L4" s="138">
        <v>45747</v>
      </c>
      <c r="O4" s="2"/>
    </row>
    <row r="5" spans="1:18" s="1" customFormat="1" ht="20.100000000000001" customHeight="1">
      <c r="A5" s="3"/>
      <c r="B5" s="8"/>
      <c r="C5" s="130"/>
      <c r="D5" s="130"/>
      <c r="E5" s="6"/>
      <c r="F5" s="5"/>
      <c r="G5" s="5"/>
      <c r="H5" s="5"/>
      <c r="I5" s="5"/>
      <c r="J5" s="554" t="s">
        <v>58</v>
      </c>
      <c r="K5" s="555"/>
      <c r="L5" s="11" t="s">
        <v>4</v>
      </c>
      <c r="O5" s="2"/>
    </row>
    <row r="6" spans="1:18" s="1" customFormat="1" ht="20.100000000000001" customHeight="1">
      <c r="A6" s="131" t="s">
        <v>52</v>
      </c>
      <c r="B6" s="131"/>
      <c r="C6" s="409">
        <f>+E48</f>
        <v>53581000</v>
      </c>
      <c r="D6" s="9" t="s">
        <v>2</v>
      </c>
      <c r="E6" s="553">
        <f>E26+E40</f>
        <v>4871000</v>
      </c>
      <c r="F6" s="553"/>
      <c r="G6" s="10" t="s">
        <v>282</v>
      </c>
      <c r="H6" s="135"/>
      <c r="I6" s="5"/>
      <c r="J6" s="554" t="s">
        <v>59</v>
      </c>
      <c r="K6" s="555"/>
      <c r="L6" s="11" t="s">
        <v>5</v>
      </c>
      <c r="O6" s="2"/>
      <c r="Q6" s="3"/>
      <c r="R6" s="121"/>
    </row>
    <row r="7" spans="1:18" s="1" customFormat="1" ht="20.100000000000001" customHeight="1">
      <c r="A7" s="132"/>
      <c r="B7" s="133"/>
      <c r="C7" s="124"/>
      <c r="D7" s="124"/>
      <c r="E7" s="124"/>
      <c r="F7" s="124"/>
      <c r="G7" s="124"/>
      <c r="H7" s="124"/>
      <c r="I7" s="5"/>
      <c r="J7" s="554" t="s">
        <v>60</v>
      </c>
      <c r="K7" s="555"/>
      <c r="L7" s="11" t="s">
        <v>63</v>
      </c>
      <c r="O7" s="2"/>
      <c r="Q7" s="3"/>
      <c r="R7" s="121"/>
    </row>
    <row r="8" spans="1:18" s="1" customFormat="1" ht="20.100000000000001" customHeight="1">
      <c r="A8" s="131" t="s">
        <v>6</v>
      </c>
      <c r="B8" s="131"/>
      <c r="C8" s="567" t="s">
        <v>61</v>
      </c>
      <c r="D8" s="567"/>
      <c r="E8" s="567"/>
      <c r="F8" s="567"/>
      <c r="G8" s="567"/>
      <c r="H8" s="124"/>
      <c r="I8" s="5"/>
      <c r="J8" s="566"/>
      <c r="K8" s="559"/>
      <c r="L8" s="12" t="s">
        <v>64</v>
      </c>
      <c r="O8" s="2"/>
      <c r="Q8" s="3"/>
      <c r="R8" s="7"/>
    </row>
    <row r="9" spans="1:18" s="1" customFormat="1" ht="20.100000000000001" customHeight="1">
      <c r="A9" s="568"/>
      <c r="B9" s="568"/>
      <c r="C9" s="124"/>
      <c r="D9" s="124"/>
      <c r="E9" s="124"/>
      <c r="F9" s="124"/>
      <c r="G9" s="124"/>
      <c r="H9" s="124"/>
      <c r="I9" s="5"/>
      <c r="J9" s="128"/>
      <c r="K9" s="128"/>
      <c r="L9" s="129"/>
      <c r="O9" s="2"/>
      <c r="Q9" s="3"/>
      <c r="R9" s="7"/>
    </row>
    <row r="10" spans="1:18" s="1" customFormat="1" ht="18" customHeight="1">
      <c r="A10" s="569"/>
      <c r="B10" s="569"/>
      <c r="C10" s="124"/>
      <c r="D10" s="126"/>
      <c r="E10" s="126"/>
      <c r="F10" s="126"/>
      <c r="G10" s="126"/>
      <c r="H10" s="127"/>
      <c r="I10" s="5"/>
      <c r="J10" s="5"/>
      <c r="K10" s="5"/>
      <c r="L10" s="5"/>
      <c r="O10" s="2"/>
      <c r="Q10" s="3"/>
      <c r="R10" s="7"/>
    </row>
    <row r="11" spans="1:18" s="1" customFormat="1" ht="18" customHeight="1">
      <c r="A11" s="3"/>
      <c r="B11" s="15" t="s">
        <v>7</v>
      </c>
      <c r="C11" s="4"/>
      <c r="D11" s="5"/>
      <c r="E11" s="5"/>
      <c r="F11" s="5"/>
      <c r="G11" s="5"/>
      <c r="H11" s="5"/>
      <c r="I11" s="5"/>
      <c r="J11" s="5"/>
      <c r="K11" s="5"/>
      <c r="L11" s="5"/>
      <c r="O11" s="2"/>
    </row>
    <row r="12" spans="1:18" s="1" customFormat="1" ht="18" customHeight="1">
      <c r="A12" s="3"/>
      <c r="B12" s="15" t="s">
        <v>8</v>
      </c>
      <c r="C12" s="4"/>
      <c r="D12" s="5"/>
      <c r="E12" s="5"/>
      <c r="F12" s="5"/>
      <c r="G12" s="5"/>
      <c r="H12" s="5"/>
      <c r="I12" s="5"/>
      <c r="J12" s="5"/>
      <c r="K12" s="5"/>
      <c r="L12" s="5"/>
      <c r="O12" s="2"/>
    </row>
    <row r="13" spans="1:18" s="1" customFormat="1" ht="18" customHeight="1">
      <c r="A13" s="3"/>
      <c r="B13" s="570" t="s">
        <v>51</v>
      </c>
      <c r="C13" s="571"/>
      <c r="D13" s="571"/>
      <c r="E13" s="571"/>
      <c r="F13" s="571"/>
      <c r="G13" s="572"/>
      <c r="H13" s="5"/>
      <c r="I13" s="579" t="s">
        <v>56</v>
      </c>
      <c r="J13" s="579"/>
      <c r="K13" s="579"/>
      <c r="L13" s="579"/>
      <c r="O13" s="2"/>
    </row>
    <row r="14" spans="1:18" s="1" customFormat="1" ht="18" customHeight="1">
      <c r="A14" s="13"/>
      <c r="B14" s="573"/>
      <c r="C14" s="574"/>
      <c r="D14" s="574"/>
      <c r="E14" s="574"/>
      <c r="F14" s="574"/>
      <c r="G14" s="575"/>
      <c r="H14" s="5"/>
      <c r="I14" s="579" t="s">
        <v>9</v>
      </c>
      <c r="J14" s="579"/>
      <c r="K14" s="579"/>
      <c r="L14" s="579"/>
      <c r="O14" s="2"/>
    </row>
    <row r="15" spans="1:18" s="1" customFormat="1" ht="18" customHeight="1">
      <c r="A15" s="13"/>
      <c r="B15" s="573"/>
      <c r="C15" s="574"/>
      <c r="D15" s="574"/>
      <c r="E15" s="574"/>
      <c r="F15" s="574"/>
      <c r="G15" s="575"/>
      <c r="H15" s="5"/>
      <c r="I15" s="579" t="s">
        <v>55</v>
      </c>
      <c r="J15" s="579"/>
      <c r="K15" s="579"/>
      <c r="L15" s="579"/>
      <c r="O15" s="2"/>
    </row>
    <row r="16" spans="1:18" s="1" customFormat="1" ht="18" customHeight="1">
      <c r="A16" s="13"/>
      <c r="B16" s="576"/>
      <c r="C16" s="577"/>
      <c r="D16" s="577"/>
      <c r="E16" s="577"/>
      <c r="F16" s="577"/>
      <c r="G16" s="578"/>
      <c r="H16" s="5"/>
      <c r="I16" s="579" t="s">
        <v>10</v>
      </c>
      <c r="J16" s="579"/>
      <c r="K16" s="579"/>
      <c r="L16" s="579"/>
      <c r="O16" s="2"/>
    </row>
    <row r="17" spans="1:15" s="1" customFormat="1" ht="18" customHeight="1">
      <c r="A17" s="13"/>
      <c r="B17" s="123"/>
      <c r="C17" s="123"/>
      <c r="D17" s="123"/>
      <c r="E17" s="123"/>
      <c r="F17" s="123"/>
      <c r="G17" s="123"/>
      <c r="H17" s="5"/>
      <c r="I17" s="120"/>
      <c r="J17" s="120"/>
      <c r="K17" s="120"/>
      <c r="L17" s="120"/>
      <c r="O17" s="2"/>
    </row>
    <row r="18" spans="1:15" ht="24" customHeight="1" thickBot="1">
      <c r="A18" s="13" t="s">
        <v>236</v>
      </c>
      <c r="B18" s="14"/>
      <c r="C18" s="14"/>
      <c r="D18" s="14"/>
      <c r="E18" s="15"/>
      <c r="F18" s="15"/>
      <c r="G18" s="15"/>
      <c r="H18" s="15"/>
      <c r="I18" s="15"/>
      <c r="J18" s="15"/>
      <c r="K18" s="15"/>
      <c r="L18" s="15"/>
      <c r="O18" s="5"/>
    </row>
    <row r="19" spans="1:15" s="15" customFormat="1" ht="24" customHeight="1" thickBot="1">
      <c r="A19" s="580" t="s">
        <v>12</v>
      </c>
      <c r="B19" s="581"/>
      <c r="C19" s="581"/>
      <c r="D19" s="582"/>
      <c r="E19" s="583" t="s">
        <v>13</v>
      </c>
      <c r="F19" s="582"/>
      <c r="G19" s="583" t="s">
        <v>14</v>
      </c>
      <c r="H19" s="581"/>
      <c r="I19" s="581"/>
      <c r="J19" s="581"/>
      <c r="K19" s="581"/>
      <c r="L19" s="584"/>
      <c r="M19" s="16"/>
      <c r="N19" s="16"/>
    </row>
    <row r="20" spans="1:15" s="15" customFormat="1" ht="24" customHeight="1" thickTop="1">
      <c r="A20" s="18">
        <v>1</v>
      </c>
      <c r="B20" s="19" t="s">
        <v>15</v>
      </c>
      <c r="C20" s="19"/>
      <c r="D20" s="20"/>
      <c r="E20" s="585">
        <f>'参考見積書（建築）'!J38</f>
        <v>11392000</v>
      </c>
      <c r="F20" s="586"/>
      <c r="G20" s="21" t="s">
        <v>16</v>
      </c>
      <c r="H20" s="22"/>
      <c r="I20" s="22"/>
      <c r="J20" s="22"/>
      <c r="K20" s="22"/>
      <c r="L20" s="23"/>
      <c r="M20" s="587"/>
      <c r="N20" s="588"/>
    </row>
    <row r="21" spans="1:15" s="15" customFormat="1" ht="24" customHeight="1">
      <c r="A21" s="25">
        <v>2</v>
      </c>
      <c r="B21" s="26" t="s">
        <v>17</v>
      </c>
      <c r="C21" s="26"/>
      <c r="D21" s="27"/>
      <c r="E21" s="562">
        <v>0</v>
      </c>
      <c r="F21" s="563"/>
      <c r="G21" s="28" t="s">
        <v>230</v>
      </c>
      <c r="H21" s="29"/>
      <c r="I21" s="29"/>
      <c r="J21" s="29"/>
      <c r="K21" s="29"/>
      <c r="L21" s="30"/>
      <c r="M21" s="564"/>
      <c r="N21" s="565"/>
    </row>
    <row r="22" spans="1:15" s="15" customFormat="1" ht="24" customHeight="1">
      <c r="A22" s="25">
        <v>3</v>
      </c>
      <c r="B22" s="26" t="s">
        <v>231</v>
      </c>
      <c r="C22" s="26"/>
      <c r="D22" s="27"/>
      <c r="E22" s="562">
        <f>E20*1.1</f>
        <v>12531200.000000002</v>
      </c>
      <c r="F22" s="563"/>
      <c r="G22" s="28" t="s">
        <v>233</v>
      </c>
      <c r="H22" s="29"/>
      <c r="I22" s="29"/>
      <c r="J22" s="29"/>
      <c r="K22" s="29"/>
      <c r="L22" s="31"/>
      <c r="M22" s="564"/>
      <c r="N22" s="565"/>
      <c r="O22" s="1"/>
    </row>
    <row r="23" spans="1:15" s="15" customFormat="1" ht="24" customHeight="1">
      <c r="A23" s="33">
        <v>4</v>
      </c>
      <c r="B23" s="34" t="s">
        <v>232</v>
      </c>
      <c r="C23" s="34"/>
      <c r="D23" s="35"/>
      <c r="E23" s="589">
        <f>(E20+E22)*0.15</f>
        <v>3588480</v>
      </c>
      <c r="F23" s="590"/>
      <c r="G23" s="36" t="s">
        <v>234</v>
      </c>
      <c r="H23" s="37"/>
      <c r="I23" s="37"/>
      <c r="J23" s="38"/>
      <c r="K23" s="38"/>
      <c r="L23" s="39"/>
      <c r="M23" s="564"/>
      <c r="N23" s="565"/>
    </row>
    <row r="24" spans="1:15" s="15" customFormat="1" ht="24" customHeight="1">
      <c r="A24" s="40" t="s">
        <v>27</v>
      </c>
      <c r="B24" s="41"/>
      <c r="C24" s="41"/>
      <c r="D24" s="42"/>
      <c r="E24" s="591">
        <f>+E20+E21+E22+E23</f>
        <v>27511680</v>
      </c>
      <c r="F24" s="592"/>
      <c r="G24" s="43" t="s">
        <v>28</v>
      </c>
      <c r="H24" s="44"/>
      <c r="I24" s="44"/>
      <c r="J24" s="44"/>
      <c r="K24" s="44"/>
      <c r="L24" s="45"/>
      <c r="M24" s="564"/>
      <c r="N24" s="565"/>
    </row>
    <row r="25" spans="1:15" s="15" customFormat="1" ht="24" customHeight="1">
      <c r="A25" s="46" t="s">
        <v>29</v>
      </c>
      <c r="B25" s="26"/>
      <c r="C25" s="26"/>
      <c r="D25" s="27"/>
      <c r="E25" s="562">
        <f>ROUNDDOWN(E24,-4)</f>
        <v>27510000</v>
      </c>
      <c r="F25" s="563"/>
      <c r="G25" s="28" t="s">
        <v>30</v>
      </c>
      <c r="H25" s="29"/>
      <c r="I25" s="29"/>
      <c r="J25" s="29"/>
      <c r="K25" s="29"/>
      <c r="L25" s="47"/>
      <c r="M25" s="564"/>
      <c r="N25" s="565"/>
    </row>
    <row r="26" spans="1:15" s="15" customFormat="1" ht="24" customHeight="1">
      <c r="A26" s="46" t="s">
        <v>31</v>
      </c>
      <c r="B26" s="26"/>
      <c r="C26" s="26"/>
      <c r="D26" s="27"/>
      <c r="E26" s="562">
        <f>+E25*0.1</f>
        <v>2751000</v>
      </c>
      <c r="F26" s="563"/>
      <c r="G26" s="48">
        <v>0.1</v>
      </c>
      <c r="H26" s="29"/>
      <c r="I26" s="29"/>
      <c r="J26" s="29"/>
      <c r="K26" s="29"/>
      <c r="L26" s="47"/>
      <c r="M26" s="564"/>
      <c r="N26" s="565"/>
    </row>
    <row r="27" spans="1:15" s="15" customFormat="1" ht="24" customHeight="1" thickBot="1">
      <c r="A27" s="49" t="s">
        <v>32</v>
      </c>
      <c r="B27" s="50"/>
      <c r="C27" s="50"/>
      <c r="D27" s="50"/>
      <c r="E27" s="593">
        <f>+E25*1.1</f>
        <v>30261000.000000004</v>
      </c>
      <c r="F27" s="594"/>
      <c r="G27" s="51"/>
      <c r="H27" s="52"/>
      <c r="I27" s="52"/>
      <c r="J27" s="52"/>
      <c r="K27" s="52"/>
      <c r="L27" s="53"/>
      <c r="M27" s="564"/>
      <c r="N27" s="565"/>
    </row>
    <row r="28" spans="1:15" s="15" customFormat="1" ht="24" customHeight="1">
      <c r="A28" s="54"/>
      <c r="E28" s="55"/>
      <c r="F28" s="55"/>
      <c r="G28" s="5"/>
      <c r="H28" s="5"/>
      <c r="I28" s="5"/>
      <c r="J28" s="5"/>
      <c r="K28" s="5"/>
      <c r="L28" s="5"/>
      <c r="M28" s="410"/>
      <c r="N28" s="24"/>
    </row>
    <row r="29" spans="1:15" ht="24" customHeight="1" thickBot="1">
      <c r="A29" s="13" t="s">
        <v>235</v>
      </c>
      <c r="B29" s="14"/>
      <c r="C29" s="14"/>
      <c r="D29" s="14"/>
      <c r="E29" s="15"/>
      <c r="F29" s="15"/>
      <c r="G29" s="15"/>
      <c r="H29" s="15"/>
      <c r="I29" s="15"/>
      <c r="J29" s="15"/>
      <c r="K29" s="15"/>
      <c r="L29" s="15"/>
      <c r="M29" s="564"/>
      <c r="N29" s="565"/>
      <c r="O29" s="5"/>
    </row>
    <row r="30" spans="1:15" ht="24" customHeight="1" thickBot="1">
      <c r="A30" s="580" t="s">
        <v>12</v>
      </c>
      <c r="B30" s="581"/>
      <c r="C30" s="581"/>
      <c r="D30" s="582"/>
      <c r="E30" s="583" t="s">
        <v>13</v>
      </c>
      <c r="F30" s="582"/>
      <c r="G30" s="583" t="s">
        <v>14</v>
      </c>
      <c r="H30" s="581"/>
      <c r="I30" s="581"/>
      <c r="J30" s="581"/>
      <c r="K30" s="581"/>
      <c r="L30" s="584"/>
      <c r="M30" s="24"/>
      <c r="N30" s="24"/>
      <c r="O30" s="5"/>
    </row>
    <row r="31" spans="1:15" ht="24" customHeight="1" thickTop="1">
      <c r="A31" s="749">
        <v>1</v>
      </c>
      <c r="B31" s="19" t="s">
        <v>310</v>
      </c>
      <c r="C31" s="19" t="s">
        <v>307</v>
      </c>
      <c r="D31" s="20"/>
      <c r="E31" s="585">
        <f>+'参考見積書（造園）変更箇所反映'!E21</f>
        <v>5653600</v>
      </c>
      <c r="F31" s="586"/>
      <c r="G31" s="21" t="s">
        <v>16</v>
      </c>
      <c r="H31" s="22"/>
      <c r="I31" s="22"/>
      <c r="J31" s="22"/>
      <c r="K31" s="22"/>
      <c r="L31" s="23"/>
      <c r="M31" s="24"/>
      <c r="N31" s="24"/>
      <c r="O31" s="5"/>
    </row>
    <row r="32" spans="1:15" ht="24" customHeight="1">
      <c r="A32" s="750"/>
      <c r="B32" s="41" t="s">
        <v>306</v>
      </c>
      <c r="C32" s="41" t="s">
        <v>308</v>
      </c>
      <c r="D32" s="42"/>
      <c r="E32" s="562">
        <f>+'参考見積書（造園）変更箇所反映'!E22</f>
        <v>3283500</v>
      </c>
      <c r="F32" s="563"/>
      <c r="G32" s="43" t="s">
        <v>16</v>
      </c>
      <c r="H32" s="44"/>
      <c r="I32" s="44"/>
      <c r="J32" s="44"/>
      <c r="K32" s="44"/>
      <c r="L32" s="535"/>
      <c r="M32" s="24"/>
      <c r="N32" s="24"/>
      <c r="O32" s="5"/>
    </row>
    <row r="33" spans="1:24" ht="24" customHeight="1">
      <c r="A33" s="25">
        <v>2</v>
      </c>
      <c r="B33" s="26" t="s">
        <v>17</v>
      </c>
      <c r="C33" s="26"/>
      <c r="D33" s="27"/>
      <c r="E33" s="562">
        <f>'参考見積書（造園）変更箇所反映'!E23</f>
        <v>35000</v>
      </c>
      <c r="F33" s="563"/>
      <c r="G33" s="28" t="s">
        <v>18</v>
      </c>
      <c r="H33" s="29"/>
      <c r="I33" s="29"/>
      <c r="J33" s="29"/>
      <c r="K33" s="29"/>
      <c r="L33" s="30"/>
      <c r="M33" s="57"/>
      <c r="N33" s="58"/>
      <c r="O33" s="5"/>
    </row>
    <row r="34" spans="1:24" ht="24" customHeight="1">
      <c r="A34" s="25">
        <v>3</v>
      </c>
      <c r="B34" s="26" t="s">
        <v>19</v>
      </c>
      <c r="C34" s="26"/>
      <c r="D34" s="27"/>
      <c r="E34" s="562">
        <f>(+E31+E32)+E33</f>
        <v>8972100</v>
      </c>
      <c r="F34" s="563"/>
      <c r="G34" s="28" t="s">
        <v>20</v>
      </c>
      <c r="H34" s="29"/>
      <c r="I34" s="29"/>
      <c r="J34" s="29"/>
      <c r="K34" s="29"/>
      <c r="L34" s="31"/>
      <c r="O34" s="62"/>
      <c r="P34" s="62"/>
      <c r="Q34" s="63"/>
      <c r="R34" s="64"/>
      <c r="S34" s="63"/>
      <c r="T34" s="63"/>
      <c r="U34" s="63"/>
      <c r="V34" s="63"/>
      <c r="W34" s="65"/>
      <c r="X34" s="66"/>
    </row>
    <row r="35" spans="1:24" ht="24" customHeight="1">
      <c r="A35" s="25">
        <v>4</v>
      </c>
      <c r="B35" s="26" t="s">
        <v>21</v>
      </c>
      <c r="C35" s="26"/>
      <c r="D35" s="27"/>
      <c r="E35" s="562">
        <f>+ROUNDDOWN((E31+E32)*0.5385,0)</f>
        <v>4812628</v>
      </c>
      <c r="F35" s="563"/>
      <c r="G35" s="28" t="s">
        <v>22</v>
      </c>
      <c r="H35" s="29"/>
      <c r="I35" s="29"/>
      <c r="J35" s="32"/>
      <c r="K35" s="32"/>
      <c r="L35" s="30"/>
    </row>
    <row r="36" spans="1:24" s="150" customFormat="1" ht="24" customHeight="1">
      <c r="A36" s="25">
        <v>5</v>
      </c>
      <c r="B36" s="26" t="s">
        <v>23</v>
      </c>
      <c r="C36" s="26"/>
      <c r="D36" s="27"/>
      <c r="E36" s="562">
        <f>E34+E35</f>
        <v>13784728</v>
      </c>
      <c r="F36" s="563"/>
      <c r="G36" s="28" t="s">
        <v>24</v>
      </c>
      <c r="H36" s="29"/>
      <c r="I36" s="29"/>
      <c r="J36" s="32"/>
      <c r="K36" s="32"/>
      <c r="L36" s="31"/>
      <c r="M36" s="353"/>
      <c r="N36" s="148"/>
      <c r="O36" s="149"/>
    </row>
    <row r="37" spans="1:24" s="15" customFormat="1" ht="24" customHeight="1">
      <c r="A37" s="33">
        <v>6</v>
      </c>
      <c r="B37" s="34" t="s">
        <v>25</v>
      </c>
      <c r="C37" s="34"/>
      <c r="D37" s="35"/>
      <c r="E37" s="589">
        <f>+ROUNDDOWN(E36*0.5385,0)</f>
        <v>7423076</v>
      </c>
      <c r="F37" s="590"/>
      <c r="G37" s="36" t="s">
        <v>26</v>
      </c>
      <c r="H37" s="37"/>
      <c r="I37" s="37"/>
      <c r="J37" s="38"/>
      <c r="K37" s="38"/>
      <c r="L37" s="39"/>
      <c r="M37" s="353"/>
      <c r="N37" s="68"/>
      <c r="O37" s="595"/>
      <c r="P37" s="595"/>
    </row>
    <row r="38" spans="1:24" s="15" customFormat="1" ht="24" customHeight="1">
      <c r="A38" s="40" t="s">
        <v>27</v>
      </c>
      <c r="B38" s="41"/>
      <c r="C38" s="41"/>
      <c r="D38" s="42"/>
      <c r="E38" s="591">
        <f>+E36+E37</f>
        <v>21207804</v>
      </c>
      <c r="F38" s="592"/>
      <c r="G38" s="43" t="s">
        <v>28</v>
      </c>
      <c r="H38" s="44"/>
      <c r="I38" s="44"/>
      <c r="J38" s="44"/>
      <c r="K38" s="44"/>
      <c r="L38" s="45"/>
      <c r="M38" s="353"/>
      <c r="N38" s="68"/>
      <c r="O38" s="71"/>
      <c r="P38" s="71"/>
    </row>
    <row r="39" spans="1:24" s="15" customFormat="1" ht="24" customHeight="1">
      <c r="A39" s="46" t="s">
        <v>29</v>
      </c>
      <c r="B39" s="26"/>
      <c r="C39" s="26"/>
      <c r="D39" s="27"/>
      <c r="E39" s="562">
        <f>ROUNDDOWN(E38,-4)</f>
        <v>21200000</v>
      </c>
      <c r="F39" s="563"/>
      <c r="G39" s="28" t="s">
        <v>30</v>
      </c>
      <c r="H39" s="29"/>
      <c r="I39" s="29"/>
      <c r="J39" s="29"/>
      <c r="K39" s="29"/>
      <c r="L39" s="47"/>
      <c r="M39" s="353"/>
      <c r="N39" s="68"/>
      <c r="O39" s="71"/>
      <c r="P39" s="71"/>
    </row>
    <row r="40" spans="1:24" s="15" customFormat="1" ht="24" customHeight="1">
      <c r="A40" s="46" t="s">
        <v>31</v>
      </c>
      <c r="B40" s="26"/>
      <c r="C40" s="26"/>
      <c r="D40" s="27"/>
      <c r="E40" s="562">
        <f>+E39*0.1</f>
        <v>2120000</v>
      </c>
      <c r="F40" s="563"/>
      <c r="G40" s="48">
        <v>0.1</v>
      </c>
      <c r="H40" s="29"/>
      <c r="I40" s="29"/>
      <c r="J40" s="29"/>
      <c r="K40" s="29"/>
      <c r="L40" s="47"/>
      <c r="M40" s="353"/>
      <c r="N40" s="68"/>
      <c r="O40" s="71"/>
      <c r="P40" s="71"/>
    </row>
    <row r="41" spans="1:24" s="15" customFormat="1" ht="24" customHeight="1" thickBot="1">
      <c r="A41" s="49" t="s">
        <v>32</v>
      </c>
      <c r="B41" s="50"/>
      <c r="C41" s="50"/>
      <c r="D41" s="50"/>
      <c r="E41" s="593">
        <f>+E39*1.1</f>
        <v>23320000.000000004</v>
      </c>
      <c r="F41" s="594"/>
      <c r="G41" s="51"/>
      <c r="H41" s="52"/>
      <c r="I41" s="52"/>
      <c r="J41" s="52"/>
      <c r="K41" s="52"/>
      <c r="L41" s="53"/>
      <c r="M41" s="353"/>
      <c r="N41" s="68"/>
      <c r="O41" s="71"/>
      <c r="P41" s="71"/>
    </row>
    <row r="42" spans="1:24" s="15" customFormat="1" ht="21.95" customHeight="1">
      <c r="A42" s="54"/>
      <c r="E42" s="55"/>
      <c r="F42" s="55"/>
      <c r="G42" s="5"/>
      <c r="H42" s="5"/>
      <c r="I42" s="5"/>
      <c r="J42" s="5"/>
      <c r="K42" s="5"/>
      <c r="L42" s="5"/>
      <c r="M42" s="353"/>
      <c r="N42" s="68"/>
      <c r="O42" s="69"/>
    </row>
    <row r="43" spans="1:24" s="15" customFormat="1" ht="22.5" customHeight="1" thickBot="1">
      <c r="A43" s="93" t="s">
        <v>263</v>
      </c>
      <c r="B43" s="444"/>
      <c r="C43" s="445"/>
      <c r="D43" s="111"/>
      <c r="E43" s="111"/>
      <c r="F43" s="111"/>
      <c r="G43" s="111"/>
      <c r="H43" s="111"/>
      <c r="I43" s="111"/>
      <c r="J43" s="111"/>
      <c r="K43" s="111"/>
      <c r="L43" s="111"/>
      <c r="M43" s="353"/>
      <c r="N43" s="117"/>
      <c r="O43" s="69"/>
    </row>
    <row r="44" spans="1:24" s="15" customFormat="1" ht="30" customHeight="1">
      <c r="A44" s="446"/>
      <c r="B44" s="447" t="s">
        <v>238</v>
      </c>
      <c r="C44" s="447"/>
      <c r="D44" s="448"/>
      <c r="E44" s="602">
        <f>E25</f>
        <v>27510000</v>
      </c>
      <c r="F44" s="603"/>
      <c r="G44" s="449" t="s">
        <v>274</v>
      </c>
      <c r="H44" s="449"/>
      <c r="I44" s="449"/>
      <c r="J44" s="449"/>
      <c r="K44" s="449"/>
      <c r="L44" s="458"/>
      <c r="M44" s="353"/>
      <c r="N44" s="117"/>
      <c r="O44" s="69"/>
    </row>
    <row r="45" spans="1:24" s="15" customFormat="1" ht="30" customHeight="1" thickBot="1">
      <c r="A45" s="440"/>
      <c r="B45" s="332" t="s">
        <v>237</v>
      </c>
      <c r="C45" s="332"/>
      <c r="D45" s="441"/>
      <c r="E45" s="604">
        <f>+E39</f>
        <v>21200000</v>
      </c>
      <c r="F45" s="605"/>
      <c r="G45" s="442" t="s">
        <v>274</v>
      </c>
      <c r="H45" s="5"/>
      <c r="I45" s="5"/>
      <c r="J45" s="5"/>
      <c r="K45" s="5"/>
      <c r="L45" s="443"/>
      <c r="M45" s="353"/>
      <c r="N45" s="117"/>
      <c r="O45" s="69"/>
    </row>
    <row r="46" spans="1:24" s="15" customFormat="1" ht="30" customHeight="1" thickTop="1">
      <c r="A46" s="452"/>
      <c r="B46" s="463" t="s">
        <v>202</v>
      </c>
      <c r="C46" s="453"/>
      <c r="D46" s="454"/>
      <c r="E46" s="606">
        <f>E45+E44</f>
        <v>48710000</v>
      </c>
      <c r="F46" s="607"/>
      <c r="G46" s="455" t="s">
        <v>275</v>
      </c>
      <c r="H46" s="456"/>
      <c r="I46" s="456"/>
      <c r="J46" s="456"/>
      <c r="K46" s="456"/>
      <c r="L46" s="457"/>
      <c r="M46" s="353"/>
      <c r="N46" s="117"/>
      <c r="O46" s="69"/>
    </row>
    <row r="47" spans="1:24" s="15" customFormat="1" ht="30" customHeight="1">
      <c r="A47" s="460"/>
      <c r="B47" s="596" t="s">
        <v>203</v>
      </c>
      <c r="C47" s="596"/>
      <c r="D47" s="461"/>
      <c r="E47" s="597">
        <f>E46*0.1</f>
        <v>4871000</v>
      </c>
      <c r="F47" s="598"/>
      <c r="G47" s="461"/>
      <c r="H47" s="461"/>
      <c r="I47" s="461"/>
      <c r="J47" s="461"/>
      <c r="K47" s="461"/>
      <c r="L47" s="462"/>
      <c r="M47" s="353"/>
      <c r="N47" s="117"/>
      <c r="O47" s="69"/>
    </row>
    <row r="48" spans="1:24" s="15" customFormat="1" ht="30" customHeight="1" thickBot="1">
      <c r="A48" s="459"/>
      <c r="B48" s="599" t="s">
        <v>279</v>
      </c>
      <c r="C48" s="599"/>
      <c r="D48" s="111"/>
      <c r="E48" s="600">
        <f>E46+E47</f>
        <v>53581000</v>
      </c>
      <c r="F48" s="601"/>
      <c r="G48" s="111" t="s">
        <v>281</v>
      </c>
      <c r="H48" s="111"/>
      <c r="I48" s="111"/>
      <c r="J48" s="111"/>
      <c r="K48" s="111"/>
      <c r="L48" s="112"/>
      <c r="M48" s="353"/>
      <c r="N48" s="117"/>
      <c r="O48" s="69"/>
    </row>
    <row r="49" spans="1:15" s="15" customFormat="1" ht="24.95" customHeight="1">
      <c r="A49" s="3"/>
      <c r="B49" s="4"/>
      <c r="C49" s="4"/>
      <c r="D49" s="5"/>
      <c r="E49" s="5"/>
      <c r="F49" s="5"/>
      <c r="G49" s="5"/>
      <c r="H49" s="5"/>
      <c r="I49" s="5"/>
      <c r="J49" s="5"/>
      <c r="K49" s="5"/>
      <c r="L49" s="5"/>
      <c r="M49" s="353"/>
      <c r="N49" s="117"/>
      <c r="O49" s="69"/>
    </row>
    <row r="50" spans="1:15" s="15" customFormat="1" ht="24.95" customHeight="1">
      <c r="A50" s="3"/>
      <c r="B50" s="4"/>
      <c r="C50" s="4"/>
      <c r="D50" s="5"/>
      <c r="E50" s="5"/>
      <c r="F50" s="5"/>
      <c r="G50" s="5"/>
      <c r="H50" s="5"/>
      <c r="I50" s="5"/>
      <c r="J50" s="5"/>
      <c r="K50" s="5"/>
      <c r="L50" s="5"/>
      <c r="M50" s="353"/>
      <c r="N50" s="117"/>
      <c r="O50" s="69"/>
    </row>
    <row r="51" spans="1:15" s="15" customFormat="1" ht="22.5" customHeight="1">
      <c r="A51" s="3"/>
      <c r="B51" s="4"/>
      <c r="C51" s="4"/>
      <c r="D51" s="5"/>
      <c r="E51" s="5"/>
      <c r="F51" s="5"/>
      <c r="G51" s="5"/>
      <c r="H51" s="5"/>
      <c r="I51" s="5"/>
      <c r="J51" s="5"/>
      <c r="K51" s="5"/>
      <c r="L51" s="5"/>
      <c r="M51" s="353"/>
      <c r="N51" s="117"/>
      <c r="O51" s="69"/>
    </row>
    <row r="52" spans="1:15" s="15" customFormat="1" ht="22.5" customHeight="1">
      <c r="A52" s="3"/>
      <c r="B52" s="4"/>
      <c r="C52" s="4"/>
      <c r="D52" s="5"/>
      <c r="E52" s="5"/>
      <c r="F52" s="5"/>
      <c r="G52" s="5"/>
      <c r="H52" s="5"/>
      <c r="I52" s="5"/>
      <c r="J52" s="5"/>
      <c r="K52" s="5"/>
      <c r="L52" s="5"/>
      <c r="M52" s="353"/>
      <c r="N52" s="117"/>
      <c r="O52" s="69"/>
    </row>
    <row r="53" spans="1:15" s="15" customFormat="1" ht="22.5" customHeight="1">
      <c r="A53" s="3"/>
      <c r="B53" s="4"/>
      <c r="C53" s="4"/>
      <c r="D53" s="5"/>
      <c r="E53" s="5"/>
      <c r="F53" s="5"/>
      <c r="G53" s="5"/>
      <c r="H53" s="5"/>
      <c r="I53" s="5"/>
      <c r="J53" s="5"/>
      <c r="K53" s="5"/>
      <c r="L53" s="5"/>
      <c r="M53" s="353"/>
      <c r="N53" s="117"/>
      <c r="O53" s="69"/>
    </row>
    <row r="54" spans="1:15" s="15" customFormat="1" ht="22.5" customHeight="1">
      <c r="A54" s="3"/>
      <c r="B54" s="4"/>
      <c r="C54" s="4"/>
      <c r="D54" s="5"/>
      <c r="E54" s="5"/>
      <c r="F54" s="5"/>
      <c r="G54" s="5"/>
      <c r="H54" s="5"/>
      <c r="I54" s="5"/>
      <c r="J54" s="5"/>
      <c r="K54" s="5"/>
      <c r="L54" s="5"/>
      <c r="M54" s="353"/>
      <c r="N54" s="117"/>
      <c r="O54" s="69"/>
    </row>
    <row r="55" spans="1:15" s="15" customFormat="1" ht="22.5" customHeight="1">
      <c r="A55" s="3"/>
      <c r="B55" s="4"/>
      <c r="C55" s="4"/>
      <c r="D55" s="5"/>
      <c r="E55" s="5"/>
      <c r="F55" s="5"/>
      <c r="G55" s="5"/>
      <c r="H55" s="5"/>
      <c r="I55" s="5"/>
      <c r="J55" s="5"/>
      <c r="K55" s="5"/>
      <c r="L55" s="5"/>
      <c r="M55" s="353"/>
      <c r="N55" s="117"/>
      <c r="O55" s="69"/>
    </row>
    <row r="56" spans="1:15" s="150" customFormat="1" ht="22.5" customHeight="1">
      <c r="A56" s="3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353"/>
      <c r="N56" s="155"/>
      <c r="O56" s="149"/>
    </row>
    <row r="57" spans="1:15" s="15" customFormat="1" ht="22.5" customHeight="1">
      <c r="A57" s="3"/>
      <c r="B57" s="4"/>
      <c r="C57" s="4"/>
      <c r="D57" s="5"/>
      <c r="E57" s="5"/>
      <c r="F57" s="5"/>
      <c r="G57" s="5"/>
      <c r="H57" s="5"/>
      <c r="I57" s="5"/>
      <c r="J57" s="5"/>
      <c r="K57" s="5"/>
      <c r="L57" s="5"/>
      <c r="M57" s="353"/>
      <c r="N57" s="117"/>
      <c r="O57" s="69"/>
    </row>
    <row r="58" spans="1:15" s="15" customFormat="1" ht="22.5" customHeight="1">
      <c r="A58" s="3"/>
      <c r="B58" s="4"/>
      <c r="C58" s="4"/>
      <c r="D58" s="5"/>
      <c r="E58" s="5"/>
      <c r="F58" s="5"/>
      <c r="G58" s="5"/>
      <c r="H58" s="5"/>
      <c r="I58" s="5"/>
      <c r="J58" s="5"/>
      <c r="K58" s="5"/>
      <c r="L58" s="5"/>
      <c r="M58" s="353"/>
      <c r="N58" s="117"/>
      <c r="O58" s="69"/>
    </row>
    <row r="59" spans="1:15" s="15" customFormat="1" ht="22.5" customHeight="1">
      <c r="A59" s="3"/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  <c r="M59" s="353"/>
      <c r="N59" s="117"/>
      <c r="O59" s="69"/>
    </row>
    <row r="60" spans="1:15" s="15" customFormat="1" ht="22.5" customHeight="1">
      <c r="A60" s="3"/>
      <c r="B60" s="4"/>
      <c r="C60" s="4"/>
      <c r="D60" s="5"/>
      <c r="E60" s="5"/>
      <c r="F60" s="5"/>
      <c r="G60" s="5"/>
      <c r="H60" s="5"/>
      <c r="I60" s="5"/>
      <c r="J60" s="5"/>
      <c r="K60" s="5"/>
      <c r="L60" s="5"/>
      <c r="M60" s="353"/>
      <c r="N60" s="117"/>
      <c r="O60" s="69"/>
    </row>
    <row r="61" spans="1:15" s="150" customFormat="1" ht="22.5" customHeight="1">
      <c r="A61" s="3"/>
      <c r="B61" s="4"/>
      <c r="C61" s="4"/>
      <c r="D61" s="5"/>
      <c r="E61" s="5"/>
      <c r="F61" s="5"/>
      <c r="G61" s="5"/>
      <c r="H61" s="5"/>
      <c r="I61" s="5"/>
      <c r="J61" s="5"/>
      <c r="K61" s="5"/>
      <c r="L61" s="5"/>
      <c r="M61" s="353"/>
      <c r="N61" s="155"/>
      <c r="O61" s="149"/>
    </row>
    <row r="62" spans="1:15" s="150" customFormat="1" ht="17.100000000000001" customHeight="1">
      <c r="A62" s="3"/>
      <c r="B62" s="4"/>
      <c r="C62" s="4"/>
      <c r="D62" s="5"/>
      <c r="E62" s="5"/>
      <c r="F62" s="5"/>
      <c r="G62" s="5"/>
      <c r="H62" s="5"/>
      <c r="I62" s="5"/>
      <c r="J62" s="5"/>
      <c r="K62" s="5"/>
      <c r="L62" s="5"/>
      <c r="M62" s="354"/>
      <c r="N62" s="155"/>
      <c r="O62" s="149"/>
    </row>
    <row r="63" spans="1:15" s="150" customFormat="1" ht="17.100000000000001" customHeight="1">
      <c r="A63" s="3"/>
      <c r="B63" s="4"/>
      <c r="C63" s="4"/>
      <c r="D63" s="5"/>
      <c r="E63" s="5"/>
      <c r="F63" s="5"/>
      <c r="G63" s="5"/>
      <c r="H63" s="5"/>
      <c r="I63" s="5"/>
      <c r="J63" s="5"/>
      <c r="K63" s="5"/>
      <c r="L63" s="5"/>
      <c r="M63" s="354"/>
      <c r="N63" s="155"/>
      <c r="O63" s="149"/>
    </row>
    <row r="64" spans="1:15" s="150" customFormat="1" ht="22.5" customHeight="1">
      <c r="A64" s="3"/>
      <c r="B64" s="4"/>
      <c r="C64" s="4"/>
      <c r="D64" s="5"/>
      <c r="E64" s="5"/>
      <c r="F64" s="5"/>
      <c r="G64" s="5"/>
      <c r="H64" s="5"/>
      <c r="I64" s="5"/>
      <c r="J64" s="5"/>
      <c r="K64" s="5"/>
      <c r="L64" s="5"/>
      <c r="M64" s="353"/>
      <c r="N64" s="155"/>
      <c r="O64" s="149"/>
    </row>
    <row r="65" spans="1:15" s="150" customFormat="1" ht="22.5" customHeight="1">
      <c r="A65" s="3"/>
      <c r="B65" s="4"/>
      <c r="C65" s="4"/>
      <c r="D65" s="5"/>
      <c r="E65" s="5"/>
      <c r="F65" s="5"/>
      <c r="G65" s="5"/>
      <c r="H65" s="5"/>
      <c r="I65" s="5"/>
      <c r="J65" s="5"/>
      <c r="K65" s="5"/>
      <c r="L65" s="5"/>
      <c r="M65" s="353"/>
      <c r="N65" s="155"/>
      <c r="O65" s="149"/>
    </row>
    <row r="66" spans="1:15" s="15" customFormat="1" ht="22.5" customHeight="1">
      <c r="A66" s="3"/>
      <c r="B66" s="4"/>
      <c r="C66" s="4"/>
      <c r="D66" s="5"/>
      <c r="E66" s="5"/>
      <c r="F66" s="5"/>
      <c r="G66" s="5"/>
      <c r="H66" s="5"/>
      <c r="I66" s="5"/>
      <c r="J66" s="5"/>
      <c r="K66" s="5"/>
      <c r="L66" s="5"/>
      <c r="M66" s="353"/>
      <c r="N66" s="116"/>
      <c r="O66" s="69"/>
    </row>
    <row r="67" spans="1:15" s="15" customFormat="1" ht="22.5" customHeight="1">
      <c r="A67" s="3"/>
      <c r="B67" s="4"/>
      <c r="C67" s="4"/>
      <c r="D67" s="5"/>
      <c r="E67" s="5"/>
      <c r="F67" s="5"/>
      <c r="G67" s="5"/>
      <c r="H67" s="5"/>
      <c r="I67" s="5"/>
      <c r="J67" s="5"/>
      <c r="K67" s="5"/>
      <c r="L67" s="5"/>
      <c r="M67" s="353"/>
      <c r="N67" s="68"/>
      <c r="O67" s="69"/>
    </row>
    <row r="68" spans="1:15" s="15" customFormat="1" ht="22.5" customHeight="1">
      <c r="A68" s="3"/>
      <c r="B68" s="4"/>
      <c r="C68" s="4"/>
      <c r="D68" s="5"/>
      <c r="E68" s="5"/>
      <c r="F68" s="5"/>
      <c r="G68" s="5"/>
      <c r="H68" s="5"/>
      <c r="I68" s="5"/>
      <c r="J68" s="5"/>
      <c r="K68" s="5"/>
      <c r="L68" s="5"/>
      <c r="M68" s="353"/>
      <c r="N68" s="68"/>
      <c r="O68" s="69"/>
    </row>
    <row r="69" spans="1:15" s="150" customFormat="1" ht="22.5" customHeight="1">
      <c r="A69" s="3"/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  <c r="M69" s="353"/>
      <c r="N69" s="148"/>
      <c r="O69" s="149"/>
    </row>
    <row r="70" spans="1:15" ht="22.5" customHeight="1">
      <c r="M70" s="82"/>
      <c r="N70" s="83"/>
      <c r="O70" s="84"/>
    </row>
    <row r="71" spans="1:15" ht="22.5" customHeight="1">
      <c r="M71" s="88"/>
      <c r="N71" s="5"/>
      <c r="O71" s="84"/>
    </row>
    <row r="72" spans="1:15" ht="18.95" customHeight="1">
      <c r="M72" s="88"/>
      <c r="N72" s="5"/>
      <c r="O72" s="92"/>
    </row>
    <row r="73" spans="1:15" ht="22.5" customHeight="1">
      <c r="M73" s="5"/>
      <c r="N73" s="5"/>
    </row>
    <row r="74" spans="1:15" ht="22.5" customHeight="1"/>
    <row r="75" spans="1:15" ht="22.5" customHeight="1"/>
    <row r="76" spans="1:15" ht="22.5" customHeight="1"/>
    <row r="77" spans="1:15" ht="22.5" customHeight="1"/>
    <row r="78" spans="1:15" ht="22.5" customHeight="1"/>
    <row r="79" spans="1:15" ht="22.5" customHeight="1"/>
    <row r="80" spans="1:15" ht="22.5" customHeight="1"/>
    <row r="81" spans="15:15" ht="22.5" customHeight="1">
      <c r="O81" s="84"/>
    </row>
    <row r="82" spans="15:15" ht="22.5" customHeight="1"/>
  </sheetData>
  <mergeCells count="59">
    <mergeCell ref="E44:F44"/>
    <mergeCell ref="E21:F21"/>
    <mergeCell ref="O37:P37"/>
    <mergeCell ref="E40:F40"/>
    <mergeCell ref="E39:F39"/>
    <mergeCell ref="E34:F34"/>
    <mergeCell ref="E32:F32"/>
    <mergeCell ref="M24:N24"/>
    <mergeCell ref="E24:F24"/>
    <mergeCell ref="A31:A32"/>
    <mergeCell ref="E33:F33"/>
    <mergeCell ref="M29:N29"/>
    <mergeCell ref="M25:N25"/>
    <mergeCell ref="M26:N26"/>
    <mergeCell ref="E31:F31"/>
    <mergeCell ref="E30:F30"/>
    <mergeCell ref="G30:L30"/>
    <mergeCell ref="M27:N27"/>
    <mergeCell ref="E25:F25"/>
    <mergeCell ref="E26:F26"/>
    <mergeCell ref="E27:F27"/>
    <mergeCell ref="J7:K8"/>
    <mergeCell ref="C8:G8"/>
    <mergeCell ref="M21:N21"/>
    <mergeCell ref="M22:N22"/>
    <mergeCell ref="M23:N23"/>
    <mergeCell ref="E22:F22"/>
    <mergeCell ref="E23:F23"/>
    <mergeCell ref="I13:L13"/>
    <mergeCell ref="I14:L14"/>
    <mergeCell ref="I15:L15"/>
    <mergeCell ref="I16:L16"/>
    <mergeCell ref="M20:N20"/>
    <mergeCell ref="A19:D19"/>
    <mergeCell ref="E19:F19"/>
    <mergeCell ref="G19:L19"/>
    <mergeCell ref="E20:F20"/>
    <mergeCell ref="J6:K6"/>
    <mergeCell ref="A1:L1"/>
    <mergeCell ref="A3:C4"/>
    <mergeCell ref="J3:K3"/>
    <mergeCell ref="J4:K4"/>
    <mergeCell ref="J5:K5"/>
    <mergeCell ref="B47:C47"/>
    <mergeCell ref="B48:C48"/>
    <mergeCell ref="E47:F47"/>
    <mergeCell ref="E48:F48"/>
    <mergeCell ref="E6:F6"/>
    <mergeCell ref="E35:F35"/>
    <mergeCell ref="E36:F36"/>
    <mergeCell ref="E37:F37"/>
    <mergeCell ref="E38:F38"/>
    <mergeCell ref="E41:F41"/>
    <mergeCell ref="E45:F45"/>
    <mergeCell ref="E46:F46"/>
    <mergeCell ref="A9:B9"/>
    <mergeCell ref="A10:B10"/>
    <mergeCell ref="B13:G16"/>
    <mergeCell ref="A30:D30"/>
  </mergeCells>
  <phoneticPr fontId="4"/>
  <printOptions horizontalCentered="1"/>
  <pageMargins left="0.39370078740157483" right="0.39370078740157483" top="0.39370078740157483" bottom="0.39370078740157483" header="0.39370078740157483" footer="0.39370078740157483"/>
  <pageSetup paperSize="9" scale="69" orientation="portrait" r:id="rId1"/>
  <headerFooter>
    <oddFooter>&amp;R&amp;"BIZ UDPゴシック,標準"&amp;8株式会社プレック研究所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76B9B-FC3F-4239-87A0-67A86BEE5FAC}">
  <sheetPr codeName="Sheet8">
    <tabColor theme="5" tint="0.59999389629810485"/>
    <pageSetUpPr fitToPage="1"/>
  </sheetPr>
  <dimension ref="A1:X85"/>
  <sheetViews>
    <sheetView view="pageBreakPreview" topLeftCell="A8" zoomScaleNormal="100" zoomScaleSheetLayoutView="100" workbookViewId="0">
      <selection activeCell="J44" sqref="J44"/>
    </sheetView>
  </sheetViews>
  <sheetFormatPr defaultColWidth="8.25" defaultRowHeight="12"/>
  <cols>
    <col min="1" max="1" width="3" style="3" customWidth="1"/>
    <col min="2" max="2" width="10.5" style="4" customWidth="1"/>
    <col min="3" max="3" width="27" style="4" customWidth="1"/>
    <col min="4" max="9" width="8.125" style="5" customWidth="1"/>
    <col min="10" max="10" width="11.875" style="5" customWidth="1"/>
    <col min="11" max="11" width="2.875" style="5" customWidth="1"/>
    <col min="12" max="12" width="22" style="5" customWidth="1"/>
    <col min="13" max="13" width="13.375" style="1" customWidth="1"/>
    <col min="14" max="14" width="13.375" style="1" bestFit="1" customWidth="1"/>
    <col min="15" max="15" width="16.5" style="2" bestFit="1" customWidth="1"/>
    <col min="16" max="21" width="8.25" style="5"/>
    <col min="22" max="22" width="11.375" style="5" bestFit="1" customWidth="1"/>
    <col min="23" max="23" width="10.375" style="5" bestFit="1" customWidth="1"/>
    <col min="24" max="16384" width="8.25" style="5"/>
  </cols>
  <sheetData>
    <row r="1" spans="1:18" s="1" customFormat="1" ht="84" customHeight="1">
      <c r="A1" s="556" t="s">
        <v>0</v>
      </c>
      <c r="B1" s="556"/>
      <c r="C1" s="556"/>
      <c r="D1" s="556"/>
      <c r="E1" s="556"/>
      <c r="F1" s="556"/>
      <c r="G1" s="556"/>
      <c r="H1" s="556"/>
      <c r="I1" s="556"/>
      <c r="J1" s="556"/>
      <c r="K1" s="556"/>
      <c r="L1" s="556"/>
      <c r="O1" s="2"/>
    </row>
    <row r="2" spans="1:18" s="1" customFormat="1" ht="20.100000000000001" customHeight="1">
      <c r="A2" s="3"/>
      <c r="B2" s="4"/>
      <c r="C2" s="4"/>
      <c r="D2" s="5"/>
      <c r="E2" s="5"/>
      <c r="F2" s="5"/>
      <c r="G2" s="5"/>
      <c r="H2" s="5"/>
      <c r="I2" s="5"/>
      <c r="J2" s="5"/>
      <c r="K2" s="5"/>
      <c r="L2" s="136">
        <v>45321</v>
      </c>
      <c r="O2" s="2"/>
    </row>
    <row r="3" spans="1:18" s="1" customFormat="1" ht="20.100000000000001" customHeight="1">
      <c r="A3" s="557" t="s">
        <v>62</v>
      </c>
      <c r="B3" s="557"/>
      <c r="C3" s="557"/>
      <c r="D3" s="125"/>
      <c r="E3" s="6"/>
      <c r="F3" s="5"/>
      <c r="G3" s="5"/>
      <c r="H3" s="5"/>
      <c r="I3" s="5"/>
      <c r="J3" s="559" t="s">
        <v>1</v>
      </c>
      <c r="K3" s="559"/>
      <c r="L3" s="7" t="s">
        <v>50</v>
      </c>
      <c r="O3" s="2"/>
    </row>
    <row r="4" spans="1:18" s="1" customFormat="1" ht="20.100000000000001" customHeight="1">
      <c r="A4" s="558"/>
      <c r="B4" s="558"/>
      <c r="C4" s="558"/>
      <c r="D4" s="134"/>
      <c r="E4" s="134"/>
      <c r="F4" s="134"/>
      <c r="G4" s="5"/>
      <c r="H4" s="5"/>
      <c r="I4" s="5"/>
      <c r="J4" s="560" t="s">
        <v>57</v>
      </c>
      <c r="K4" s="561"/>
      <c r="L4" s="138">
        <v>45747</v>
      </c>
      <c r="O4" s="2"/>
    </row>
    <row r="5" spans="1:18" s="1" customFormat="1" ht="20.100000000000001" customHeight="1">
      <c r="A5" s="3"/>
      <c r="B5" s="8"/>
      <c r="C5" s="130"/>
      <c r="D5" s="130"/>
      <c r="E5" s="6"/>
      <c r="F5" s="5"/>
      <c r="G5" s="5"/>
      <c r="H5" s="5"/>
      <c r="I5" s="5"/>
      <c r="J5" s="554" t="s">
        <v>58</v>
      </c>
      <c r="K5" s="555"/>
      <c r="L5" s="11" t="s">
        <v>4</v>
      </c>
      <c r="O5" s="2"/>
    </row>
    <row r="6" spans="1:18" s="1" customFormat="1" ht="20.100000000000001" customHeight="1">
      <c r="A6" s="131" t="s">
        <v>52</v>
      </c>
      <c r="B6" s="131"/>
      <c r="C6" s="113">
        <f>+E28</f>
        <v>30261000.000000004</v>
      </c>
      <c r="D6" s="9" t="s">
        <v>2</v>
      </c>
      <c r="E6" s="553">
        <f>+E26*0.1</f>
        <v>2751000</v>
      </c>
      <c r="F6" s="553"/>
      <c r="G6" s="10" t="s">
        <v>3</v>
      </c>
      <c r="H6" s="135"/>
      <c r="I6" s="5"/>
      <c r="J6" s="554" t="s">
        <v>59</v>
      </c>
      <c r="K6" s="555"/>
      <c r="L6" s="11" t="s">
        <v>5</v>
      </c>
      <c r="O6" s="2"/>
      <c r="Q6" s="3"/>
      <c r="R6" s="121"/>
    </row>
    <row r="7" spans="1:18" s="1" customFormat="1" ht="20.100000000000001" customHeight="1">
      <c r="A7" s="132"/>
      <c r="B7" s="133"/>
      <c r="C7" s="124"/>
      <c r="D7" s="124"/>
      <c r="E7" s="124"/>
      <c r="F7" s="124"/>
      <c r="G7" s="124"/>
      <c r="H7" s="124"/>
      <c r="I7" s="5"/>
      <c r="J7" s="554" t="s">
        <v>60</v>
      </c>
      <c r="K7" s="555"/>
      <c r="L7" s="11" t="s">
        <v>63</v>
      </c>
      <c r="O7" s="2"/>
      <c r="Q7" s="3"/>
      <c r="R7" s="121"/>
    </row>
    <row r="8" spans="1:18" s="1" customFormat="1" ht="20.100000000000001" customHeight="1">
      <c r="A8" s="131" t="s">
        <v>6</v>
      </c>
      <c r="B8" s="131"/>
      <c r="C8" s="567" t="s">
        <v>61</v>
      </c>
      <c r="D8" s="567"/>
      <c r="E8" s="567"/>
      <c r="F8" s="567"/>
      <c r="G8" s="567"/>
      <c r="H8" s="124"/>
      <c r="I8" s="5"/>
      <c r="J8" s="566"/>
      <c r="K8" s="559"/>
      <c r="L8" s="12" t="s">
        <v>64</v>
      </c>
      <c r="O8" s="2"/>
      <c r="Q8" s="3"/>
      <c r="R8" s="7"/>
    </row>
    <row r="9" spans="1:18" s="1" customFormat="1" ht="20.100000000000001" customHeight="1">
      <c r="A9" s="568"/>
      <c r="B9" s="568"/>
      <c r="C9" s="124"/>
      <c r="D9" s="124"/>
      <c r="E9" s="124"/>
      <c r="F9" s="124"/>
      <c r="G9" s="124"/>
      <c r="H9" s="124"/>
      <c r="I9" s="5"/>
      <c r="J9" s="128"/>
      <c r="K9" s="128"/>
      <c r="L9" s="129"/>
      <c r="O9" s="2"/>
      <c r="Q9" s="3"/>
      <c r="R9" s="7"/>
    </row>
    <row r="10" spans="1:18" s="1" customFormat="1" ht="18" customHeight="1">
      <c r="A10" s="569"/>
      <c r="B10" s="569"/>
      <c r="C10" s="124"/>
      <c r="D10" s="126"/>
      <c r="E10" s="126"/>
      <c r="F10" s="126"/>
      <c r="G10" s="126"/>
      <c r="H10" s="127"/>
      <c r="I10" s="5"/>
      <c r="J10" s="5"/>
      <c r="K10" s="5"/>
      <c r="L10" s="5"/>
      <c r="O10" s="2"/>
      <c r="Q10" s="3"/>
      <c r="R10" s="7"/>
    </row>
    <row r="11" spans="1:18" s="1" customFormat="1" ht="18" customHeight="1">
      <c r="A11" s="3"/>
      <c r="B11" s="15" t="s">
        <v>7</v>
      </c>
      <c r="C11" s="4"/>
      <c r="D11" s="5"/>
      <c r="E11" s="5"/>
      <c r="F11" s="5"/>
      <c r="G11" s="5"/>
      <c r="H11" s="5"/>
      <c r="I11" s="5"/>
      <c r="J11" s="5"/>
      <c r="K11" s="5"/>
      <c r="L11" s="5"/>
      <c r="O11" s="2"/>
    </row>
    <row r="12" spans="1:18" s="1" customFormat="1" ht="18" customHeight="1">
      <c r="A12" s="3"/>
      <c r="B12" s="15" t="s">
        <v>8</v>
      </c>
      <c r="C12" s="4"/>
      <c r="D12" s="5"/>
      <c r="E12" s="5"/>
      <c r="F12" s="5"/>
      <c r="G12" s="5"/>
      <c r="H12" s="5"/>
      <c r="I12" s="5"/>
      <c r="J12" s="5"/>
      <c r="K12" s="5"/>
      <c r="L12" s="5"/>
      <c r="O12" s="2"/>
    </row>
    <row r="13" spans="1:18" s="1" customFormat="1" ht="18" customHeight="1">
      <c r="A13" s="3"/>
      <c r="B13" s="570" t="s">
        <v>51</v>
      </c>
      <c r="C13" s="571"/>
      <c r="D13" s="571"/>
      <c r="E13" s="571"/>
      <c r="F13" s="571"/>
      <c r="G13" s="572"/>
      <c r="H13" s="5"/>
      <c r="I13" s="579" t="s">
        <v>56</v>
      </c>
      <c r="J13" s="579"/>
      <c r="K13" s="579"/>
      <c r="L13" s="579"/>
      <c r="O13" s="2"/>
    </row>
    <row r="14" spans="1:18" s="1" customFormat="1" ht="18" customHeight="1">
      <c r="A14" s="13"/>
      <c r="B14" s="573"/>
      <c r="C14" s="574"/>
      <c r="D14" s="574"/>
      <c r="E14" s="574"/>
      <c r="F14" s="574"/>
      <c r="G14" s="575"/>
      <c r="H14" s="5"/>
      <c r="I14" s="579" t="s">
        <v>9</v>
      </c>
      <c r="J14" s="579"/>
      <c r="K14" s="579"/>
      <c r="L14" s="579"/>
      <c r="O14" s="2"/>
    </row>
    <row r="15" spans="1:18" s="1" customFormat="1" ht="18" customHeight="1">
      <c r="A15" s="13"/>
      <c r="B15" s="573"/>
      <c r="C15" s="574"/>
      <c r="D15" s="574"/>
      <c r="E15" s="574"/>
      <c r="F15" s="574"/>
      <c r="G15" s="575"/>
      <c r="H15" s="5"/>
      <c r="I15" s="579" t="s">
        <v>55</v>
      </c>
      <c r="J15" s="579"/>
      <c r="K15" s="579"/>
      <c r="L15" s="579"/>
      <c r="O15" s="2"/>
    </row>
    <row r="16" spans="1:18" s="1" customFormat="1" ht="18" customHeight="1">
      <c r="A16" s="13"/>
      <c r="B16" s="576"/>
      <c r="C16" s="577"/>
      <c r="D16" s="577"/>
      <c r="E16" s="577"/>
      <c r="F16" s="577"/>
      <c r="G16" s="578"/>
      <c r="H16" s="5"/>
      <c r="I16" s="579" t="s">
        <v>10</v>
      </c>
      <c r="J16" s="579"/>
      <c r="K16" s="579"/>
      <c r="L16" s="579"/>
      <c r="O16" s="2"/>
    </row>
    <row r="17" spans="1:24" s="1" customFormat="1" ht="18" customHeight="1">
      <c r="A17" s="13"/>
      <c r="B17" s="123"/>
      <c r="C17" s="123"/>
      <c r="D17" s="123"/>
      <c r="E17" s="123"/>
      <c r="F17" s="123"/>
      <c r="G17" s="123"/>
      <c r="H17" s="5"/>
      <c r="I17" s="120"/>
      <c r="J17" s="120"/>
      <c r="K17" s="120"/>
      <c r="L17" s="120"/>
      <c r="O17" s="2"/>
    </row>
    <row r="18" spans="1:24" ht="18" customHeight="1">
      <c r="A18" s="13"/>
      <c r="B18" s="122"/>
      <c r="C18" s="122"/>
      <c r="D18" s="122"/>
      <c r="E18" s="122"/>
      <c r="F18" s="122"/>
      <c r="G18" s="122"/>
      <c r="I18" s="579"/>
      <c r="J18" s="579"/>
      <c r="K18" s="579"/>
      <c r="L18" s="579"/>
      <c r="O18" s="5"/>
    </row>
    <row r="19" spans="1:24" s="15" customFormat="1" ht="18.95" customHeight="1" thickBot="1">
      <c r="A19" s="13" t="s">
        <v>11</v>
      </c>
      <c r="B19" s="14"/>
      <c r="C19" s="14"/>
      <c r="D19" s="14"/>
      <c r="M19" s="16"/>
      <c r="N19" s="16"/>
    </row>
    <row r="20" spans="1:24" s="15" customFormat="1" ht="19.5" customHeight="1" thickBot="1">
      <c r="A20" s="580" t="s">
        <v>12</v>
      </c>
      <c r="B20" s="581"/>
      <c r="C20" s="581"/>
      <c r="D20" s="582"/>
      <c r="E20" s="583" t="s">
        <v>13</v>
      </c>
      <c r="F20" s="582"/>
      <c r="G20" s="583" t="s">
        <v>14</v>
      </c>
      <c r="H20" s="581"/>
      <c r="I20" s="581"/>
      <c r="J20" s="581"/>
      <c r="K20" s="581"/>
      <c r="L20" s="584"/>
      <c r="M20" s="587"/>
      <c r="N20" s="588"/>
    </row>
    <row r="21" spans="1:24" s="15" customFormat="1" ht="18.95" customHeight="1" thickTop="1">
      <c r="A21" s="18">
        <v>1</v>
      </c>
      <c r="B21" s="19" t="s">
        <v>15</v>
      </c>
      <c r="C21" s="19"/>
      <c r="D21" s="20"/>
      <c r="E21" s="585">
        <f>+J46</f>
        <v>11392000</v>
      </c>
      <c r="F21" s="586"/>
      <c r="G21" s="21" t="s">
        <v>16</v>
      </c>
      <c r="H21" s="22"/>
      <c r="I21" s="22"/>
      <c r="J21" s="22"/>
      <c r="K21" s="22"/>
      <c r="L21" s="23"/>
      <c r="M21" s="564"/>
      <c r="N21" s="565"/>
    </row>
    <row r="22" spans="1:24" s="15" customFormat="1" ht="18.95" customHeight="1">
      <c r="A22" s="25">
        <v>2</v>
      </c>
      <c r="B22" s="26" t="s">
        <v>17</v>
      </c>
      <c r="C22" s="26"/>
      <c r="D22" s="27"/>
      <c r="E22" s="562">
        <v>0</v>
      </c>
      <c r="F22" s="563"/>
      <c r="G22" s="28" t="s">
        <v>230</v>
      </c>
      <c r="H22" s="29"/>
      <c r="I22" s="29"/>
      <c r="J22" s="29"/>
      <c r="K22" s="29"/>
      <c r="L22" s="30"/>
      <c r="M22" s="564"/>
      <c r="N22" s="565"/>
      <c r="O22" s="1"/>
    </row>
    <row r="23" spans="1:24" s="15" customFormat="1" ht="18.95" customHeight="1">
      <c r="A23" s="25">
        <v>3</v>
      </c>
      <c r="B23" s="26" t="s">
        <v>231</v>
      </c>
      <c r="C23" s="26"/>
      <c r="D23" s="27"/>
      <c r="E23" s="562">
        <f>E21*1.1</f>
        <v>12531200.000000002</v>
      </c>
      <c r="F23" s="563"/>
      <c r="G23" s="28" t="s">
        <v>233</v>
      </c>
      <c r="H23" s="29"/>
      <c r="I23" s="29"/>
      <c r="J23" s="29"/>
      <c r="K23" s="29"/>
      <c r="L23" s="31"/>
      <c r="M23" s="564"/>
      <c r="N23" s="565"/>
    </row>
    <row r="24" spans="1:24" s="15" customFormat="1" ht="18.95" customHeight="1">
      <c r="A24" s="33">
        <v>4</v>
      </c>
      <c r="B24" s="34" t="s">
        <v>232</v>
      </c>
      <c r="C24" s="34"/>
      <c r="D24" s="35"/>
      <c r="E24" s="589">
        <f>(E21+E23)*0.15</f>
        <v>3588480</v>
      </c>
      <c r="F24" s="590"/>
      <c r="G24" s="36" t="s">
        <v>234</v>
      </c>
      <c r="H24" s="37"/>
      <c r="I24" s="37"/>
      <c r="J24" s="38"/>
      <c r="K24" s="38"/>
      <c r="L24" s="39"/>
      <c r="M24" s="564"/>
      <c r="N24" s="565"/>
    </row>
    <row r="25" spans="1:24" s="15" customFormat="1" ht="18.95" customHeight="1">
      <c r="A25" s="40" t="s">
        <v>27</v>
      </c>
      <c r="B25" s="41"/>
      <c r="C25" s="41"/>
      <c r="D25" s="42"/>
      <c r="E25" s="591">
        <f>+E21+E22+E23+E24</f>
        <v>27511680</v>
      </c>
      <c r="F25" s="592"/>
      <c r="G25" s="43" t="s">
        <v>28</v>
      </c>
      <c r="H25" s="44"/>
      <c r="I25" s="44"/>
      <c r="J25" s="44"/>
      <c r="K25" s="44"/>
      <c r="L25" s="45"/>
      <c r="M25" s="564"/>
      <c r="N25" s="565"/>
    </row>
    <row r="26" spans="1:24" s="15" customFormat="1" ht="18.95" customHeight="1">
      <c r="A26" s="46" t="s">
        <v>29</v>
      </c>
      <c r="B26" s="26"/>
      <c r="C26" s="26"/>
      <c r="D26" s="27"/>
      <c r="E26" s="562">
        <f>ROUNDDOWN(E25,-4)</f>
        <v>27510000</v>
      </c>
      <c r="F26" s="563"/>
      <c r="G26" s="28" t="s">
        <v>30</v>
      </c>
      <c r="H26" s="29"/>
      <c r="I26" s="29"/>
      <c r="J26" s="29"/>
      <c r="K26" s="29"/>
      <c r="L26" s="47"/>
      <c r="M26" s="564"/>
      <c r="N26" s="565"/>
    </row>
    <row r="27" spans="1:24" s="15" customFormat="1" ht="18.95" customHeight="1">
      <c r="A27" s="46" t="s">
        <v>31</v>
      </c>
      <c r="B27" s="26"/>
      <c r="C27" s="26"/>
      <c r="D27" s="27"/>
      <c r="E27" s="562">
        <f>+E26*0.1</f>
        <v>2751000</v>
      </c>
      <c r="F27" s="563"/>
      <c r="G27" s="48">
        <v>0.1</v>
      </c>
      <c r="H27" s="29"/>
      <c r="I27" s="29"/>
      <c r="J27" s="29"/>
      <c r="K27" s="29"/>
      <c r="L27" s="47"/>
      <c r="M27" s="564"/>
      <c r="N27" s="565"/>
    </row>
    <row r="28" spans="1:24" ht="18.95" customHeight="1">
      <c r="A28" s="412" t="s">
        <v>32</v>
      </c>
      <c r="B28" s="413"/>
      <c r="C28" s="413"/>
      <c r="D28" s="413"/>
      <c r="E28" s="608">
        <f>+E26*1.1</f>
        <v>30261000.000000004</v>
      </c>
      <c r="F28" s="609"/>
      <c r="G28" s="414"/>
      <c r="H28" s="415"/>
      <c r="I28" s="415"/>
      <c r="J28" s="415"/>
      <c r="K28" s="415"/>
      <c r="L28" s="416"/>
      <c r="M28" s="564"/>
      <c r="N28" s="565"/>
      <c r="O28" s="5"/>
    </row>
    <row r="29" spans="1:24" ht="42.6" customHeight="1">
      <c r="A29" s="610" t="s">
        <v>256</v>
      </c>
      <c r="B29" s="610"/>
      <c r="C29" s="610"/>
      <c r="D29" s="610"/>
      <c r="E29" s="610"/>
      <c r="F29" s="610"/>
      <c r="G29" s="610"/>
      <c r="H29" s="610"/>
      <c r="I29" s="610"/>
      <c r="J29" s="610"/>
      <c r="K29" s="610"/>
      <c r="L29" s="610"/>
      <c r="M29" s="24"/>
      <c r="N29" s="24"/>
      <c r="O29" s="5"/>
    </row>
    <row r="30" spans="1:24" ht="22.5" customHeight="1" thickBot="1">
      <c r="A30" s="13" t="s">
        <v>53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56"/>
      <c r="M30" s="57"/>
      <c r="N30" s="58"/>
      <c r="O30" s="5"/>
    </row>
    <row r="31" spans="1:24" ht="22.5" customHeight="1">
      <c r="A31" s="611" t="s">
        <v>33</v>
      </c>
      <c r="B31" s="612"/>
      <c r="C31" s="613"/>
      <c r="D31" s="59" t="s">
        <v>34</v>
      </c>
      <c r="E31" s="60" t="s">
        <v>35</v>
      </c>
      <c r="F31" s="60" t="s">
        <v>36</v>
      </c>
      <c r="G31" s="60" t="s">
        <v>37</v>
      </c>
      <c r="H31" s="60" t="s">
        <v>38</v>
      </c>
      <c r="I31" s="59" t="s">
        <v>39</v>
      </c>
      <c r="J31" s="61" t="s">
        <v>40</v>
      </c>
      <c r="K31" s="617" t="s">
        <v>14</v>
      </c>
      <c r="L31" s="618"/>
      <c r="O31" s="62"/>
      <c r="P31" s="62"/>
      <c r="Q31" s="63"/>
      <c r="R31" s="64"/>
      <c r="S31" s="63"/>
      <c r="T31" s="63"/>
      <c r="U31" s="63"/>
      <c r="V31" s="63"/>
      <c r="W31" s="65"/>
      <c r="X31" s="66"/>
    </row>
    <row r="32" spans="1:24" ht="22.5" customHeight="1" thickBot="1">
      <c r="A32" s="614"/>
      <c r="B32" s="615"/>
      <c r="C32" s="616"/>
      <c r="D32" s="114">
        <v>70900</v>
      </c>
      <c r="E32" s="115">
        <v>62200</v>
      </c>
      <c r="F32" s="115">
        <v>55200</v>
      </c>
      <c r="G32" s="115">
        <v>45300</v>
      </c>
      <c r="H32" s="115">
        <v>35600</v>
      </c>
      <c r="I32" s="114">
        <v>31600</v>
      </c>
      <c r="J32" s="137" t="s">
        <v>41</v>
      </c>
      <c r="K32" s="619"/>
      <c r="L32" s="620"/>
    </row>
    <row r="33" spans="1:17" s="150" customFormat="1" ht="22.5" customHeight="1" thickTop="1">
      <c r="A33" s="144" t="s">
        <v>65</v>
      </c>
      <c r="B33" s="621" t="s">
        <v>66</v>
      </c>
      <c r="C33" s="622"/>
      <c r="D33" s="145"/>
      <c r="E33" s="146"/>
      <c r="F33" s="146"/>
      <c r="G33" s="146"/>
      <c r="H33" s="146"/>
      <c r="I33" s="146"/>
      <c r="J33" s="147">
        <f t="shared" ref="J33:J72" si="0">+$D$32*D33+$E$32*E33+$F$32*F33+$G$32*G33+$H$32*H33+$I$32*I33</f>
        <v>0</v>
      </c>
      <c r="K33" s="623" t="s">
        <v>249</v>
      </c>
      <c r="L33" s="624"/>
      <c r="M33" s="291">
        <f>+$D$32*D33+$E$32*E33+$F$32*F33+$G$32*G33+$H$32*H33+$I$32*I33</f>
        <v>0</v>
      </c>
      <c r="N33" s="148"/>
      <c r="O33" s="149"/>
    </row>
    <row r="34" spans="1:17" s="15" customFormat="1" ht="22.5" customHeight="1">
      <c r="A34" s="70"/>
      <c r="B34" s="625" t="s">
        <v>69</v>
      </c>
      <c r="C34" s="626"/>
      <c r="D34" s="289"/>
      <c r="E34" s="345"/>
      <c r="F34" s="345"/>
      <c r="G34" s="345"/>
      <c r="H34" s="345"/>
      <c r="I34" s="345"/>
      <c r="J34" s="290">
        <f t="shared" si="0"/>
        <v>0</v>
      </c>
      <c r="K34" s="635"/>
      <c r="L34" s="636"/>
      <c r="M34" s="291">
        <f t="shared" ref="M34:M72" si="1">+$D$32*D34+$E$32*E34+$F$32*F34+$G$32*G34+$H$32*H34+$I$32*I34</f>
        <v>0</v>
      </c>
      <c r="N34" s="68"/>
      <c r="O34" s="595"/>
      <c r="P34" s="595"/>
    </row>
    <row r="35" spans="1:17" s="15" customFormat="1" ht="22.5" customHeight="1">
      <c r="A35" s="70"/>
      <c r="B35" s="637" t="s">
        <v>229</v>
      </c>
      <c r="C35" s="638"/>
      <c r="D35" s="289"/>
      <c r="E35" s="345"/>
      <c r="F35" s="345"/>
      <c r="G35" s="345"/>
      <c r="H35" s="345"/>
      <c r="I35" s="345"/>
      <c r="J35" s="290">
        <f t="shared" si="0"/>
        <v>0</v>
      </c>
      <c r="K35" s="627"/>
      <c r="L35" s="628"/>
      <c r="M35" s="291">
        <f t="shared" si="1"/>
        <v>0</v>
      </c>
      <c r="N35" s="68"/>
      <c r="O35" s="71"/>
      <c r="P35" s="71"/>
    </row>
    <row r="36" spans="1:17" s="15" customFormat="1" ht="22.5" customHeight="1">
      <c r="A36" s="70"/>
      <c r="B36" s="625" t="s">
        <v>72</v>
      </c>
      <c r="C36" s="626"/>
      <c r="D36" s="289"/>
      <c r="E36" s="345"/>
      <c r="F36" s="345"/>
      <c r="G36" s="345"/>
      <c r="H36" s="345"/>
      <c r="I36" s="345"/>
      <c r="J36" s="290">
        <f t="shared" si="0"/>
        <v>0</v>
      </c>
      <c r="K36" s="635"/>
      <c r="L36" s="636"/>
      <c r="M36" s="291">
        <f t="shared" si="1"/>
        <v>0</v>
      </c>
      <c r="N36" s="68"/>
      <c r="O36" s="71"/>
      <c r="P36" s="71"/>
    </row>
    <row r="37" spans="1:17" s="15" customFormat="1" ht="22.5" customHeight="1">
      <c r="A37" s="70"/>
      <c r="B37" s="625" t="s">
        <v>73</v>
      </c>
      <c r="C37" s="626"/>
      <c r="D37" s="289"/>
      <c r="E37" s="345"/>
      <c r="F37" s="345"/>
      <c r="G37" s="345"/>
      <c r="H37" s="345"/>
      <c r="I37" s="345"/>
      <c r="J37" s="290">
        <f t="shared" si="0"/>
        <v>0</v>
      </c>
      <c r="K37" s="627"/>
      <c r="L37" s="628"/>
      <c r="M37" s="291">
        <f t="shared" si="1"/>
        <v>0</v>
      </c>
      <c r="N37" s="68"/>
      <c r="O37" s="69"/>
    </row>
    <row r="38" spans="1:17" s="150" customFormat="1" ht="22.5" customHeight="1">
      <c r="A38" s="151" t="s">
        <v>68</v>
      </c>
      <c r="B38" s="621" t="s">
        <v>67</v>
      </c>
      <c r="C38" s="622"/>
      <c r="D38" s="152"/>
      <c r="E38" s="152"/>
      <c r="F38" s="152"/>
      <c r="G38" s="152"/>
      <c r="H38" s="152">
        <f>H46</f>
        <v>320</v>
      </c>
      <c r="I38" s="152"/>
      <c r="J38" s="346">
        <f t="shared" si="0"/>
        <v>11392000</v>
      </c>
      <c r="K38" s="629" t="s">
        <v>255</v>
      </c>
      <c r="L38" s="630"/>
      <c r="M38" s="291">
        <f t="shared" si="1"/>
        <v>11392000</v>
      </c>
      <c r="N38" s="148"/>
      <c r="O38" s="149"/>
    </row>
    <row r="39" spans="1:17" s="15" customFormat="1" ht="22.5" customHeight="1">
      <c r="A39" s="70"/>
      <c r="B39" s="631" t="s">
        <v>74</v>
      </c>
      <c r="C39" s="632"/>
      <c r="D39" s="289"/>
      <c r="E39" s="345"/>
      <c r="F39" s="345"/>
      <c r="G39" s="345"/>
      <c r="H39" s="345"/>
      <c r="I39" s="345"/>
      <c r="J39" s="290">
        <f t="shared" si="0"/>
        <v>0</v>
      </c>
      <c r="K39" s="633"/>
      <c r="L39" s="634"/>
      <c r="M39" s="291">
        <f t="shared" si="1"/>
        <v>0</v>
      </c>
      <c r="N39" s="68"/>
      <c r="O39" s="595"/>
      <c r="P39" s="595"/>
      <c r="Q39" s="595"/>
    </row>
    <row r="40" spans="1:17" s="15" customFormat="1" ht="22.5" customHeight="1">
      <c r="A40" s="70"/>
      <c r="B40" s="625" t="s">
        <v>85</v>
      </c>
      <c r="C40" s="626"/>
      <c r="D40" s="289"/>
      <c r="E40" s="345"/>
      <c r="F40" s="345"/>
      <c r="G40" s="345"/>
      <c r="H40" s="345"/>
      <c r="I40" s="345"/>
      <c r="J40" s="290">
        <f t="shared" si="0"/>
        <v>0</v>
      </c>
      <c r="K40" s="633"/>
      <c r="L40" s="634"/>
      <c r="M40" s="291">
        <f t="shared" si="1"/>
        <v>0</v>
      </c>
      <c r="N40" s="117"/>
      <c r="O40" s="69"/>
    </row>
    <row r="41" spans="1:17" s="15" customFormat="1" ht="22.5" customHeight="1">
      <c r="A41" s="70"/>
      <c r="B41" s="639" t="s">
        <v>79</v>
      </c>
      <c r="C41" s="640"/>
      <c r="D41" s="289"/>
      <c r="E41" s="323"/>
      <c r="F41" s="323"/>
      <c r="G41" s="323"/>
      <c r="H41" s="323"/>
      <c r="I41" s="323"/>
      <c r="J41" s="347">
        <f>+$D$35*D41+$E$35*E41+$F$35*F41+$G$35*G41+$H$35*H41+$I$35*I41</f>
        <v>0</v>
      </c>
      <c r="K41" s="635"/>
      <c r="L41" s="636"/>
      <c r="M41" s="291">
        <f>+$D$35*D41+$E$35*E41+$F$35*F41+$G$35*G41+$H$35*H41+$I$35*I41</f>
        <v>0</v>
      </c>
      <c r="N41" s="117"/>
      <c r="O41" s="69"/>
    </row>
    <row r="42" spans="1:17" s="15" customFormat="1" ht="22.5" customHeight="1">
      <c r="A42" s="70"/>
      <c r="B42" s="639" t="s">
        <v>80</v>
      </c>
      <c r="C42" s="640"/>
      <c r="D42" s="289"/>
      <c r="E42" s="323"/>
      <c r="F42" s="323"/>
      <c r="G42" s="323"/>
      <c r="H42" s="323"/>
      <c r="I42" s="323"/>
      <c r="J42" s="347">
        <f>+$D$35*D42+$E$35*E42+$F$35*F42+$G$35*G42+$H$35*H42+$I$35*I42</f>
        <v>0</v>
      </c>
      <c r="K42" s="635"/>
      <c r="L42" s="636"/>
      <c r="M42" s="291">
        <f>+$D$35*D42+$E$35*E42+$F$35*F42+$G$35*G42+$H$35*H42+$I$35*I42</f>
        <v>0</v>
      </c>
      <c r="N42" s="117"/>
      <c r="O42" s="69"/>
    </row>
    <row r="43" spans="1:17" s="15" customFormat="1" ht="22.5" customHeight="1">
      <c r="A43" s="70"/>
      <c r="B43" s="639" t="s">
        <v>81</v>
      </c>
      <c r="C43" s="640"/>
      <c r="D43" s="289"/>
      <c r="E43" s="323"/>
      <c r="F43" s="323"/>
      <c r="G43" s="323"/>
      <c r="H43" s="323"/>
      <c r="I43" s="323"/>
      <c r="J43" s="347">
        <f>+$D$35*D43+$E$35*E43+$F$35*F43+$G$35*G43+$H$35*H43+$I$35*I43</f>
        <v>0</v>
      </c>
      <c r="K43" s="635"/>
      <c r="L43" s="636"/>
      <c r="M43" s="291">
        <f>+$D$35*D43+$E$35*E43+$F$35*F43+$G$35*G43+$H$35*H43+$I$35*I43</f>
        <v>0</v>
      </c>
      <c r="N43" s="117"/>
      <c r="O43" s="69"/>
    </row>
    <row r="44" spans="1:17" s="15" customFormat="1" ht="22.5" customHeight="1">
      <c r="A44" s="70"/>
      <c r="B44" s="639" t="s">
        <v>82</v>
      </c>
      <c r="C44" s="640"/>
      <c r="D44" s="289"/>
      <c r="E44" s="323"/>
      <c r="F44" s="323"/>
      <c r="G44" s="323"/>
      <c r="H44" s="323"/>
      <c r="I44" s="323"/>
      <c r="J44" s="347">
        <f>+$D$35*D44+$E$35*E44+$F$35*F44+$G$35*G44+$H$35*H44+$I$35*I44</f>
        <v>0</v>
      </c>
      <c r="K44" s="635"/>
      <c r="L44" s="636"/>
      <c r="M44" s="291">
        <f>+$D$35*D44+$E$35*E44+$F$35*F44+$G$35*G44+$H$35*H44+$I$35*I44</f>
        <v>0</v>
      </c>
      <c r="N44" s="117"/>
      <c r="O44" s="69"/>
    </row>
    <row r="45" spans="1:17" s="15" customFormat="1" ht="22.5" customHeight="1">
      <c r="A45" s="70"/>
      <c r="B45" s="639" t="s">
        <v>83</v>
      </c>
      <c r="C45" s="640"/>
      <c r="D45" s="289"/>
      <c r="E45" s="323"/>
      <c r="F45" s="323"/>
      <c r="G45" s="323"/>
      <c r="H45" s="323"/>
      <c r="I45" s="323"/>
      <c r="J45" s="347">
        <f>+$D$35*D45+$E$35*E45+$F$35*F45+$G$35*G45+$H$35*H45+$I$35*I45</f>
        <v>0</v>
      </c>
      <c r="K45" s="635"/>
      <c r="L45" s="636"/>
      <c r="M45" s="291">
        <f>+$D$35*D45+$E$35*E45+$F$35*F45+$G$35*G45+$H$35*H45+$I$35*I45</f>
        <v>0</v>
      </c>
      <c r="N45" s="117"/>
      <c r="O45" s="69"/>
    </row>
    <row r="46" spans="1:17" s="15" customFormat="1" ht="22.5" customHeight="1">
      <c r="A46" s="70"/>
      <c r="B46" s="639" t="s">
        <v>84</v>
      </c>
      <c r="C46" s="640"/>
      <c r="D46" s="289"/>
      <c r="E46" s="344"/>
      <c r="F46" s="344"/>
      <c r="G46" s="344"/>
      <c r="H46" s="417">
        <f>SUM(H47+H48+H52+H53)</f>
        <v>320</v>
      </c>
      <c r="I46" s="344"/>
      <c r="J46" s="347">
        <f t="shared" si="0"/>
        <v>11392000</v>
      </c>
      <c r="K46" s="635"/>
      <c r="L46" s="636"/>
      <c r="M46" s="291">
        <f t="shared" si="1"/>
        <v>11392000</v>
      </c>
      <c r="N46" s="117"/>
      <c r="O46" s="69"/>
    </row>
    <row r="47" spans="1:17" s="15" customFormat="1" ht="22.5" customHeight="1">
      <c r="A47" s="70"/>
      <c r="B47" s="639" t="s">
        <v>213</v>
      </c>
      <c r="C47" s="640"/>
      <c r="D47" s="289"/>
      <c r="E47" s="323"/>
      <c r="F47" s="323"/>
      <c r="G47" s="323"/>
      <c r="H47" s="418">
        <v>20</v>
      </c>
      <c r="I47" s="323"/>
      <c r="J47" s="343">
        <f t="shared" si="0"/>
        <v>712000</v>
      </c>
      <c r="K47" s="635"/>
      <c r="L47" s="636"/>
      <c r="M47" s="291">
        <f t="shared" si="1"/>
        <v>712000</v>
      </c>
      <c r="N47" s="117"/>
      <c r="O47" s="69"/>
    </row>
    <row r="48" spans="1:17" s="15" customFormat="1" ht="22.5" customHeight="1">
      <c r="A48" s="70"/>
      <c r="B48" s="639" t="s">
        <v>214</v>
      </c>
      <c r="C48" s="640"/>
      <c r="D48" s="289"/>
      <c r="E48" s="323"/>
      <c r="F48" s="323"/>
      <c r="G48" s="323"/>
      <c r="H48" s="418">
        <f>SUM(H49:H51)</f>
        <v>240</v>
      </c>
      <c r="I48" s="323"/>
      <c r="J48" s="343">
        <f t="shared" si="0"/>
        <v>8544000</v>
      </c>
      <c r="K48" s="635"/>
      <c r="L48" s="636"/>
      <c r="M48" s="291">
        <f t="shared" si="1"/>
        <v>8544000</v>
      </c>
      <c r="N48" s="117"/>
      <c r="O48" s="69"/>
    </row>
    <row r="49" spans="1:15" s="15" customFormat="1" ht="22.5" customHeight="1">
      <c r="A49" s="70"/>
      <c r="B49" s="641" t="s">
        <v>251</v>
      </c>
      <c r="C49" s="642"/>
      <c r="D49" s="289"/>
      <c r="E49" s="323"/>
      <c r="F49" s="323"/>
      <c r="G49" s="323"/>
      <c r="H49" s="323">
        <v>30</v>
      </c>
      <c r="I49" s="323"/>
      <c r="J49" s="343">
        <f t="shared" si="0"/>
        <v>1068000</v>
      </c>
      <c r="K49" s="635"/>
      <c r="L49" s="636"/>
      <c r="M49" s="291">
        <f t="shared" si="1"/>
        <v>1068000</v>
      </c>
      <c r="N49" s="117"/>
      <c r="O49" s="69"/>
    </row>
    <row r="50" spans="1:15" s="15" customFormat="1" ht="22.5" customHeight="1">
      <c r="A50" s="70"/>
      <c r="B50" s="641" t="s">
        <v>252</v>
      </c>
      <c r="C50" s="642"/>
      <c r="D50" s="289"/>
      <c r="E50" s="323"/>
      <c r="F50" s="323"/>
      <c r="G50" s="323"/>
      <c r="H50" s="323">
        <v>150</v>
      </c>
      <c r="I50" s="323"/>
      <c r="J50" s="343">
        <f t="shared" si="0"/>
        <v>5340000</v>
      </c>
      <c r="K50" s="635"/>
      <c r="L50" s="636"/>
      <c r="M50" s="291">
        <f t="shared" si="1"/>
        <v>5340000</v>
      </c>
      <c r="N50" s="117"/>
      <c r="O50" s="69"/>
    </row>
    <row r="51" spans="1:15" s="15" customFormat="1" ht="22.5" customHeight="1">
      <c r="A51" s="70"/>
      <c r="B51" s="641" t="s">
        <v>253</v>
      </c>
      <c r="C51" s="642"/>
      <c r="D51" s="289"/>
      <c r="E51" s="323"/>
      <c r="F51" s="323"/>
      <c r="G51" s="323"/>
      <c r="H51" s="323">
        <v>60</v>
      </c>
      <c r="I51" s="323"/>
      <c r="J51" s="343">
        <f t="shared" si="0"/>
        <v>2136000</v>
      </c>
      <c r="K51" s="635"/>
      <c r="L51" s="636"/>
      <c r="M51" s="291">
        <f t="shared" si="1"/>
        <v>2136000</v>
      </c>
      <c r="N51" s="117"/>
      <c r="O51" s="69"/>
    </row>
    <row r="52" spans="1:15" s="15" customFormat="1" ht="22.5" customHeight="1">
      <c r="A52" s="70"/>
      <c r="B52" s="639" t="s">
        <v>216</v>
      </c>
      <c r="C52" s="640"/>
      <c r="D52" s="289"/>
      <c r="E52" s="323"/>
      <c r="F52" s="323"/>
      <c r="G52" s="323"/>
      <c r="H52" s="418">
        <v>20</v>
      </c>
      <c r="I52" s="323"/>
      <c r="J52" s="343">
        <f t="shared" si="0"/>
        <v>712000</v>
      </c>
      <c r="K52" s="635"/>
      <c r="L52" s="636"/>
      <c r="M52" s="291">
        <f t="shared" si="1"/>
        <v>712000</v>
      </c>
      <c r="N52" s="117"/>
      <c r="O52" s="69"/>
    </row>
    <row r="53" spans="1:15" s="15" customFormat="1" ht="22.5" customHeight="1">
      <c r="A53" s="70"/>
      <c r="B53" s="639" t="s">
        <v>217</v>
      </c>
      <c r="C53" s="640"/>
      <c r="D53" s="289"/>
      <c r="E53" s="323"/>
      <c r="F53" s="323"/>
      <c r="G53" s="323"/>
      <c r="H53" s="418">
        <v>40</v>
      </c>
      <c r="I53" s="323"/>
      <c r="J53" s="343">
        <f t="shared" si="0"/>
        <v>1424000</v>
      </c>
      <c r="K53" s="635"/>
      <c r="L53" s="636"/>
      <c r="M53" s="291">
        <f t="shared" si="1"/>
        <v>1424000</v>
      </c>
      <c r="N53" s="117"/>
      <c r="O53" s="69"/>
    </row>
    <row r="54" spans="1:15" s="15" customFormat="1" ht="24.95" customHeight="1">
      <c r="A54" s="70"/>
      <c r="B54" s="631" t="s">
        <v>86</v>
      </c>
      <c r="C54" s="643"/>
      <c r="D54" s="289"/>
      <c r="E54" s="345"/>
      <c r="F54" s="345"/>
      <c r="G54" s="345"/>
      <c r="H54" s="345"/>
      <c r="I54" s="345"/>
      <c r="J54" s="290">
        <f t="shared" si="0"/>
        <v>0</v>
      </c>
      <c r="K54" s="644"/>
      <c r="L54" s="645"/>
      <c r="M54" s="291">
        <f t="shared" si="1"/>
        <v>0</v>
      </c>
      <c r="N54" s="117"/>
      <c r="O54" s="69"/>
    </row>
    <row r="55" spans="1:15" s="15" customFormat="1" ht="24.95" customHeight="1">
      <c r="A55" s="70"/>
      <c r="B55" s="639" t="s">
        <v>87</v>
      </c>
      <c r="C55" s="640"/>
      <c r="D55" s="289"/>
      <c r="E55" s="345"/>
      <c r="F55" s="345"/>
      <c r="G55" s="345"/>
      <c r="H55" s="345"/>
      <c r="I55" s="345"/>
      <c r="J55" s="290">
        <f t="shared" si="0"/>
        <v>0</v>
      </c>
      <c r="K55" s="635"/>
      <c r="L55" s="636"/>
      <c r="M55" s="291">
        <f t="shared" si="1"/>
        <v>0</v>
      </c>
      <c r="N55" s="117"/>
      <c r="O55" s="69"/>
    </row>
    <row r="56" spans="1:15" s="15" customFormat="1" ht="22.5" customHeight="1">
      <c r="A56" s="70"/>
      <c r="B56" s="639" t="s">
        <v>88</v>
      </c>
      <c r="C56" s="640"/>
      <c r="D56" s="289"/>
      <c r="E56" s="323"/>
      <c r="F56" s="323"/>
      <c r="G56" s="323"/>
      <c r="H56" s="323"/>
      <c r="I56" s="323"/>
      <c r="J56" s="347">
        <f>+$D$35*D56+$E$35*E56+$F$35*F56+$G$35*G56+$H$35*H56+$I$35*I56</f>
        <v>0</v>
      </c>
      <c r="K56" s="633"/>
      <c r="L56" s="634"/>
      <c r="M56" s="291">
        <f>+$D$35*D56+$E$35*E56+$F$35*F56+$G$35*G56+$H$35*H56+$I$35*I56</f>
        <v>0</v>
      </c>
      <c r="N56" s="117"/>
      <c r="O56" s="69"/>
    </row>
    <row r="57" spans="1:15" s="15" customFormat="1" ht="22.5" customHeight="1">
      <c r="A57" s="70"/>
      <c r="B57" s="639" t="s">
        <v>89</v>
      </c>
      <c r="C57" s="640"/>
      <c r="D57" s="289"/>
      <c r="E57" s="323"/>
      <c r="F57" s="323"/>
      <c r="G57" s="323"/>
      <c r="H57" s="323"/>
      <c r="I57" s="323"/>
      <c r="J57" s="347">
        <f>+$D$35*D57+$E$35*E57+$F$35*F57+$G$35*G57+$H$35*H57+$I$35*I57</f>
        <v>0</v>
      </c>
      <c r="K57" s="635"/>
      <c r="L57" s="636"/>
      <c r="M57" s="291">
        <f>+$D$35*D57+$E$35*E57+$F$35*F57+$G$35*G57+$H$35*H57+$I$35*I57</f>
        <v>0</v>
      </c>
      <c r="N57" s="117"/>
      <c r="O57" s="69"/>
    </row>
    <row r="58" spans="1:15" s="15" customFormat="1" ht="22.5" customHeight="1">
      <c r="A58" s="70"/>
      <c r="B58" s="639" t="s">
        <v>90</v>
      </c>
      <c r="C58" s="640"/>
      <c r="D58" s="289"/>
      <c r="E58" s="323"/>
      <c r="F58" s="323"/>
      <c r="G58" s="323"/>
      <c r="H58" s="323"/>
      <c r="I58" s="323"/>
      <c r="J58" s="347">
        <f>+$D$35*D58+$E$35*E58+$F$35*F58+$G$35*G58+$H$35*H58+$I$35*I58</f>
        <v>0</v>
      </c>
      <c r="K58" s="635"/>
      <c r="L58" s="636"/>
      <c r="M58" s="291">
        <f>+$D$35*D58+$E$35*E58+$F$35*F58+$G$35*G58+$H$35*H58+$I$35*I58</f>
        <v>0</v>
      </c>
      <c r="N58" s="117"/>
      <c r="O58" s="69"/>
    </row>
    <row r="59" spans="1:15" s="15" customFormat="1" ht="22.5" customHeight="1">
      <c r="A59" s="70"/>
      <c r="B59" s="639" t="s">
        <v>91</v>
      </c>
      <c r="C59" s="640"/>
      <c r="D59" s="289"/>
      <c r="E59" s="345"/>
      <c r="F59" s="345"/>
      <c r="G59" s="345"/>
      <c r="H59" s="345"/>
      <c r="I59" s="345"/>
      <c r="J59" s="290">
        <f t="shared" si="0"/>
        <v>0</v>
      </c>
      <c r="K59" s="635"/>
      <c r="L59" s="636"/>
      <c r="M59" s="291">
        <f t="shared" si="1"/>
        <v>0</v>
      </c>
      <c r="N59" s="117"/>
      <c r="O59" s="69"/>
    </row>
    <row r="60" spans="1:15" s="15" customFormat="1" ht="22.5" customHeight="1">
      <c r="A60" s="70"/>
      <c r="B60" s="639" t="s">
        <v>92</v>
      </c>
      <c r="C60" s="640"/>
      <c r="D60" s="289"/>
      <c r="E60" s="345"/>
      <c r="F60" s="345"/>
      <c r="G60" s="345"/>
      <c r="H60" s="345"/>
      <c r="I60" s="345"/>
      <c r="J60" s="290">
        <f t="shared" si="0"/>
        <v>0</v>
      </c>
      <c r="K60" s="635"/>
      <c r="L60" s="636"/>
      <c r="M60" s="291">
        <f t="shared" si="1"/>
        <v>0</v>
      </c>
      <c r="N60" s="117"/>
      <c r="O60" s="69"/>
    </row>
    <row r="61" spans="1:15" s="150" customFormat="1" ht="22.5" customHeight="1">
      <c r="A61" s="151" t="s">
        <v>93</v>
      </c>
      <c r="B61" s="646" t="s">
        <v>94</v>
      </c>
      <c r="C61" s="647"/>
      <c r="D61" s="152"/>
      <c r="E61" s="154"/>
      <c r="F61" s="154"/>
      <c r="G61" s="154"/>
      <c r="H61" s="154"/>
      <c r="I61" s="154"/>
      <c r="J61" s="153">
        <f t="shared" si="0"/>
        <v>0</v>
      </c>
      <c r="K61" s="648" t="s">
        <v>250</v>
      </c>
      <c r="L61" s="649"/>
      <c r="M61" s="291">
        <f t="shared" si="1"/>
        <v>0</v>
      </c>
      <c r="N61" s="155"/>
      <c r="O61" s="149"/>
    </row>
    <row r="62" spans="1:15" s="15" customFormat="1" ht="22.5" customHeight="1">
      <c r="A62" s="70"/>
      <c r="B62" s="639" t="s">
        <v>95</v>
      </c>
      <c r="C62" s="640"/>
      <c r="D62" s="289"/>
      <c r="E62" s="345"/>
      <c r="F62" s="345"/>
      <c r="G62" s="345"/>
      <c r="H62" s="345"/>
      <c r="I62" s="345"/>
      <c r="J62" s="290">
        <f t="shared" si="0"/>
        <v>0</v>
      </c>
      <c r="K62" s="635"/>
      <c r="L62" s="636"/>
      <c r="M62" s="291">
        <f t="shared" si="1"/>
        <v>0</v>
      </c>
      <c r="N62" s="117"/>
      <c r="O62" s="69"/>
    </row>
    <row r="63" spans="1:15" s="15" customFormat="1" ht="22.5" customHeight="1">
      <c r="A63" s="70"/>
      <c r="B63" s="639" t="s">
        <v>96</v>
      </c>
      <c r="C63" s="640"/>
      <c r="D63" s="289"/>
      <c r="E63" s="345"/>
      <c r="F63" s="345"/>
      <c r="G63" s="345"/>
      <c r="H63" s="345"/>
      <c r="I63" s="345"/>
      <c r="J63" s="290">
        <f t="shared" si="0"/>
        <v>0</v>
      </c>
      <c r="K63" s="627"/>
      <c r="L63" s="628"/>
      <c r="M63" s="291">
        <f t="shared" si="1"/>
        <v>0</v>
      </c>
      <c r="N63" s="117"/>
      <c r="O63" s="69"/>
    </row>
    <row r="64" spans="1:15" s="15" customFormat="1" ht="22.5" customHeight="1">
      <c r="A64" s="70"/>
      <c r="B64" s="639" t="s">
        <v>98</v>
      </c>
      <c r="C64" s="640"/>
      <c r="D64" s="289"/>
      <c r="E64" s="345"/>
      <c r="F64" s="345"/>
      <c r="G64" s="345"/>
      <c r="H64" s="345"/>
      <c r="I64" s="345"/>
      <c r="J64" s="290">
        <f t="shared" si="0"/>
        <v>0</v>
      </c>
      <c r="K64" s="627"/>
      <c r="L64" s="628"/>
      <c r="M64" s="291">
        <f t="shared" si="1"/>
        <v>0</v>
      </c>
      <c r="N64" s="117"/>
      <c r="O64" s="69"/>
    </row>
    <row r="65" spans="1:15" s="15" customFormat="1" ht="22.5" customHeight="1">
      <c r="A65" s="70"/>
      <c r="B65" s="639" t="s">
        <v>100</v>
      </c>
      <c r="C65" s="640"/>
      <c r="D65" s="289"/>
      <c r="E65" s="345"/>
      <c r="F65" s="345"/>
      <c r="G65" s="345"/>
      <c r="H65" s="345"/>
      <c r="I65" s="345"/>
      <c r="J65" s="290">
        <f t="shared" si="0"/>
        <v>0</v>
      </c>
      <c r="K65" s="650"/>
      <c r="L65" s="634"/>
      <c r="M65" s="291">
        <f t="shared" si="1"/>
        <v>0</v>
      </c>
      <c r="N65" s="117"/>
      <c r="O65" s="69"/>
    </row>
    <row r="66" spans="1:15" s="150" customFormat="1" ht="22.5" customHeight="1">
      <c r="A66" s="151" t="s">
        <v>101</v>
      </c>
      <c r="B66" s="646" t="s">
        <v>102</v>
      </c>
      <c r="C66" s="647"/>
      <c r="D66" s="152"/>
      <c r="E66" s="154"/>
      <c r="F66" s="154"/>
      <c r="G66" s="154"/>
      <c r="H66" s="154"/>
      <c r="I66" s="154"/>
      <c r="J66" s="153">
        <f t="shared" si="0"/>
        <v>0</v>
      </c>
      <c r="K66" s="648" t="s">
        <v>250</v>
      </c>
      <c r="L66" s="649"/>
      <c r="M66" s="291">
        <f t="shared" si="1"/>
        <v>0</v>
      </c>
      <c r="N66" s="155"/>
      <c r="O66" s="149"/>
    </row>
    <row r="67" spans="1:15" s="150" customFormat="1" ht="22.5" customHeight="1">
      <c r="A67" s="151" t="s">
        <v>103</v>
      </c>
      <c r="B67" s="646" t="s">
        <v>104</v>
      </c>
      <c r="C67" s="647"/>
      <c r="D67" s="152"/>
      <c r="E67" s="154"/>
      <c r="F67" s="154"/>
      <c r="G67" s="154"/>
      <c r="H67" s="154"/>
      <c r="I67" s="154"/>
      <c r="J67" s="153">
        <f t="shared" si="0"/>
        <v>0</v>
      </c>
      <c r="K67" s="648" t="s">
        <v>250</v>
      </c>
      <c r="L67" s="649"/>
      <c r="M67" s="291">
        <f t="shared" si="1"/>
        <v>0</v>
      </c>
      <c r="N67" s="155"/>
      <c r="O67" s="149"/>
    </row>
    <row r="68" spans="1:15" s="150" customFormat="1" ht="22.5" customHeight="1">
      <c r="A68" s="151" t="s">
        <v>105</v>
      </c>
      <c r="B68" s="646" t="s">
        <v>106</v>
      </c>
      <c r="C68" s="647"/>
      <c r="D68" s="152"/>
      <c r="E68" s="154"/>
      <c r="F68" s="154"/>
      <c r="G68" s="154"/>
      <c r="H68" s="154"/>
      <c r="I68" s="154"/>
      <c r="J68" s="153">
        <f t="shared" si="0"/>
        <v>0</v>
      </c>
      <c r="K68" s="648" t="s">
        <v>250</v>
      </c>
      <c r="L68" s="649"/>
      <c r="M68" s="291">
        <f t="shared" si="1"/>
        <v>0</v>
      </c>
      <c r="N68" s="155"/>
      <c r="O68" s="149"/>
    </row>
    <row r="69" spans="1:15" s="15" customFormat="1" ht="22.5" customHeight="1">
      <c r="A69" s="70"/>
      <c r="B69" s="639" t="s">
        <v>109</v>
      </c>
      <c r="C69" s="640"/>
      <c r="D69" s="73"/>
      <c r="E69" s="345"/>
      <c r="F69" s="345"/>
      <c r="G69" s="345"/>
      <c r="H69" s="345"/>
      <c r="I69" s="345"/>
      <c r="J69" s="290">
        <f t="shared" si="0"/>
        <v>0</v>
      </c>
      <c r="K69" s="635"/>
      <c r="L69" s="636"/>
      <c r="M69" s="291">
        <f t="shared" si="1"/>
        <v>0</v>
      </c>
      <c r="N69" s="116"/>
      <c r="O69" s="69"/>
    </row>
    <row r="70" spans="1:15" s="15" customFormat="1" ht="22.5" customHeight="1">
      <c r="A70" s="70"/>
      <c r="B70" s="639" t="s">
        <v>110</v>
      </c>
      <c r="C70" s="640"/>
      <c r="D70" s="74"/>
      <c r="E70" s="345"/>
      <c r="F70" s="345"/>
      <c r="G70" s="345"/>
      <c r="H70" s="345"/>
      <c r="I70" s="345"/>
      <c r="J70" s="290">
        <f t="shared" si="0"/>
        <v>0</v>
      </c>
      <c r="K70" s="627"/>
      <c r="L70" s="628"/>
      <c r="M70" s="291">
        <f t="shared" si="1"/>
        <v>0</v>
      </c>
      <c r="N70" s="68"/>
      <c r="O70" s="69"/>
    </row>
    <row r="71" spans="1:15" s="15" customFormat="1" ht="22.5" customHeight="1">
      <c r="A71" s="70"/>
      <c r="B71" s="639" t="s">
        <v>111</v>
      </c>
      <c r="C71" s="640"/>
      <c r="D71" s="74"/>
      <c r="E71" s="345"/>
      <c r="F71" s="345"/>
      <c r="G71" s="345"/>
      <c r="H71" s="345"/>
      <c r="I71" s="345"/>
      <c r="J71" s="290">
        <f t="shared" si="0"/>
        <v>0</v>
      </c>
      <c r="K71" s="635"/>
      <c r="L71" s="636"/>
      <c r="M71" s="291">
        <f t="shared" si="1"/>
        <v>0</v>
      </c>
      <c r="N71" s="68"/>
      <c r="O71" s="69"/>
    </row>
    <row r="72" spans="1:15" s="150" customFormat="1" ht="22.5" customHeight="1" thickBot="1">
      <c r="A72" s="156" t="s">
        <v>107</v>
      </c>
      <c r="B72" s="665" t="s">
        <v>108</v>
      </c>
      <c r="C72" s="666"/>
      <c r="D72" s="157"/>
      <c r="E72" s="158"/>
      <c r="F72" s="158"/>
      <c r="G72" s="158"/>
      <c r="H72" s="158"/>
      <c r="I72" s="158"/>
      <c r="J72" s="153">
        <f t="shared" si="0"/>
        <v>0</v>
      </c>
      <c r="K72" s="648" t="s">
        <v>250</v>
      </c>
      <c r="L72" s="649"/>
      <c r="M72" s="291">
        <f t="shared" si="1"/>
        <v>0</v>
      </c>
      <c r="N72" s="148"/>
      <c r="O72" s="149"/>
    </row>
    <row r="73" spans="1:15" ht="22.5" customHeight="1">
      <c r="A73" s="77"/>
      <c r="B73" s="78" t="s">
        <v>40</v>
      </c>
      <c r="C73" s="79" t="s">
        <v>42</v>
      </c>
      <c r="D73" s="80">
        <f t="shared" ref="D73:I73" si="2">D33+D38+D61+D66+D67+D68+D72</f>
        <v>0</v>
      </c>
      <c r="E73" s="80">
        <f t="shared" si="2"/>
        <v>0</v>
      </c>
      <c r="F73" s="80">
        <f t="shared" si="2"/>
        <v>0</v>
      </c>
      <c r="G73" s="80">
        <f t="shared" si="2"/>
        <v>0</v>
      </c>
      <c r="H73" s="80">
        <f t="shared" si="2"/>
        <v>320</v>
      </c>
      <c r="I73" s="80">
        <f t="shared" si="2"/>
        <v>0</v>
      </c>
      <c r="J73" s="81">
        <f>SUM(D73:I73)</f>
        <v>320</v>
      </c>
      <c r="K73" s="651" t="s">
        <v>43</v>
      </c>
      <c r="L73" s="652"/>
      <c r="M73" s="82"/>
      <c r="N73" s="83"/>
      <c r="O73" s="84"/>
    </row>
    <row r="74" spans="1:15" ht="22.5" customHeight="1" thickBot="1">
      <c r="A74" s="85"/>
      <c r="B74" s="86"/>
      <c r="C74" s="87" t="s">
        <v>44</v>
      </c>
      <c r="D74" s="118">
        <f t="shared" ref="D74:I74" si="3">D73*D32</f>
        <v>0</v>
      </c>
      <c r="E74" s="118">
        <f t="shared" si="3"/>
        <v>0</v>
      </c>
      <c r="F74" s="118">
        <f t="shared" si="3"/>
        <v>0</v>
      </c>
      <c r="G74" s="118">
        <f t="shared" si="3"/>
        <v>0</v>
      </c>
      <c r="H74" s="118">
        <f t="shared" si="3"/>
        <v>11392000</v>
      </c>
      <c r="I74" s="118">
        <f t="shared" si="3"/>
        <v>0</v>
      </c>
      <c r="J74" s="341">
        <f>+D32*D73+E32*E73+F32*F73+G32*G73+H32*H73+I32*I73</f>
        <v>11392000</v>
      </c>
      <c r="K74" s="653" t="s">
        <v>45</v>
      </c>
      <c r="L74" s="654"/>
      <c r="M74" s="88"/>
      <c r="N74" s="5"/>
      <c r="O74" s="84"/>
    </row>
    <row r="75" spans="1:15" ht="18.95" customHeight="1">
      <c r="A75" s="89"/>
      <c r="B75" s="90"/>
      <c r="C75" s="90"/>
      <c r="D75" s="90"/>
      <c r="E75" s="91"/>
      <c r="F75" s="91"/>
      <c r="G75" s="91"/>
      <c r="H75" s="91"/>
      <c r="I75" s="91"/>
      <c r="J75" s="91"/>
      <c r="K75" s="91"/>
      <c r="L75" s="91"/>
      <c r="M75" s="88"/>
      <c r="N75" s="5"/>
      <c r="O75" s="92"/>
    </row>
    <row r="76" spans="1:15" ht="22.5" customHeight="1" thickBot="1">
      <c r="A76" s="93" t="s">
        <v>54</v>
      </c>
      <c r="B76" s="94"/>
      <c r="C76" s="94"/>
      <c r="D76" s="94"/>
      <c r="E76" s="95"/>
      <c r="F76" s="95"/>
      <c r="G76" s="95"/>
      <c r="H76" s="95"/>
      <c r="I76" s="95"/>
      <c r="J76" s="95"/>
      <c r="K76" s="95"/>
      <c r="L76" s="95"/>
      <c r="M76" s="5"/>
      <c r="N76" s="5"/>
    </row>
    <row r="77" spans="1:15" ht="22.5" customHeight="1" thickBot="1">
      <c r="A77" s="655" t="s">
        <v>46</v>
      </c>
      <c r="B77" s="656"/>
      <c r="C77" s="657"/>
      <c r="D77" s="17" t="s">
        <v>47</v>
      </c>
      <c r="E77" s="96" t="s">
        <v>48</v>
      </c>
      <c r="F77" s="17" t="s">
        <v>49</v>
      </c>
      <c r="G77" s="658" t="s">
        <v>13</v>
      </c>
      <c r="H77" s="657"/>
      <c r="I77" s="658" t="s">
        <v>14</v>
      </c>
      <c r="J77" s="656"/>
      <c r="K77" s="656"/>
      <c r="L77" s="659"/>
    </row>
    <row r="78" spans="1:15" ht="22.5" customHeight="1" thickTop="1">
      <c r="A78" s="67" t="s">
        <v>65</v>
      </c>
      <c r="B78" s="97" t="s">
        <v>112</v>
      </c>
      <c r="C78" s="98"/>
      <c r="D78" s="99" t="s">
        <v>183</v>
      </c>
      <c r="E78" s="100">
        <v>1</v>
      </c>
      <c r="F78" s="119"/>
      <c r="G78" s="660">
        <f>+E78*F78</f>
        <v>0</v>
      </c>
      <c r="H78" s="661"/>
      <c r="I78" s="662" t="s">
        <v>250</v>
      </c>
      <c r="J78" s="663"/>
      <c r="K78" s="663"/>
      <c r="L78" s="664"/>
    </row>
    <row r="79" spans="1:15" ht="22.5" customHeight="1">
      <c r="A79" s="139"/>
      <c r="B79" s="140" t="s">
        <v>180</v>
      </c>
      <c r="C79" s="141"/>
      <c r="D79" s="142" t="s">
        <v>179</v>
      </c>
      <c r="E79" s="450">
        <v>3</v>
      </c>
      <c r="F79" s="143"/>
      <c r="G79" s="667">
        <f>+E79*F79</f>
        <v>0</v>
      </c>
      <c r="H79" s="668"/>
      <c r="I79" s="669"/>
      <c r="J79" s="670"/>
      <c r="K79" s="670"/>
      <c r="L79" s="671"/>
    </row>
    <row r="80" spans="1:15" ht="22.5" customHeight="1">
      <c r="A80" s="139"/>
      <c r="B80" s="140" t="s">
        <v>113</v>
      </c>
      <c r="C80" s="141"/>
      <c r="D80" s="321" t="s">
        <v>179</v>
      </c>
      <c r="E80" s="451">
        <v>36</v>
      </c>
      <c r="F80" s="143"/>
      <c r="G80" s="667">
        <f>+E80*F80</f>
        <v>0</v>
      </c>
      <c r="H80" s="668"/>
      <c r="I80" s="669"/>
      <c r="J80" s="670"/>
      <c r="K80" s="670"/>
      <c r="L80" s="671"/>
    </row>
    <row r="81" spans="1:15" ht="22.5" customHeight="1">
      <c r="A81" s="70" t="s">
        <v>68</v>
      </c>
      <c r="B81" s="101" t="s">
        <v>114</v>
      </c>
      <c r="C81" s="102"/>
      <c r="D81" s="142" t="s">
        <v>183</v>
      </c>
      <c r="E81" s="320">
        <v>1</v>
      </c>
      <c r="F81" s="103"/>
      <c r="G81" s="679">
        <v>0</v>
      </c>
      <c r="H81" s="680"/>
      <c r="I81" s="669" t="s">
        <v>249</v>
      </c>
      <c r="J81" s="670"/>
      <c r="K81" s="670"/>
      <c r="L81" s="671"/>
    </row>
    <row r="82" spans="1:15" ht="22.5" customHeight="1">
      <c r="A82" s="160"/>
      <c r="B82" s="161" t="s">
        <v>115</v>
      </c>
      <c r="C82" s="162"/>
      <c r="D82" s="163" t="s">
        <v>183</v>
      </c>
      <c r="E82" s="164">
        <v>1</v>
      </c>
      <c r="F82" s="165"/>
      <c r="G82" s="667">
        <v>0</v>
      </c>
      <c r="H82" s="668"/>
      <c r="I82" s="669"/>
      <c r="J82" s="670"/>
      <c r="K82" s="670"/>
      <c r="L82" s="671"/>
    </row>
    <row r="83" spans="1:15" ht="22.5" customHeight="1" thickBot="1">
      <c r="A83" s="75"/>
      <c r="B83" s="334" t="s">
        <v>116</v>
      </c>
      <c r="C83" s="335"/>
      <c r="D83" s="104" t="s">
        <v>183</v>
      </c>
      <c r="E83" s="76">
        <v>1</v>
      </c>
      <c r="F83" s="105"/>
      <c r="G83" s="672">
        <v>0</v>
      </c>
      <c r="H83" s="673"/>
      <c r="I83" s="674"/>
      <c r="J83" s="675"/>
      <c r="K83" s="675"/>
      <c r="L83" s="676"/>
    </row>
    <row r="84" spans="1:15" ht="22.5" customHeight="1" thickBot="1">
      <c r="A84" s="106"/>
      <c r="B84" s="95" t="s">
        <v>40</v>
      </c>
      <c r="C84" s="107"/>
      <c r="D84" s="108"/>
      <c r="E84" s="109"/>
      <c r="F84" s="110"/>
      <c r="G84" s="677">
        <f>G78+G81</f>
        <v>0</v>
      </c>
      <c r="H84" s="678"/>
      <c r="I84" s="111"/>
      <c r="J84" s="111"/>
      <c r="K84" s="111"/>
      <c r="L84" s="112"/>
      <c r="O84" s="84"/>
    </row>
    <row r="85" spans="1:15" ht="22.5" customHeight="1"/>
  </sheetData>
  <mergeCells count="140">
    <mergeCell ref="B45:C45"/>
    <mergeCell ref="K45:L45"/>
    <mergeCell ref="B56:C56"/>
    <mergeCell ref="K56:L56"/>
    <mergeCell ref="B57:C57"/>
    <mergeCell ref="K57:L57"/>
    <mergeCell ref="B58:C58"/>
    <mergeCell ref="K58:L58"/>
    <mergeCell ref="G84:H84"/>
    <mergeCell ref="G81:H81"/>
    <mergeCell ref="I81:L81"/>
    <mergeCell ref="G82:H82"/>
    <mergeCell ref="I82:L82"/>
    <mergeCell ref="G83:H83"/>
    <mergeCell ref="I83:L83"/>
    <mergeCell ref="G78:H78"/>
    <mergeCell ref="I78:L78"/>
    <mergeCell ref="G79:H79"/>
    <mergeCell ref="I79:L79"/>
    <mergeCell ref="G80:H80"/>
    <mergeCell ref="I80:L80"/>
    <mergeCell ref="B72:C72"/>
    <mergeCell ref="K72:L72"/>
    <mergeCell ref="K73:L73"/>
    <mergeCell ref="K74:L74"/>
    <mergeCell ref="A77:C77"/>
    <mergeCell ref="G77:H77"/>
    <mergeCell ref="I77:L77"/>
    <mergeCell ref="B69:C69"/>
    <mergeCell ref="K69:L69"/>
    <mergeCell ref="B70:C70"/>
    <mergeCell ref="K70:L70"/>
    <mergeCell ref="B71:C71"/>
    <mergeCell ref="K71:L71"/>
    <mergeCell ref="B67:C67"/>
    <mergeCell ref="K67:L67"/>
    <mergeCell ref="B68:C68"/>
    <mergeCell ref="K68:L68"/>
    <mergeCell ref="B65:C65"/>
    <mergeCell ref="K65:L65"/>
    <mergeCell ref="B66:C66"/>
    <mergeCell ref="K66:L66"/>
    <mergeCell ref="B62:C62"/>
    <mergeCell ref="K62:L62"/>
    <mergeCell ref="B63:C63"/>
    <mergeCell ref="K63:L63"/>
    <mergeCell ref="B64:C64"/>
    <mergeCell ref="K64:L64"/>
    <mergeCell ref="B59:C59"/>
    <mergeCell ref="K59:L59"/>
    <mergeCell ref="B60:C60"/>
    <mergeCell ref="K60:L60"/>
    <mergeCell ref="B61:C61"/>
    <mergeCell ref="K61:L61"/>
    <mergeCell ref="B53:C53"/>
    <mergeCell ref="K53:L53"/>
    <mergeCell ref="B54:C54"/>
    <mergeCell ref="K54:L54"/>
    <mergeCell ref="B55:C55"/>
    <mergeCell ref="K55:L55"/>
    <mergeCell ref="B47:C47"/>
    <mergeCell ref="K47:L47"/>
    <mergeCell ref="B48:C48"/>
    <mergeCell ref="K48:L48"/>
    <mergeCell ref="B52:C52"/>
    <mergeCell ref="K52:L52"/>
    <mergeCell ref="B46:C46"/>
    <mergeCell ref="K46:L46"/>
    <mergeCell ref="B49:C49"/>
    <mergeCell ref="K49:L49"/>
    <mergeCell ref="B50:C50"/>
    <mergeCell ref="K50:L50"/>
    <mergeCell ref="B51:C51"/>
    <mergeCell ref="K51:L51"/>
    <mergeCell ref="O39:Q39"/>
    <mergeCell ref="B37:C37"/>
    <mergeCell ref="K37:L37"/>
    <mergeCell ref="B44:C44"/>
    <mergeCell ref="K44:L44"/>
    <mergeCell ref="B36:C36"/>
    <mergeCell ref="K36:L36"/>
    <mergeCell ref="B38:C38"/>
    <mergeCell ref="K38:L38"/>
    <mergeCell ref="B41:C41"/>
    <mergeCell ref="K41:L41"/>
    <mergeCell ref="B42:C42"/>
    <mergeCell ref="K42:L42"/>
    <mergeCell ref="B43:C43"/>
    <mergeCell ref="K43:L43"/>
    <mergeCell ref="B40:C40"/>
    <mergeCell ref="K40:L40"/>
    <mergeCell ref="B39:C39"/>
    <mergeCell ref="K39:L39"/>
    <mergeCell ref="O34:P34"/>
    <mergeCell ref="B35:C35"/>
    <mergeCell ref="K35:L35"/>
    <mergeCell ref="A31:C32"/>
    <mergeCell ref="K31:L32"/>
    <mergeCell ref="B33:C33"/>
    <mergeCell ref="K33:L33"/>
    <mergeCell ref="B34:C34"/>
    <mergeCell ref="K34:L34"/>
    <mergeCell ref="E26:F26"/>
    <mergeCell ref="M26:N26"/>
    <mergeCell ref="E27:F27"/>
    <mergeCell ref="M27:N27"/>
    <mergeCell ref="E28:F28"/>
    <mergeCell ref="M28:N28"/>
    <mergeCell ref="A29:L29"/>
    <mergeCell ref="E25:F25"/>
    <mergeCell ref="M25:N25"/>
    <mergeCell ref="E22:F22"/>
    <mergeCell ref="M22:N22"/>
    <mergeCell ref="E23:F23"/>
    <mergeCell ref="M23:N23"/>
    <mergeCell ref="E24:F24"/>
    <mergeCell ref="M24:N24"/>
    <mergeCell ref="I18:L18"/>
    <mergeCell ref="M20:N20"/>
    <mergeCell ref="E21:F21"/>
    <mergeCell ref="M21:N21"/>
    <mergeCell ref="A1:L1"/>
    <mergeCell ref="A3:C4"/>
    <mergeCell ref="J3:K3"/>
    <mergeCell ref="J4:K4"/>
    <mergeCell ref="J5:K5"/>
    <mergeCell ref="E6:F6"/>
    <mergeCell ref="J6:K6"/>
    <mergeCell ref="A20:D20"/>
    <mergeCell ref="E20:F20"/>
    <mergeCell ref="G20:L20"/>
    <mergeCell ref="J7:K8"/>
    <mergeCell ref="C8:G8"/>
    <mergeCell ref="A9:B9"/>
    <mergeCell ref="A10:B10"/>
    <mergeCell ref="B13:G16"/>
    <mergeCell ref="I13:L13"/>
    <mergeCell ref="I14:L14"/>
    <mergeCell ref="I15:L15"/>
    <mergeCell ref="I16:L16"/>
  </mergeCells>
  <phoneticPr fontId="4"/>
  <printOptions horizontalCentered="1"/>
  <pageMargins left="0.39370078740157483" right="0.39370078740157483" top="0.39370078740157483" bottom="0.39370078740157483" header="0.39370078740157483" footer="0.39370078740157483"/>
  <pageSetup paperSize="9" scale="62" orientation="portrait" r:id="rId1"/>
  <headerFooter>
    <oddFooter>&amp;R&amp;"BIZ UDPゴシック,標準"&amp;8株式会社プレック研究所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503C-4494-48DC-84AB-963528E3118E}">
  <sheetPr codeName="Sheet9">
    <tabColor theme="5" tint="0.59999389629810485"/>
    <pageSetUpPr fitToPage="1"/>
  </sheetPr>
  <dimension ref="A1:X93"/>
  <sheetViews>
    <sheetView view="pageBreakPreview" topLeftCell="A55" zoomScale="85" zoomScaleNormal="100" zoomScaleSheetLayoutView="85" workbookViewId="0">
      <selection activeCell="J44" sqref="J44"/>
    </sheetView>
  </sheetViews>
  <sheetFormatPr defaultColWidth="8.25" defaultRowHeight="12"/>
  <cols>
    <col min="1" max="1" width="3" style="3" customWidth="1"/>
    <col min="2" max="2" width="10.5" style="4" customWidth="1"/>
    <col min="3" max="3" width="27" style="4" customWidth="1"/>
    <col min="4" max="9" width="8.125" style="5" customWidth="1"/>
    <col min="10" max="10" width="12.25" style="5" customWidth="1"/>
    <col min="11" max="11" width="2.875" style="5" customWidth="1"/>
    <col min="12" max="12" width="22" style="5" customWidth="1"/>
    <col min="13" max="13" width="13.375" style="1" customWidth="1"/>
    <col min="14" max="14" width="13.375" style="1" bestFit="1" customWidth="1"/>
    <col min="15" max="15" width="16.5" style="2" bestFit="1" customWidth="1"/>
    <col min="16" max="21" width="8.25" style="5"/>
    <col min="22" max="22" width="11.375" style="5" bestFit="1" customWidth="1"/>
    <col min="23" max="23" width="10.375" style="5" bestFit="1" customWidth="1"/>
    <col min="24" max="16384" width="8.25" style="5"/>
  </cols>
  <sheetData>
    <row r="1" spans="1:18" s="1" customFormat="1" ht="84" customHeight="1">
      <c r="A1" s="556" t="s">
        <v>0</v>
      </c>
      <c r="B1" s="556"/>
      <c r="C1" s="556"/>
      <c r="D1" s="556"/>
      <c r="E1" s="556"/>
      <c r="F1" s="556"/>
      <c r="G1" s="556"/>
      <c r="H1" s="556"/>
      <c r="I1" s="556"/>
      <c r="J1" s="556"/>
      <c r="K1" s="556"/>
      <c r="L1" s="556"/>
      <c r="O1" s="2"/>
    </row>
    <row r="2" spans="1:18" s="1" customFormat="1" ht="20.100000000000001" customHeight="1">
      <c r="A2" s="3"/>
      <c r="B2" s="4"/>
      <c r="C2" s="4"/>
      <c r="D2" s="5"/>
      <c r="E2" s="5"/>
      <c r="F2" s="5"/>
      <c r="G2" s="5"/>
      <c r="H2" s="5"/>
      <c r="I2" s="5"/>
      <c r="J2" s="5"/>
      <c r="K2" s="5"/>
      <c r="L2" s="136">
        <v>45321</v>
      </c>
      <c r="O2" s="2"/>
    </row>
    <row r="3" spans="1:18" s="1" customFormat="1" ht="20.100000000000001" customHeight="1">
      <c r="A3" s="557" t="s">
        <v>62</v>
      </c>
      <c r="B3" s="557"/>
      <c r="C3" s="557"/>
      <c r="D3" s="125"/>
      <c r="E3" s="6"/>
      <c r="F3" s="5"/>
      <c r="G3" s="5"/>
      <c r="H3" s="5"/>
      <c r="I3" s="5"/>
      <c r="J3" s="559" t="s">
        <v>1</v>
      </c>
      <c r="K3" s="559"/>
      <c r="L3" s="7" t="s">
        <v>50</v>
      </c>
      <c r="O3" s="2"/>
    </row>
    <row r="4" spans="1:18" s="1" customFormat="1" ht="20.100000000000001" customHeight="1">
      <c r="A4" s="558"/>
      <c r="B4" s="558"/>
      <c r="C4" s="558"/>
      <c r="D4" s="134"/>
      <c r="E4" s="134"/>
      <c r="F4" s="134"/>
      <c r="G4" s="5"/>
      <c r="H4" s="5"/>
      <c r="I4" s="5"/>
      <c r="J4" s="560" t="s">
        <v>57</v>
      </c>
      <c r="K4" s="561"/>
      <c r="L4" s="138">
        <v>45747</v>
      </c>
      <c r="O4" s="2"/>
    </row>
    <row r="5" spans="1:18" s="1" customFormat="1" ht="20.100000000000001" customHeight="1">
      <c r="A5" s="3"/>
      <c r="B5" s="8"/>
      <c r="C5" s="130"/>
      <c r="D5" s="130"/>
      <c r="E5" s="6"/>
      <c r="F5" s="5"/>
      <c r="G5" s="5"/>
      <c r="H5" s="5"/>
      <c r="I5" s="5"/>
      <c r="J5" s="554" t="s">
        <v>58</v>
      </c>
      <c r="K5" s="555"/>
      <c r="L5" s="11" t="s">
        <v>4</v>
      </c>
      <c r="O5" s="2"/>
    </row>
    <row r="6" spans="1:18" s="1" customFormat="1" ht="20.100000000000001" customHeight="1">
      <c r="A6" s="131" t="s">
        <v>52</v>
      </c>
      <c r="B6" s="131"/>
      <c r="C6" s="409">
        <f>+E31</f>
        <v>23320000.000000004</v>
      </c>
      <c r="D6" s="9" t="s">
        <v>2</v>
      </c>
      <c r="E6" s="553">
        <f>+E29*0.1</f>
        <v>2120000</v>
      </c>
      <c r="F6" s="553"/>
      <c r="G6" s="10" t="s">
        <v>3</v>
      </c>
      <c r="H6" s="135"/>
      <c r="I6" s="5"/>
      <c r="J6" s="554" t="s">
        <v>59</v>
      </c>
      <c r="K6" s="555"/>
      <c r="L6" s="11" t="s">
        <v>5</v>
      </c>
      <c r="O6" s="2"/>
      <c r="Q6" s="3"/>
      <c r="R6" s="121"/>
    </row>
    <row r="7" spans="1:18" s="1" customFormat="1" ht="20.100000000000001" customHeight="1">
      <c r="A7" s="132"/>
      <c r="B7" s="133"/>
      <c r="C7" s="124"/>
      <c r="D7" s="124"/>
      <c r="E7" s="124"/>
      <c r="F7" s="124"/>
      <c r="G7" s="124"/>
      <c r="H7" s="124"/>
      <c r="I7" s="5"/>
      <c r="J7" s="554" t="s">
        <v>60</v>
      </c>
      <c r="K7" s="555"/>
      <c r="L7" s="11" t="s">
        <v>63</v>
      </c>
      <c r="O7" s="2"/>
      <c r="Q7" s="3"/>
      <c r="R7" s="121"/>
    </row>
    <row r="8" spans="1:18" s="1" customFormat="1" ht="20.100000000000001" customHeight="1">
      <c r="A8" s="131" t="s">
        <v>6</v>
      </c>
      <c r="B8" s="131"/>
      <c r="C8" s="567" t="s">
        <v>61</v>
      </c>
      <c r="D8" s="567"/>
      <c r="E8" s="567"/>
      <c r="F8" s="567"/>
      <c r="G8" s="567"/>
      <c r="H8" s="124"/>
      <c r="I8" s="5"/>
      <c r="J8" s="566"/>
      <c r="K8" s="559"/>
      <c r="L8" s="12" t="s">
        <v>64</v>
      </c>
      <c r="O8" s="2"/>
      <c r="Q8" s="3"/>
      <c r="R8" s="7"/>
    </row>
    <row r="9" spans="1:18" s="1" customFormat="1" ht="20.100000000000001" customHeight="1">
      <c r="A9" s="568"/>
      <c r="B9" s="568"/>
      <c r="C9" s="124"/>
      <c r="D9" s="124"/>
      <c r="E9" s="124"/>
      <c r="F9" s="124"/>
      <c r="G9" s="124"/>
      <c r="H9" s="124"/>
      <c r="I9" s="5"/>
      <c r="J9" s="128"/>
      <c r="K9" s="128"/>
      <c r="L9" s="129"/>
      <c r="O9" s="2"/>
      <c r="Q9" s="3"/>
      <c r="R9" s="7"/>
    </row>
    <row r="10" spans="1:18" s="1" customFormat="1" ht="18" customHeight="1">
      <c r="A10" s="569"/>
      <c r="B10" s="569"/>
      <c r="C10" s="124"/>
      <c r="D10" s="126"/>
      <c r="E10" s="126"/>
      <c r="F10" s="126"/>
      <c r="G10" s="126"/>
      <c r="H10" s="127"/>
      <c r="I10" s="5"/>
      <c r="J10" s="5"/>
      <c r="K10" s="5"/>
      <c r="L10" s="5"/>
      <c r="O10" s="2"/>
      <c r="Q10" s="3"/>
      <c r="R10" s="7"/>
    </row>
    <row r="11" spans="1:18" s="1" customFormat="1" ht="18" customHeight="1">
      <c r="A11" s="3"/>
      <c r="B11" s="15" t="s">
        <v>7</v>
      </c>
      <c r="C11" s="4"/>
      <c r="D11" s="5"/>
      <c r="E11" s="5"/>
      <c r="F11" s="5"/>
      <c r="G11" s="5"/>
      <c r="H11" s="5"/>
      <c r="I11" s="5"/>
      <c r="J11" s="5"/>
      <c r="K11" s="5"/>
      <c r="L11" s="5"/>
      <c r="O11" s="2"/>
    </row>
    <row r="12" spans="1:18" s="1" customFormat="1" ht="18" customHeight="1">
      <c r="A12" s="3"/>
      <c r="B12" s="15" t="s">
        <v>8</v>
      </c>
      <c r="C12" s="4"/>
      <c r="D12" s="5"/>
      <c r="E12" s="5"/>
      <c r="F12" s="5"/>
      <c r="G12" s="5"/>
      <c r="H12" s="5"/>
      <c r="I12" s="5"/>
      <c r="J12" s="5"/>
      <c r="K12" s="5"/>
      <c r="L12" s="5"/>
      <c r="O12" s="2"/>
    </row>
    <row r="13" spans="1:18" s="1" customFormat="1" ht="18" customHeight="1">
      <c r="A13" s="3"/>
      <c r="B13" s="570" t="s">
        <v>51</v>
      </c>
      <c r="C13" s="571"/>
      <c r="D13" s="571"/>
      <c r="E13" s="571"/>
      <c r="F13" s="571"/>
      <c r="G13" s="572"/>
      <c r="H13" s="5"/>
      <c r="I13" s="579" t="s">
        <v>56</v>
      </c>
      <c r="J13" s="579"/>
      <c r="K13" s="579"/>
      <c r="L13" s="579"/>
      <c r="O13" s="2"/>
    </row>
    <row r="14" spans="1:18" s="1" customFormat="1" ht="18" customHeight="1">
      <c r="A14" s="13"/>
      <c r="B14" s="573"/>
      <c r="C14" s="574"/>
      <c r="D14" s="574"/>
      <c r="E14" s="574"/>
      <c r="F14" s="574"/>
      <c r="G14" s="575"/>
      <c r="H14" s="5"/>
      <c r="I14" s="579" t="s">
        <v>9</v>
      </c>
      <c r="J14" s="579"/>
      <c r="K14" s="579"/>
      <c r="L14" s="579"/>
      <c r="O14" s="2"/>
    </row>
    <row r="15" spans="1:18" s="1" customFormat="1" ht="18" customHeight="1">
      <c r="A15" s="13"/>
      <c r="B15" s="573"/>
      <c r="C15" s="574"/>
      <c r="D15" s="574"/>
      <c r="E15" s="574"/>
      <c r="F15" s="574"/>
      <c r="G15" s="575"/>
      <c r="H15" s="5"/>
      <c r="I15" s="579" t="s">
        <v>55</v>
      </c>
      <c r="J15" s="579"/>
      <c r="K15" s="579"/>
      <c r="L15" s="579"/>
      <c r="O15" s="2"/>
    </row>
    <row r="16" spans="1:18" s="1" customFormat="1" ht="18" customHeight="1">
      <c r="A16" s="13"/>
      <c r="B16" s="576"/>
      <c r="C16" s="577"/>
      <c r="D16" s="577"/>
      <c r="E16" s="577"/>
      <c r="F16" s="577"/>
      <c r="G16" s="578"/>
      <c r="H16" s="5"/>
      <c r="I16" s="579" t="s">
        <v>10</v>
      </c>
      <c r="J16" s="579"/>
      <c r="K16" s="579"/>
      <c r="L16" s="579"/>
      <c r="O16" s="2"/>
    </row>
    <row r="17" spans="1:15" s="1" customFormat="1" ht="18" customHeight="1">
      <c r="A17" s="13"/>
      <c r="B17" s="123"/>
      <c r="C17" s="123"/>
      <c r="D17" s="123"/>
      <c r="E17" s="123"/>
      <c r="F17" s="123"/>
      <c r="G17" s="123"/>
      <c r="H17" s="5"/>
      <c r="I17" s="120"/>
      <c r="J17" s="120"/>
      <c r="K17" s="120"/>
      <c r="L17" s="120"/>
      <c r="O17" s="2"/>
    </row>
    <row r="18" spans="1:15" ht="18" customHeight="1">
      <c r="A18" s="13"/>
      <c r="B18" s="122"/>
      <c r="C18" s="122"/>
      <c r="D18" s="122"/>
      <c r="E18" s="122"/>
      <c r="F18" s="122"/>
      <c r="G18" s="122"/>
      <c r="I18" s="579"/>
      <c r="J18" s="579"/>
      <c r="K18" s="579"/>
      <c r="L18" s="579"/>
      <c r="O18" s="5"/>
    </row>
    <row r="19" spans="1:15" s="15" customFormat="1" ht="18.95" customHeight="1" thickBot="1">
      <c r="A19" s="13" t="s">
        <v>11</v>
      </c>
      <c r="B19" s="14"/>
      <c r="C19" s="14"/>
      <c r="D19" s="14"/>
      <c r="M19" s="16"/>
      <c r="N19" s="16"/>
    </row>
    <row r="20" spans="1:15" s="15" customFormat="1" ht="19.5" customHeight="1" thickBot="1">
      <c r="A20" s="580" t="s">
        <v>12</v>
      </c>
      <c r="B20" s="581"/>
      <c r="C20" s="581"/>
      <c r="D20" s="582"/>
      <c r="E20" s="583" t="s">
        <v>13</v>
      </c>
      <c r="F20" s="582"/>
      <c r="G20" s="583" t="s">
        <v>14</v>
      </c>
      <c r="H20" s="581"/>
      <c r="I20" s="581"/>
      <c r="J20" s="581"/>
      <c r="K20" s="581"/>
      <c r="L20" s="584"/>
      <c r="M20" s="587"/>
      <c r="N20" s="588"/>
    </row>
    <row r="21" spans="1:15" s="15" customFormat="1" ht="18.95" customHeight="1" thickTop="1">
      <c r="A21" s="18">
        <v>1</v>
      </c>
      <c r="B21" s="19" t="s">
        <v>15</v>
      </c>
      <c r="C21" s="19" t="s">
        <v>304</v>
      </c>
      <c r="D21" s="20"/>
      <c r="E21" s="585">
        <f>J82-J44-J69-J70-J71-J76</f>
        <v>5653600</v>
      </c>
      <c r="F21" s="586"/>
      <c r="G21" s="21" t="s">
        <v>16</v>
      </c>
      <c r="H21" s="22"/>
      <c r="I21" s="22"/>
      <c r="J21" s="22"/>
      <c r="K21" s="22"/>
      <c r="L21" s="23"/>
      <c r="M21" s="564"/>
      <c r="N21" s="565"/>
    </row>
    <row r="22" spans="1:15" s="15" customFormat="1" ht="18.95" customHeight="1">
      <c r="A22" s="139"/>
      <c r="B22" s="41" t="s">
        <v>15</v>
      </c>
      <c r="C22" s="41" t="s">
        <v>305</v>
      </c>
      <c r="D22" s="42"/>
      <c r="E22" s="562">
        <f>J44+J69+J70+J71+J76</f>
        <v>3283500</v>
      </c>
      <c r="F22" s="563"/>
      <c r="G22" s="43"/>
      <c r="H22" s="44"/>
      <c r="I22" s="44"/>
      <c r="J22" s="44"/>
      <c r="K22" s="44"/>
      <c r="L22" s="535"/>
      <c r="M22" s="410"/>
      <c r="N22" s="24"/>
    </row>
    <row r="23" spans="1:15" s="15" customFormat="1" ht="18.95" customHeight="1">
      <c r="A23" s="25">
        <v>2</v>
      </c>
      <c r="B23" s="26" t="s">
        <v>17</v>
      </c>
      <c r="C23" s="26"/>
      <c r="D23" s="27"/>
      <c r="E23" s="562">
        <f>G92</f>
        <v>35000</v>
      </c>
      <c r="F23" s="563"/>
      <c r="G23" s="28" t="s">
        <v>18</v>
      </c>
      <c r="H23" s="29"/>
      <c r="I23" s="29"/>
      <c r="J23" s="29"/>
      <c r="K23" s="29"/>
      <c r="L23" s="30"/>
      <c r="M23" s="564"/>
      <c r="N23" s="565"/>
      <c r="O23" s="1"/>
    </row>
    <row r="24" spans="1:15" s="15" customFormat="1" ht="18.95" customHeight="1">
      <c r="A24" s="25">
        <v>3</v>
      </c>
      <c r="B24" s="26" t="s">
        <v>19</v>
      </c>
      <c r="C24" s="26"/>
      <c r="D24" s="27"/>
      <c r="E24" s="562">
        <f>(+E21+E22)+E23</f>
        <v>8972100</v>
      </c>
      <c r="F24" s="563"/>
      <c r="G24" s="28" t="s">
        <v>20</v>
      </c>
      <c r="H24" s="29"/>
      <c r="I24" s="29"/>
      <c r="J24" s="29"/>
      <c r="K24" s="29"/>
      <c r="L24" s="31"/>
      <c r="M24" s="564"/>
      <c r="N24" s="565"/>
    </row>
    <row r="25" spans="1:15" s="15" customFormat="1" ht="18.95" customHeight="1">
      <c r="A25" s="25">
        <v>4</v>
      </c>
      <c r="B25" s="26" t="s">
        <v>21</v>
      </c>
      <c r="C25" s="26"/>
      <c r="D25" s="27"/>
      <c r="E25" s="562">
        <f>+ROUNDDOWN((E21+E22)*0.5385,0)</f>
        <v>4812628</v>
      </c>
      <c r="F25" s="563"/>
      <c r="G25" s="28" t="s">
        <v>22</v>
      </c>
      <c r="H25" s="29"/>
      <c r="I25" s="29"/>
      <c r="J25" s="32"/>
      <c r="K25" s="32"/>
      <c r="L25" s="30"/>
      <c r="M25" s="564"/>
      <c r="N25" s="565"/>
    </row>
    <row r="26" spans="1:15" s="15" customFormat="1" ht="18.95" customHeight="1">
      <c r="A26" s="25">
        <v>5</v>
      </c>
      <c r="B26" s="26" t="s">
        <v>23</v>
      </c>
      <c r="C26" s="26"/>
      <c r="D26" s="27"/>
      <c r="E26" s="562">
        <f>E24+E25</f>
        <v>13784728</v>
      </c>
      <c r="F26" s="563"/>
      <c r="G26" s="28" t="s">
        <v>24</v>
      </c>
      <c r="H26" s="29"/>
      <c r="I26" s="29"/>
      <c r="J26" s="32"/>
      <c r="K26" s="32"/>
      <c r="L26" s="31"/>
      <c r="M26" s="564"/>
      <c r="N26" s="565"/>
    </row>
    <row r="27" spans="1:15" s="15" customFormat="1" ht="18.95" customHeight="1">
      <c r="A27" s="33">
        <v>6</v>
      </c>
      <c r="B27" s="34" t="s">
        <v>25</v>
      </c>
      <c r="C27" s="34"/>
      <c r="D27" s="35"/>
      <c r="E27" s="589">
        <f>+ROUNDDOWN(E26*0.5385,0)</f>
        <v>7423076</v>
      </c>
      <c r="F27" s="590"/>
      <c r="G27" s="36" t="s">
        <v>26</v>
      </c>
      <c r="H27" s="37"/>
      <c r="I27" s="37"/>
      <c r="J27" s="38"/>
      <c r="K27" s="38"/>
      <c r="L27" s="39"/>
      <c r="M27" s="564"/>
      <c r="N27" s="565"/>
    </row>
    <row r="28" spans="1:15" s="15" customFormat="1" ht="18.95" customHeight="1">
      <c r="A28" s="40" t="s">
        <v>27</v>
      </c>
      <c r="B28" s="41"/>
      <c r="C28" s="41"/>
      <c r="D28" s="42"/>
      <c r="E28" s="591">
        <f>+E26+E27</f>
        <v>21207804</v>
      </c>
      <c r="F28" s="592"/>
      <c r="G28" s="43" t="s">
        <v>28</v>
      </c>
      <c r="H28" s="44"/>
      <c r="I28" s="44"/>
      <c r="J28" s="44"/>
      <c r="K28" s="44"/>
      <c r="L28" s="45"/>
      <c r="M28" s="564"/>
      <c r="N28" s="565"/>
    </row>
    <row r="29" spans="1:15" s="15" customFormat="1" ht="18.95" customHeight="1">
      <c r="A29" s="46" t="s">
        <v>29</v>
      </c>
      <c r="B29" s="26"/>
      <c r="C29" s="26"/>
      <c r="D29" s="27"/>
      <c r="E29" s="562">
        <f>ROUNDDOWN(E28,-4)</f>
        <v>21200000</v>
      </c>
      <c r="F29" s="563"/>
      <c r="G29" s="28" t="s">
        <v>30</v>
      </c>
      <c r="H29" s="29"/>
      <c r="I29" s="29"/>
      <c r="J29" s="29"/>
      <c r="K29" s="29"/>
      <c r="L29" s="47"/>
      <c r="M29" s="564"/>
      <c r="N29" s="565"/>
    </row>
    <row r="30" spans="1:15" s="15" customFormat="1" ht="18.95" customHeight="1">
      <c r="A30" s="46" t="s">
        <v>31</v>
      </c>
      <c r="B30" s="26"/>
      <c r="C30" s="26"/>
      <c r="D30" s="27"/>
      <c r="E30" s="562">
        <f>+E29*0.1</f>
        <v>2120000</v>
      </c>
      <c r="F30" s="563"/>
      <c r="G30" s="48">
        <v>0.1</v>
      </c>
      <c r="H30" s="29"/>
      <c r="I30" s="29"/>
      <c r="J30" s="29"/>
      <c r="K30" s="29"/>
      <c r="L30" s="47"/>
      <c r="M30" s="564"/>
      <c r="N30" s="565"/>
    </row>
    <row r="31" spans="1:15" ht="18.95" customHeight="1" thickBot="1">
      <c r="A31" s="49" t="s">
        <v>32</v>
      </c>
      <c r="B31" s="50"/>
      <c r="C31" s="50"/>
      <c r="D31" s="50"/>
      <c r="E31" s="593">
        <f>+E29*1.1</f>
        <v>23320000.000000004</v>
      </c>
      <c r="F31" s="594"/>
      <c r="G31" s="51"/>
      <c r="H31" s="52"/>
      <c r="I31" s="52"/>
      <c r="J31" s="52"/>
      <c r="K31" s="52"/>
      <c r="L31" s="53"/>
      <c r="M31" s="564"/>
      <c r="N31" s="565"/>
      <c r="O31" s="5"/>
    </row>
    <row r="32" spans="1:15" ht="18.95" customHeight="1">
      <c r="A32" s="54"/>
      <c r="B32" s="15"/>
      <c r="C32" s="15"/>
      <c r="D32" s="15"/>
      <c r="E32" s="55"/>
      <c r="F32" s="55"/>
      <c r="M32" s="24"/>
      <c r="N32" s="24"/>
      <c r="O32" s="5"/>
    </row>
    <row r="33" spans="1:24" ht="42.6" customHeight="1">
      <c r="A33" s="610" t="s">
        <v>257</v>
      </c>
      <c r="B33" s="610"/>
      <c r="C33" s="610"/>
      <c r="D33" s="610"/>
      <c r="E33" s="610"/>
      <c r="F33" s="610"/>
      <c r="G33" s="610"/>
      <c r="H33" s="610"/>
      <c r="I33" s="610"/>
      <c r="J33" s="610"/>
      <c r="K33" s="610"/>
      <c r="L33" s="610"/>
      <c r="M33" s="24"/>
      <c r="N33" s="24"/>
      <c r="O33" s="5"/>
    </row>
    <row r="34" spans="1:24" ht="22.5" customHeight="1" thickBot="1">
      <c r="A34" s="13" t="s">
        <v>53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56"/>
      <c r="M34" s="57"/>
      <c r="N34" s="58"/>
      <c r="O34" s="5" t="s">
        <v>302</v>
      </c>
    </row>
    <row r="35" spans="1:24" ht="22.5" customHeight="1">
      <c r="A35" s="611" t="s">
        <v>33</v>
      </c>
      <c r="B35" s="612"/>
      <c r="C35" s="613"/>
      <c r="D35" s="59" t="s">
        <v>34</v>
      </c>
      <c r="E35" s="60" t="s">
        <v>35</v>
      </c>
      <c r="F35" s="60" t="s">
        <v>36</v>
      </c>
      <c r="G35" s="60" t="s">
        <v>37</v>
      </c>
      <c r="H35" s="60" t="s">
        <v>38</v>
      </c>
      <c r="I35" s="59" t="s">
        <v>39</v>
      </c>
      <c r="J35" s="61" t="s">
        <v>40</v>
      </c>
      <c r="K35" s="617" t="s">
        <v>14</v>
      </c>
      <c r="L35" s="618"/>
      <c r="O35" s="62"/>
      <c r="P35" s="62"/>
      <c r="Q35" s="63"/>
      <c r="R35" s="64"/>
      <c r="S35" s="63"/>
      <c r="T35" s="63"/>
      <c r="U35" s="63"/>
      <c r="V35" s="63"/>
      <c r="W35" s="65"/>
      <c r="X35" s="66"/>
    </row>
    <row r="36" spans="1:24" ht="22.5" customHeight="1" thickBot="1">
      <c r="A36" s="614"/>
      <c r="B36" s="615"/>
      <c r="C36" s="616"/>
      <c r="D36" s="114">
        <v>70900</v>
      </c>
      <c r="E36" s="115">
        <v>62200</v>
      </c>
      <c r="F36" s="115">
        <v>55200</v>
      </c>
      <c r="G36" s="115">
        <v>45300</v>
      </c>
      <c r="H36" s="115">
        <v>35600</v>
      </c>
      <c r="I36" s="114">
        <v>31600</v>
      </c>
      <c r="J36" s="137" t="s">
        <v>41</v>
      </c>
      <c r="K36" s="619"/>
      <c r="L36" s="620"/>
    </row>
    <row r="37" spans="1:24" s="150" customFormat="1" ht="22.5" customHeight="1" thickTop="1">
      <c r="A37" s="144" t="s">
        <v>65</v>
      </c>
      <c r="B37" s="621" t="s">
        <v>66</v>
      </c>
      <c r="C37" s="622"/>
      <c r="D37" s="145"/>
      <c r="E37" s="146">
        <f>E38+E42+E43+E44</f>
        <v>1</v>
      </c>
      <c r="F37" s="146">
        <f>F38+F42+F43+F44</f>
        <v>2.5</v>
      </c>
      <c r="G37" s="146">
        <f>G38+G42+G43+G44</f>
        <v>14.5</v>
      </c>
      <c r="H37" s="146">
        <f>H38+H42+H43+H44</f>
        <v>13</v>
      </c>
      <c r="I37" s="146">
        <f>I38+I42+I43+I44</f>
        <v>0</v>
      </c>
      <c r="J37" s="147">
        <f t="shared" ref="J37:J80" si="0">+$D$36*D37+$E$36*E37+$F$36*F37+$G$36*G37+$H$36*H37+$I$36*I37</f>
        <v>1319850</v>
      </c>
      <c r="K37" s="689"/>
      <c r="L37" s="690"/>
      <c r="M37" s="291">
        <f>+$D$36*D37+$E$36*E37+$F$36*F37+$G$36*G37+$H$36*H37+$I$36*I37</f>
        <v>1319850</v>
      </c>
      <c r="N37" s="148"/>
      <c r="O37" s="149"/>
    </row>
    <row r="38" spans="1:24" s="15" customFormat="1" ht="22.5" customHeight="1">
      <c r="A38" s="70"/>
      <c r="B38" s="625" t="s">
        <v>69</v>
      </c>
      <c r="C38" s="626"/>
      <c r="D38" s="289"/>
      <c r="E38" s="345">
        <f>E40+E39+E41</f>
        <v>1</v>
      </c>
      <c r="F38" s="345">
        <f t="shared" ref="F38:H38" si="1">F40+F39+F41</f>
        <v>1.5</v>
      </c>
      <c r="G38" s="345">
        <f t="shared" si="1"/>
        <v>2.5</v>
      </c>
      <c r="H38" s="345">
        <f t="shared" si="1"/>
        <v>1</v>
      </c>
      <c r="I38" s="345"/>
      <c r="J38" s="290">
        <f>+$D$36*D38+$E$36*E38+$F$36*F38+$G$36*G38+$H$36*H38+$I$36*I38</f>
        <v>293850</v>
      </c>
      <c r="K38" s="635"/>
      <c r="L38" s="636"/>
      <c r="M38" s="291">
        <f t="shared" ref="M38:M42" si="2">+$D$36*D38+$E$36*E38+$F$36*F38+$G$36*G38+$H$36*H38+$I$36*I38</f>
        <v>293850</v>
      </c>
      <c r="N38" s="68"/>
      <c r="O38" s="595"/>
      <c r="P38" s="595"/>
    </row>
    <row r="39" spans="1:24" s="15" customFormat="1" ht="15.6" customHeight="1">
      <c r="A39" s="70"/>
      <c r="B39" s="699" t="s">
        <v>248</v>
      </c>
      <c r="C39" s="700"/>
      <c r="D39" s="289"/>
      <c r="E39" s="519">
        <v>0.5</v>
      </c>
      <c r="F39" s="519">
        <v>0.5</v>
      </c>
      <c r="G39" s="323">
        <v>1</v>
      </c>
      <c r="H39" s="345"/>
      <c r="I39" s="345"/>
      <c r="J39" s="342">
        <f t="shared" si="0"/>
        <v>104000</v>
      </c>
      <c r="K39" s="103"/>
      <c r="L39" s="411"/>
      <c r="M39" s="291">
        <f t="shared" si="2"/>
        <v>104000</v>
      </c>
      <c r="N39" s="68"/>
      <c r="O39" s="71"/>
      <c r="P39" s="71"/>
    </row>
    <row r="40" spans="1:24" s="15" customFormat="1" ht="16.5" customHeight="1">
      <c r="A40" s="70"/>
      <c r="B40" s="699" t="s">
        <v>222</v>
      </c>
      <c r="C40" s="700"/>
      <c r="D40" s="289"/>
      <c r="E40" s="519">
        <v>0.5</v>
      </c>
      <c r="F40" s="323">
        <v>1</v>
      </c>
      <c r="G40" s="323">
        <v>1</v>
      </c>
      <c r="H40" s="323"/>
      <c r="I40" s="323"/>
      <c r="J40" s="342">
        <f t="shared" si="0"/>
        <v>131600</v>
      </c>
      <c r="K40" s="635"/>
      <c r="L40" s="636"/>
      <c r="M40" s="291">
        <f t="shared" si="2"/>
        <v>131600</v>
      </c>
      <c r="N40" s="68"/>
      <c r="O40" s="71"/>
      <c r="P40" s="71"/>
    </row>
    <row r="41" spans="1:24" s="15" customFormat="1" ht="15.6" customHeight="1">
      <c r="A41" s="70"/>
      <c r="B41" s="699" t="s">
        <v>223</v>
      </c>
      <c r="C41" s="700"/>
      <c r="D41" s="289"/>
      <c r="E41" s="323"/>
      <c r="F41" s="323"/>
      <c r="G41" s="323">
        <v>0.5</v>
      </c>
      <c r="H41" s="323">
        <v>1</v>
      </c>
      <c r="I41" s="323"/>
      <c r="J41" s="342">
        <f t="shared" si="0"/>
        <v>58250</v>
      </c>
      <c r="K41" s="635"/>
      <c r="L41" s="636"/>
      <c r="M41" s="291">
        <f t="shared" si="2"/>
        <v>58250</v>
      </c>
      <c r="N41" s="68"/>
      <c r="O41" s="71"/>
      <c r="P41" s="71"/>
    </row>
    <row r="42" spans="1:24" s="15" customFormat="1" ht="22.5" customHeight="1">
      <c r="A42" s="70"/>
      <c r="B42" s="637" t="s">
        <v>229</v>
      </c>
      <c r="C42" s="751"/>
      <c r="D42" s="289"/>
      <c r="E42" s="345"/>
      <c r="F42" s="511">
        <v>0.5</v>
      </c>
      <c r="G42" s="345">
        <v>1</v>
      </c>
      <c r="H42" s="345">
        <v>1</v>
      </c>
      <c r="I42" s="345"/>
      <c r="J42" s="290">
        <f t="shared" si="0"/>
        <v>108500</v>
      </c>
      <c r="K42" s="627"/>
      <c r="L42" s="628"/>
      <c r="M42" s="291">
        <f t="shared" si="2"/>
        <v>108500</v>
      </c>
      <c r="N42" s="68"/>
      <c r="O42" s="71"/>
      <c r="P42" s="71"/>
    </row>
    <row r="43" spans="1:24" s="15" customFormat="1" ht="22.5" customHeight="1">
      <c r="A43" s="70"/>
      <c r="B43" s="625" t="s">
        <v>72</v>
      </c>
      <c r="C43" s="626"/>
      <c r="D43" s="289"/>
      <c r="E43" s="345"/>
      <c r="F43" s="511">
        <v>0.5</v>
      </c>
      <c r="G43" s="345">
        <v>1</v>
      </c>
      <c r="H43" s="345">
        <v>1</v>
      </c>
      <c r="I43" s="345"/>
      <c r="J43" s="290">
        <f t="shared" si="0"/>
        <v>108500</v>
      </c>
      <c r="K43" s="635"/>
      <c r="L43" s="636"/>
      <c r="M43" s="291">
        <f t="shared" ref="M43:M72" si="3">+$D$36*D43+$E$36*E43+$F$36*F43+$G$36*G43+$H$36*H43+$I$36*I43</f>
        <v>108500</v>
      </c>
      <c r="N43" s="68"/>
      <c r="O43" s="71"/>
      <c r="P43" s="71"/>
    </row>
    <row r="44" spans="1:24" s="15" customFormat="1" ht="22.5" customHeight="1">
      <c r="A44" s="520"/>
      <c r="B44" s="752" t="s">
        <v>73</v>
      </c>
      <c r="C44" s="753"/>
      <c r="D44" s="521"/>
      <c r="E44" s="522"/>
      <c r="F44" s="511">
        <f>F45+F46</f>
        <v>0</v>
      </c>
      <c r="G44" s="522">
        <f t="shared" ref="G44:H44" si="4">G45+G46</f>
        <v>10</v>
      </c>
      <c r="H44" s="522">
        <f t="shared" si="4"/>
        <v>10</v>
      </c>
      <c r="I44" s="522"/>
      <c r="J44" s="527">
        <f t="shared" si="0"/>
        <v>809000</v>
      </c>
      <c r="K44" s="754"/>
      <c r="L44" s="755"/>
      <c r="M44" s="291">
        <f t="shared" si="3"/>
        <v>809000</v>
      </c>
      <c r="N44" s="68"/>
      <c r="O44" s="69"/>
    </row>
    <row r="45" spans="1:24" s="15" customFormat="1" ht="15.6" customHeight="1">
      <c r="A45" s="520"/>
      <c r="B45" s="756" t="s">
        <v>270</v>
      </c>
      <c r="C45" s="757"/>
      <c r="D45" s="521"/>
      <c r="E45" s="522"/>
      <c r="F45" s="519"/>
      <c r="G45" s="523">
        <v>7</v>
      </c>
      <c r="H45" s="523">
        <v>7</v>
      </c>
      <c r="I45" s="522"/>
      <c r="J45" s="524">
        <f t="shared" si="0"/>
        <v>566300</v>
      </c>
      <c r="K45" s="525"/>
      <c r="L45" s="526"/>
      <c r="M45" s="291"/>
      <c r="N45" s="68"/>
      <c r="O45" s="69"/>
    </row>
    <row r="46" spans="1:24" s="15" customFormat="1" ht="15.6" customHeight="1">
      <c r="A46" s="520"/>
      <c r="B46" s="756" t="s">
        <v>271</v>
      </c>
      <c r="C46" s="757"/>
      <c r="D46" s="521"/>
      <c r="E46" s="522"/>
      <c r="F46" s="519"/>
      <c r="G46" s="519">
        <v>3</v>
      </c>
      <c r="H46" s="519">
        <v>3</v>
      </c>
      <c r="I46" s="522"/>
      <c r="J46" s="524">
        <f t="shared" si="0"/>
        <v>242700</v>
      </c>
      <c r="K46" s="525"/>
      <c r="L46" s="526"/>
      <c r="M46" s="291"/>
      <c r="N46" s="68"/>
      <c r="O46" s="69"/>
    </row>
    <row r="47" spans="1:24" s="150" customFormat="1" ht="22.5" customHeight="1">
      <c r="A47" s="151" t="s">
        <v>68</v>
      </c>
      <c r="B47" s="621" t="s">
        <v>67</v>
      </c>
      <c r="C47" s="622"/>
      <c r="D47" s="152"/>
      <c r="E47" s="152">
        <f>E48+E53+E60+E61+E65+E66</f>
        <v>4.5</v>
      </c>
      <c r="F47" s="152">
        <f>F48+F53+F60+F61+F65+F66</f>
        <v>12</v>
      </c>
      <c r="G47" s="152">
        <f>G48+G53+G60+G61+G65+G66</f>
        <v>31.5</v>
      </c>
      <c r="H47" s="152">
        <f>H48+H53+H60+H61+H65+H66</f>
        <v>41.5</v>
      </c>
      <c r="I47" s="152"/>
      <c r="J47" s="346">
        <f>+$D$36*D47+$E$36*E47+$F$36*F47+$G$36*G47+$H$36*H47+$I$36*I47</f>
        <v>3846650</v>
      </c>
      <c r="K47" s="691"/>
      <c r="L47" s="692"/>
      <c r="M47" s="291">
        <f t="shared" si="3"/>
        <v>3846650</v>
      </c>
      <c r="N47" s="148"/>
      <c r="O47" s="149"/>
    </row>
    <row r="48" spans="1:24" s="15" customFormat="1" ht="22.5" customHeight="1">
      <c r="A48" s="70"/>
      <c r="B48" s="631" t="s">
        <v>74</v>
      </c>
      <c r="C48" s="632"/>
      <c r="D48" s="289"/>
      <c r="E48" s="345">
        <f>SUM(E49:E52)</f>
        <v>0.5</v>
      </c>
      <c r="F48" s="345">
        <f t="shared" ref="F48:H48" si="5">SUM(F49:F52)</f>
        <v>2.5</v>
      </c>
      <c r="G48" s="345">
        <f t="shared" si="5"/>
        <v>4.5</v>
      </c>
      <c r="H48" s="345">
        <f t="shared" si="5"/>
        <v>10.5</v>
      </c>
      <c r="I48" s="345"/>
      <c r="J48" s="290">
        <f>+$D$36*D48+$E$36*E48+$F$36*F48+$G$36*G48+$H$36*H48+$I$36*I48</f>
        <v>746750</v>
      </c>
      <c r="K48" s="635"/>
      <c r="L48" s="636"/>
      <c r="M48" s="291">
        <f t="shared" si="3"/>
        <v>746750</v>
      </c>
      <c r="N48" s="68"/>
      <c r="O48" s="595"/>
      <c r="P48" s="595"/>
      <c r="Q48" s="595"/>
    </row>
    <row r="49" spans="1:18" s="15" customFormat="1" ht="22.5" customHeight="1">
      <c r="A49" s="70"/>
      <c r="B49" s="704" t="s">
        <v>75</v>
      </c>
      <c r="C49" s="705"/>
      <c r="D49" s="289"/>
      <c r="E49" s="323"/>
      <c r="F49" s="519">
        <v>0.5</v>
      </c>
      <c r="G49" s="519">
        <v>1</v>
      </c>
      <c r="H49" s="323">
        <v>3</v>
      </c>
      <c r="I49" s="323"/>
      <c r="J49" s="347">
        <f t="shared" si="0"/>
        <v>179700</v>
      </c>
      <c r="K49" s="635"/>
      <c r="L49" s="636"/>
      <c r="M49" s="291">
        <f t="shared" si="3"/>
        <v>179700</v>
      </c>
      <c r="N49" s="68"/>
      <c r="O49" s="71"/>
      <c r="P49" s="71"/>
      <c r="Q49" s="71"/>
    </row>
    <row r="50" spans="1:18" s="15" customFormat="1" ht="22.5" customHeight="1">
      <c r="A50" s="70"/>
      <c r="B50" s="704" t="s">
        <v>76</v>
      </c>
      <c r="C50" s="705"/>
      <c r="D50" s="289"/>
      <c r="E50" s="323"/>
      <c r="F50" s="519">
        <v>0.5</v>
      </c>
      <c r="G50" s="519">
        <v>1</v>
      </c>
      <c r="H50" s="323">
        <v>3</v>
      </c>
      <c r="I50" s="323"/>
      <c r="J50" s="347">
        <f t="shared" si="0"/>
        <v>179700</v>
      </c>
      <c r="K50" s="635"/>
      <c r="L50" s="636"/>
      <c r="M50" s="291">
        <f t="shared" si="3"/>
        <v>179700</v>
      </c>
      <c r="N50" s="68"/>
      <c r="O50" s="71"/>
      <c r="P50" s="71"/>
      <c r="Q50" s="71"/>
    </row>
    <row r="51" spans="1:18" s="15" customFormat="1" ht="22.5" customHeight="1">
      <c r="A51" s="70"/>
      <c r="B51" s="704" t="s">
        <v>77</v>
      </c>
      <c r="C51" s="705"/>
      <c r="D51" s="289"/>
      <c r="E51" s="323"/>
      <c r="F51" s="519">
        <v>0.5</v>
      </c>
      <c r="G51" s="519">
        <v>1</v>
      </c>
      <c r="H51" s="323">
        <v>3</v>
      </c>
      <c r="I51" s="323"/>
      <c r="J51" s="347">
        <f t="shared" si="0"/>
        <v>179700</v>
      </c>
      <c r="K51" s="635"/>
      <c r="L51" s="636"/>
      <c r="M51" s="291">
        <f t="shared" si="3"/>
        <v>179700</v>
      </c>
      <c r="N51" s="116"/>
      <c r="O51" s="69"/>
    </row>
    <row r="52" spans="1:18" s="15" customFormat="1" ht="22.5" customHeight="1">
      <c r="A52" s="72"/>
      <c r="B52" s="639" t="s">
        <v>78</v>
      </c>
      <c r="C52" s="706"/>
      <c r="D52" s="289"/>
      <c r="E52" s="519">
        <v>0.5</v>
      </c>
      <c r="F52" s="519">
        <v>1</v>
      </c>
      <c r="G52" s="519">
        <v>1.5</v>
      </c>
      <c r="H52" s="519">
        <v>1.5</v>
      </c>
      <c r="I52" s="323"/>
      <c r="J52" s="347">
        <f t="shared" si="0"/>
        <v>207650</v>
      </c>
      <c r="K52" s="635"/>
      <c r="L52" s="636"/>
      <c r="M52" s="291">
        <f t="shared" si="3"/>
        <v>207650</v>
      </c>
      <c r="N52" s="116"/>
      <c r="O52" s="703"/>
      <c r="P52" s="703"/>
      <c r="Q52" s="703"/>
      <c r="R52" s="703"/>
    </row>
    <row r="53" spans="1:18" s="15" customFormat="1" ht="22.5" customHeight="1">
      <c r="A53" s="70"/>
      <c r="B53" s="625" t="s">
        <v>85</v>
      </c>
      <c r="C53" s="626"/>
      <c r="D53" s="345"/>
      <c r="E53" s="345">
        <f>SUM(E54:E59)</f>
        <v>2.5</v>
      </c>
      <c r="F53" s="345">
        <f t="shared" ref="F53:G53" si="6">SUM(F54:F59)</f>
        <v>5</v>
      </c>
      <c r="G53" s="345">
        <f t="shared" si="6"/>
        <v>15</v>
      </c>
      <c r="H53" s="345">
        <f>SUM(H54:H59)</f>
        <v>17</v>
      </c>
      <c r="I53" s="345"/>
      <c r="J53" s="290">
        <f t="shared" si="0"/>
        <v>1716200</v>
      </c>
      <c r="K53" s="635"/>
      <c r="L53" s="636"/>
      <c r="M53" s="291">
        <f t="shared" si="3"/>
        <v>1716200</v>
      </c>
      <c r="N53" s="117"/>
      <c r="O53" s="69"/>
    </row>
    <row r="54" spans="1:18" s="15" customFormat="1" ht="22.5" customHeight="1">
      <c r="A54" s="70"/>
      <c r="B54" s="639" t="s">
        <v>79</v>
      </c>
      <c r="C54" s="640"/>
      <c r="D54" s="519">
        <v>0.5</v>
      </c>
      <c r="E54" s="519">
        <v>0.5</v>
      </c>
      <c r="F54" s="519">
        <v>1</v>
      </c>
      <c r="G54" s="323">
        <v>4</v>
      </c>
      <c r="H54" s="323">
        <v>4</v>
      </c>
      <c r="I54" s="323"/>
      <c r="J54" s="347">
        <f t="shared" si="0"/>
        <v>445350</v>
      </c>
      <c r="K54" s="635"/>
      <c r="L54" s="636"/>
      <c r="M54" s="291">
        <f t="shared" si="3"/>
        <v>445350</v>
      </c>
      <c r="N54" s="117"/>
      <c r="O54" s="69"/>
    </row>
    <row r="55" spans="1:18" s="15" customFormat="1" ht="22.5" customHeight="1">
      <c r="A55" s="70"/>
      <c r="B55" s="639" t="s">
        <v>80</v>
      </c>
      <c r="C55" s="640"/>
      <c r="D55" s="289"/>
      <c r="E55" s="519">
        <v>0.5</v>
      </c>
      <c r="F55" s="323">
        <v>1</v>
      </c>
      <c r="G55" s="323">
        <v>2</v>
      </c>
      <c r="H55" s="323">
        <v>2</v>
      </c>
      <c r="I55" s="323"/>
      <c r="J55" s="347">
        <f t="shared" si="0"/>
        <v>248100</v>
      </c>
      <c r="K55" s="635"/>
      <c r="L55" s="636"/>
      <c r="M55" s="291">
        <f t="shared" si="3"/>
        <v>248100</v>
      </c>
      <c r="N55" s="117"/>
      <c r="O55" s="69"/>
    </row>
    <row r="56" spans="1:18" s="15" customFormat="1" ht="22.5" customHeight="1">
      <c r="A56" s="70"/>
      <c r="B56" s="639" t="s">
        <v>81</v>
      </c>
      <c r="C56" s="640"/>
      <c r="D56" s="289"/>
      <c r="E56" s="519">
        <v>0.5</v>
      </c>
      <c r="F56" s="519">
        <v>1</v>
      </c>
      <c r="G56" s="519">
        <v>3</v>
      </c>
      <c r="H56" s="519">
        <v>3</v>
      </c>
      <c r="I56" s="323"/>
      <c r="J56" s="347">
        <f t="shared" si="0"/>
        <v>329000</v>
      </c>
      <c r="K56" s="635"/>
      <c r="L56" s="636"/>
      <c r="M56" s="291">
        <f t="shared" si="3"/>
        <v>329000</v>
      </c>
      <c r="N56" s="117"/>
      <c r="O56" s="69"/>
    </row>
    <row r="57" spans="1:18" s="15" customFormat="1" ht="22.5" customHeight="1">
      <c r="A57" s="70"/>
      <c r="B57" s="639" t="s">
        <v>82</v>
      </c>
      <c r="C57" s="640"/>
      <c r="D57" s="289"/>
      <c r="E57" s="519">
        <v>0.5</v>
      </c>
      <c r="F57" s="519">
        <v>1</v>
      </c>
      <c r="G57" s="519">
        <v>3</v>
      </c>
      <c r="H57" s="323">
        <v>4</v>
      </c>
      <c r="I57" s="323"/>
      <c r="J57" s="347">
        <f t="shared" si="0"/>
        <v>364600</v>
      </c>
      <c r="K57" s="635"/>
      <c r="L57" s="636"/>
      <c r="M57" s="291">
        <f t="shared" si="3"/>
        <v>364600</v>
      </c>
      <c r="N57" s="117"/>
      <c r="O57" s="69"/>
    </row>
    <row r="58" spans="1:18" s="15" customFormat="1" ht="22.5" customHeight="1">
      <c r="A58" s="70"/>
      <c r="B58" s="639" t="s">
        <v>83</v>
      </c>
      <c r="C58" s="640"/>
      <c r="D58" s="289"/>
      <c r="E58" s="519">
        <v>0.5</v>
      </c>
      <c r="F58" s="519">
        <v>1</v>
      </c>
      <c r="G58" s="519">
        <v>3</v>
      </c>
      <c r="H58" s="323">
        <v>4</v>
      </c>
      <c r="I58" s="323"/>
      <c r="J58" s="347">
        <f t="shared" si="0"/>
        <v>364600</v>
      </c>
      <c r="K58" s="635"/>
      <c r="L58" s="636"/>
      <c r="M58" s="291">
        <f t="shared" si="3"/>
        <v>364600</v>
      </c>
      <c r="N58" s="117"/>
      <c r="O58" s="69"/>
    </row>
    <row r="59" spans="1:18" s="15" customFormat="1" ht="22.5" customHeight="1">
      <c r="A59" s="70"/>
      <c r="B59" s="639" t="s">
        <v>84</v>
      </c>
      <c r="C59" s="640"/>
      <c r="D59" s="289"/>
      <c r="E59" s="344"/>
      <c r="F59" s="344"/>
      <c r="G59" s="344"/>
      <c r="H59" s="323"/>
      <c r="I59" s="344"/>
      <c r="J59" s="347">
        <f t="shared" si="0"/>
        <v>0</v>
      </c>
      <c r="K59" s="633" t="s">
        <v>254</v>
      </c>
      <c r="L59" s="634"/>
      <c r="M59" s="291">
        <f t="shared" si="3"/>
        <v>0</v>
      </c>
      <c r="N59" s="117"/>
      <c r="O59" s="69"/>
    </row>
    <row r="60" spans="1:18" s="15" customFormat="1" ht="24.95" customHeight="1">
      <c r="A60" s="70"/>
      <c r="B60" s="631" t="s">
        <v>86</v>
      </c>
      <c r="C60" s="643"/>
      <c r="D60" s="289"/>
      <c r="E60" s="511">
        <v>0.5</v>
      </c>
      <c r="F60" s="345">
        <v>1</v>
      </c>
      <c r="G60" s="345">
        <v>2</v>
      </c>
      <c r="H60" s="345">
        <v>2</v>
      </c>
      <c r="I60" s="345"/>
      <c r="J60" s="290">
        <f t="shared" si="0"/>
        <v>248100</v>
      </c>
      <c r="K60" s="644"/>
      <c r="L60" s="645"/>
      <c r="M60" s="291">
        <f t="shared" si="3"/>
        <v>248100</v>
      </c>
      <c r="N60" s="117"/>
      <c r="O60" s="69"/>
    </row>
    <row r="61" spans="1:18" s="15" customFormat="1" ht="24.95" customHeight="1">
      <c r="A61" s="70"/>
      <c r="B61" s="639" t="s">
        <v>87</v>
      </c>
      <c r="C61" s="640"/>
      <c r="D61" s="289"/>
      <c r="E61" s="345">
        <f>SUM(E62:E64)</f>
        <v>0.5</v>
      </c>
      <c r="F61" s="345">
        <f t="shared" ref="F61:H61" si="7">SUM(F62:F64)</f>
        <v>2</v>
      </c>
      <c r="G61" s="345">
        <f t="shared" si="7"/>
        <v>7</v>
      </c>
      <c r="H61" s="345">
        <f t="shared" si="7"/>
        <v>6</v>
      </c>
      <c r="I61" s="345"/>
      <c r="J61" s="290">
        <f t="shared" si="0"/>
        <v>672200</v>
      </c>
      <c r="K61" s="633" t="s">
        <v>269</v>
      </c>
      <c r="L61" s="634"/>
      <c r="M61" s="291">
        <f t="shared" si="3"/>
        <v>672200</v>
      </c>
      <c r="N61" s="117"/>
      <c r="O61" s="69"/>
    </row>
    <row r="62" spans="1:18" s="15" customFormat="1" ht="22.5" customHeight="1">
      <c r="A62" s="70"/>
      <c r="B62" s="639" t="s">
        <v>88</v>
      </c>
      <c r="C62" s="640"/>
      <c r="D62" s="289"/>
      <c r="E62" s="519">
        <v>0.5</v>
      </c>
      <c r="F62" s="323">
        <v>1</v>
      </c>
      <c r="G62" s="323">
        <v>1</v>
      </c>
      <c r="H62" s="323"/>
      <c r="I62" s="323"/>
      <c r="J62" s="347">
        <f t="shared" si="0"/>
        <v>131600</v>
      </c>
      <c r="K62" s="633"/>
      <c r="L62" s="634"/>
      <c r="M62" s="291">
        <f t="shared" si="3"/>
        <v>131600</v>
      </c>
      <c r="N62" s="117"/>
      <c r="O62" s="69"/>
    </row>
    <row r="63" spans="1:18" s="15" customFormat="1" ht="22.5" customHeight="1">
      <c r="A63" s="70"/>
      <c r="B63" s="639" t="s">
        <v>89</v>
      </c>
      <c r="C63" s="640"/>
      <c r="D63" s="289"/>
      <c r="E63" s="323"/>
      <c r="F63" s="519">
        <v>0.5</v>
      </c>
      <c r="G63" s="323">
        <v>3</v>
      </c>
      <c r="H63" s="323">
        <v>3</v>
      </c>
      <c r="I63" s="323"/>
      <c r="J63" s="347">
        <f t="shared" si="0"/>
        <v>270300</v>
      </c>
      <c r="K63" s="635"/>
      <c r="L63" s="636"/>
      <c r="M63" s="291">
        <f t="shared" si="3"/>
        <v>270300</v>
      </c>
      <c r="N63" s="117"/>
      <c r="O63" s="69"/>
    </row>
    <row r="64" spans="1:18" s="15" customFormat="1" ht="22.5" customHeight="1">
      <c r="A64" s="70"/>
      <c r="B64" s="639" t="s">
        <v>90</v>
      </c>
      <c r="C64" s="640"/>
      <c r="D64" s="289"/>
      <c r="E64" s="323"/>
      <c r="F64" s="519">
        <v>0.5</v>
      </c>
      <c r="G64" s="323">
        <v>3</v>
      </c>
      <c r="H64" s="323">
        <v>3</v>
      </c>
      <c r="I64" s="323"/>
      <c r="J64" s="347">
        <f t="shared" si="0"/>
        <v>270300</v>
      </c>
      <c r="K64" s="635"/>
      <c r="L64" s="636"/>
      <c r="M64" s="291">
        <f t="shared" si="3"/>
        <v>270300</v>
      </c>
      <c r="N64" s="117"/>
      <c r="O64" s="69"/>
    </row>
    <row r="65" spans="1:15" s="15" customFormat="1" ht="22.5" customHeight="1">
      <c r="A65" s="70"/>
      <c r="B65" s="639" t="s">
        <v>91</v>
      </c>
      <c r="C65" s="640"/>
      <c r="D65" s="289"/>
      <c r="E65" s="511">
        <v>0.5</v>
      </c>
      <c r="F65" s="345">
        <v>1</v>
      </c>
      <c r="G65" s="345">
        <v>2</v>
      </c>
      <c r="H65" s="345">
        <v>4</v>
      </c>
      <c r="I65" s="345"/>
      <c r="J65" s="290">
        <f t="shared" si="0"/>
        <v>319300</v>
      </c>
      <c r="K65" s="635"/>
      <c r="L65" s="636"/>
      <c r="M65" s="291">
        <f t="shared" si="3"/>
        <v>319300</v>
      </c>
      <c r="N65" s="117"/>
      <c r="O65" s="69"/>
    </row>
    <row r="66" spans="1:15" s="15" customFormat="1" ht="22.5" customHeight="1">
      <c r="A66" s="70"/>
      <c r="B66" s="639" t="s">
        <v>92</v>
      </c>
      <c r="C66" s="640"/>
      <c r="D66" s="289"/>
      <c r="E66" s="345"/>
      <c r="F66" s="345">
        <v>0.5</v>
      </c>
      <c r="G66" s="345">
        <v>1</v>
      </c>
      <c r="H66" s="345">
        <v>2</v>
      </c>
      <c r="I66" s="345"/>
      <c r="J66" s="290">
        <f t="shared" si="0"/>
        <v>144100</v>
      </c>
      <c r="K66" s="635"/>
      <c r="L66" s="636"/>
      <c r="M66" s="291">
        <f t="shared" si="3"/>
        <v>144100</v>
      </c>
      <c r="N66" s="117"/>
      <c r="O66" s="69"/>
    </row>
    <row r="67" spans="1:15" s="150" customFormat="1" ht="22.5" customHeight="1">
      <c r="A67" s="151" t="s">
        <v>93</v>
      </c>
      <c r="B67" s="646" t="s">
        <v>94</v>
      </c>
      <c r="C67" s="647"/>
      <c r="D67" s="152"/>
      <c r="E67" s="154"/>
      <c r="F67" s="154">
        <f t="shared" ref="F67:I67" si="8">SUM(F68:F71)</f>
        <v>1.5</v>
      </c>
      <c r="G67" s="154">
        <f t="shared" si="8"/>
        <v>22</v>
      </c>
      <c r="H67" s="154">
        <f t="shared" si="8"/>
        <v>17</v>
      </c>
      <c r="I67" s="154">
        <f t="shared" si="8"/>
        <v>4</v>
      </c>
      <c r="J67" s="153">
        <f t="shared" si="0"/>
        <v>1811000</v>
      </c>
      <c r="K67" s="691"/>
      <c r="L67" s="692"/>
      <c r="M67" s="291">
        <f t="shared" si="3"/>
        <v>1811000</v>
      </c>
      <c r="N67" s="155"/>
      <c r="O67" s="149"/>
    </row>
    <row r="68" spans="1:15" s="15" customFormat="1" ht="22.5" customHeight="1">
      <c r="A68" s="70"/>
      <c r="B68" s="639" t="s">
        <v>95</v>
      </c>
      <c r="C68" s="640"/>
      <c r="D68" s="289"/>
      <c r="E68" s="345"/>
      <c r="F68" s="345">
        <v>0.5</v>
      </c>
      <c r="G68" s="345">
        <v>1</v>
      </c>
      <c r="H68" s="345">
        <v>3</v>
      </c>
      <c r="I68" s="345"/>
      <c r="J68" s="290">
        <f t="shared" si="0"/>
        <v>179700</v>
      </c>
      <c r="K68" s="635"/>
      <c r="L68" s="636"/>
      <c r="M68" s="291">
        <f t="shared" si="3"/>
        <v>179700</v>
      </c>
      <c r="N68" s="117"/>
      <c r="O68" s="69"/>
    </row>
    <row r="69" spans="1:15" s="15" customFormat="1" ht="22.5" customHeight="1">
      <c r="A69" s="520"/>
      <c r="B69" s="758" t="s">
        <v>96</v>
      </c>
      <c r="C69" s="759"/>
      <c r="D69" s="521"/>
      <c r="E69" s="522"/>
      <c r="F69" s="522">
        <v>1</v>
      </c>
      <c r="G69" s="522">
        <v>1</v>
      </c>
      <c r="H69" s="522">
        <v>4</v>
      </c>
      <c r="I69" s="522">
        <v>4</v>
      </c>
      <c r="J69" s="527">
        <f>+$D$36*D69+$E$36*E69+$F$36*F69+$G$36*G69+$H$36*H69+$I$36*I69</f>
        <v>369300</v>
      </c>
      <c r="K69" s="754" t="s">
        <v>97</v>
      </c>
      <c r="L69" s="755"/>
      <c r="M69" s="291">
        <f t="shared" si="3"/>
        <v>369300</v>
      </c>
      <c r="N69" s="117"/>
      <c r="O69" s="69"/>
    </row>
    <row r="70" spans="1:15" s="15" customFormat="1" ht="22.5" customHeight="1">
      <c r="A70" s="520"/>
      <c r="B70" s="758" t="s">
        <v>98</v>
      </c>
      <c r="C70" s="759"/>
      <c r="D70" s="521"/>
      <c r="E70" s="522"/>
      <c r="F70" s="522"/>
      <c r="G70" s="522">
        <v>20</v>
      </c>
      <c r="H70" s="522">
        <v>10</v>
      </c>
      <c r="I70" s="522"/>
      <c r="J70" s="527">
        <f t="shared" si="0"/>
        <v>1262000</v>
      </c>
      <c r="K70" s="754" t="s">
        <v>99</v>
      </c>
      <c r="L70" s="755"/>
      <c r="M70" s="291">
        <f t="shared" si="3"/>
        <v>1262000</v>
      </c>
      <c r="N70" s="117"/>
      <c r="O70" s="69"/>
    </row>
    <row r="71" spans="1:15" s="15" customFormat="1" ht="22.5" customHeight="1">
      <c r="A71" s="520"/>
      <c r="B71" s="758" t="s">
        <v>100</v>
      </c>
      <c r="C71" s="759"/>
      <c r="D71" s="521"/>
      <c r="E71" s="522"/>
      <c r="F71" s="522"/>
      <c r="G71" s="522"/>
      <c r="H71" s="522"/>
      <c r="I71" s="522"/>
      <c r="J71" s="527">
        <f t="shared" si="0"/>
        <v>0</v>
      </c>
      <c r="K71" s="764" t="s">
        <v>221</v>
      </c>
      <c r="L71" s="765"/>
      <c r="M71" s="291">
        <f t="shared" si="3"/>
        <v>0</v>
      </c>
      <c r="N71" s="117"/>
      <c r="O71" s="69"/>
    </row>
    <row r="72" spans="1:15" s="150" customFormat="1" ht="22.5" customHeight="1">
      <c r="A72" s="151" t="s">
        <v>101</v>
      </c>
      <c r="B72" s="646" t="s">
        <v>102</v>
      </c>
      <c r="C72" s="647"/>
      <c r="D72" s="152"/>
      <c r="E72" s="154"/>
      <c r="F72" s="154">
        <f>SUM(F73:F74)</f>
        <v>1</v>
      </c>
      <c r="G72" s="154">
        <f t="shared" ref="G72:I72" si="9">SUM(G73:G74)</f>
        <v>1</v>
      </c>
      <c r="H72" s="154">
        <f t="shared" si="9"/>
        <v>3</v>
      </c>
      <c r="I72" s="154">
        <f t="shared" si="9"/>
        <v>4</v>
      </c>
      <c r="J72" s="153">
        <f t="shared" si="0"/>
        <v>333700</v>
      </c>
      <c r="K72" s="691"/>
      <c r="L72" s="692"/>
      <c r="M72" s="291">
        <f t="shared" si="3"/>
        <v>333700</v>
      </c>
      <c r="N72" s="155"/>
      <c r="O72" s="149"/>
    </row>
    <row r="73" spans="1:15" s="150" customFormat="1" ht="17.100000000000001" hidden="1" customHeight="1">
      <c r="A73" s="348"/>
      <c r="B73" s="699" t="s">
        <v>225</v>
      </c>
      <c r="C73" s="700"/>
      <c r="D73" s="349"/>
      <c r="E73" s="350"/>
      <c r="F73" s="323">
        <v>0.5</v>
      </c>
      <c r="G73" s="323"/>
      <c r="H73" s="323">
        <v>1</v>
      </c>
      <c r="I73" s="323"/>
      <c r="J73" s="342">
        <f t="shared" si="0"/>
        <v>63200</v>
      </c>
      <c r="K73" s="650" t="s">
        <v>247</v>
      </c>
      <c r="L73" s="634"/>
      <c r="M73" s="351"/>
      <c r="N73" s="155"/>
      <c r="O73" s="149"/>
    </row>
    <row r="74" spans="1:15" s="150" customFormat="1" ht="17.100000000000001" hidden="1" customHeight="1">
      <c r="A74" s="348"/>
      <c r="B74" s="699" t="s">
        <v>102</v>
      </c>
      <c r="C74" s="700"/>
      <c r="D74" s="349"/>
      <c r="E74" s="350"/>
      <c r="F74" s="323">
        <v>0.5</v>
      </c>
      <c r="G74" s="323">
        <v>1</v>
      </c>
      <c r="H74" s="323">
        <v>2</v>
      </c>
      <c r="I74" s="323">
        <v>4</v>
      </c>
      <c r="J74" s="342">
        <f t="shared" si="0"/>
        <v>270500</v>
      </c>
      <c r="K74" s="710"/>
      <c r="L74" s="711"/>
      <c r="M74" s="351"/>
      <c r="N74" s="155"/>
      <c r="O74" s="149"/>
    </row>
    <row r="75" spans="1:15" s="150" customFormat="1" ht="22.5" customHeight="1">
      <c r="A75" s="151" t="s">
        <v>103</v>
      </c>
      <c r="B75" s="646" t="s">
        <v>104</v>
      </c>
      <c r="C75" s="647"/>
      <c r="D75" s="152"/>
      <c r="E75" s="154">
        <v>1</v>
      </c>
      <c r="F75" s="154">
        <v>2</v>
      </c>
      <c r="G75" s="154">
        <v>4</v>
      </c>
      <c r="H75" s="154">
        <v>8</v>
      </c>
      <c r="I75" s="154"/>
      <c r="J75" s="153">
        <f t="shared" si="0"/>
        <v>638600</v>
      </c>
      <c r="K75" s="691"/>
      <c r="L75" s="692"/>
      <c r="M75" s="291">
        <f t="shared" ref="M75:M80" si="10">+$D$36*D75+$E$36*E75+$F$36*F75+$G$36*G75+$H$36*H75+$I$36*I75</f>
        <v>638600</v>
      </c>
      <c r="N75" s="155"/>
      <c r="O75" s="149"/>
    </row>
    <row r="76" spans="1:15" s="150" customFormat="1" ht="22.5" customHeight="1">
      <c r="A76" s="536" t="s">
        <v>105</v>
      </c>
      <c r="B76" s="760" t="s">
        <v>106</v>
      </c>
      <c r="C76" s="761"/>
      <c r="D76" s="537"/>
      <c r="E76" s="538">
        <f>SUM(E77:E79)</f>
        <v>1</v>
      </c>
      <c r="F76" s="538">
        <f t="shared" ref="F76:H76" si="11">SUM(F77:F79)</f>
        <v>6</v>
      </c>
      <c r="G76" s="538">
        <f t="shared" si="11"/>
        <v>6</v>
      </c>
      <c r="H76" s="538">
        <f t="shared" si="11"/>
        <v>5</v>
      </c>
      <c r="I76" s="538"/>
      <c r="J76" s="539">
        <f t="shared" si="0"/>
        <v>843200</v>
      </c>
      <c r="K76" s="762"/>
      <c r="L76" s="763"/>
      <c r="M76" s="291">
        <f t="shared" si="10"/>
        <v>843200</v>
      </c>
      <c r="N76" s="155"/>
      <c r="O76" s="149"/>
    </row>
    <row r="77" spans="1:15" s="15" customFormat="1" ht="22.5" customHeight="1">
      <c r="A77" s="520"/>
      <c r="B77" s="758" t="s">
        <v>109</v>
      </c>
      <c r="C77" s="759"/>
      <c r="D77" s="540"/>
      <c r="E77" s="522">
        <v>0.5</v>
      </c>
      <c r="F77" s="522">
        <v>0.5</v>
      </c>
      <c r="G77" s="522">
        <v>0.5</v>
      </c>
      <c r="H77" s="522"/>
      <c r="I77" s="522"/>
      <c r="J77" s="527">
        <f t="shared" si="0"/>
        <v>81350</v>
      </c>
      <c r="K77" s="766"/>
      <c r="L77" s="767"/>
      <c r="M77" s="291">
        <f t="shared" si="10"/>
        <v>81350</v>
      </c>
      <c r="N77" s="116"/>
      <c r="O77" s="69"/>
    </row>
    <row r="78" spans="1:15" s="15" customFormat="1" ht="22.5" customHeight="1">
      <c r="A78" s="520"/>
      <c r="B78" s="758" t="s">
        <v>110</v>
      </c>
      <c r="C78" s="759"/>
      <c r="D78" s="541"/>
      <c r="E78" s="522"/>
      <c r="F78" s="522">
        <v>5</v>
      </c>
      <c r="G78" s="522">
        <v>5</v>
      </c>
      <c r="H78" s="522">
        <v>5</v>
      </c>
      <c r="I78" s="522"/>
      <c r="J78" s="527">
        <f t="shared" si="0"/>
        <v>680500</v>
      </c>
      <c r="K78" s="754" t="s">
        <v>178</v>
      </c>
      <c r="L78" s="755"/>
      <c r="M78" s="291">
        <f t="shared" si="10"/>
        <v>680500</v>
      </c>
      <c r="N78" s="68"/>
      <c r="O78" s="69"/>
    </row>
    <row r="79" spans="1:15" s="15" customFormat="1" ht="22.5" customHeight="1">
      <c r="A79" s="520"/>
      <c r="B79" s="758" t="s">
        <v>111</v>
      </c>
      <c r="C79" s="759"/>
      <c r="D79" s="541"/>
      <c r="E79" s="522">
        <v>0.5</v>
      </c>
      <c r="F79" s="522">
        <v>0.5</v>
      </c>
      <c r="G79" s="522">
        <v>0.5</v>
      </c>
      <c r="H79" s="522"/>
      <c r="I79" s="522"/>
      <c r="J79" s="527">
        <f t="shared" si="0"/>
        <v>81350</v>
      </c>
      <c r="K79" s="766"/>
      <c r="L79" s="767"/>
      <c r="M79" s="291">
        <f t="shared" si="10"/>
        <v>81350</v>
      </c>
      <c r="N79" s="68"/>
      <c r="O79" s="69"/>
    </row>
    <row r="80" spans="1:15" s="150" customFormat="1" ht="22.5" customHeight="1" thickBot="1">
      <c r="A80" s="156" t="s">
        <v>107</v>
      </c>
      <c r="B80" s="665" t="s">
        <v>108</v>
      </c>
      <c r="C80" s="666"/>
      <c r="D80" s="157"/>
      <c r="E80" s="158"/>
      <c r="F80" s="158">
        <v>0.5</v>
      </c>
      <c r="G80" s="158">
        <v>1</v>
      </c>
      <c r="H80" s="158">
        <v>2</v>
      </c>
      <c r="I80" s="158"/>
      <c r="J80" s="153">
        <f t="shared" si="0"/>
        <v>144100</v>
      </c>
      <c r="K80" s="691"/>
      <c r="L80" s="692"/>
      <c r="M80" s="291">
        <f t="shared" si="10"/>
        <v>144100</v>
      </c>
      <c r="N80" s="148"/>
      <c r="O80" s="149"/>
    </row>
    <row r="81" spans="1:15" ht="22.5" customHeight="1">
      <c r="A81" s="77"/>
      <c r="B81" s="78" t="s">
        <v>40</v>
      </c>
      <c r="C81" s="79" t="s">
        <v>42</v>
      </c>
      <c r="D81" s="80">
        <f>D37+D47+D67+D72+D75+D76+D80</f>
        <v>0</v>
      </c>
      <c r="E81" s="80">
        <f>E37+E47+E67+E72+E75+E76+E80</f>
        <v>7.5</v>
      </c>
      <c r="F81" s="80">
        <f>F37+F47+F67+F72+F75+F76+F80</f>
        <v>25.5</v>
      </c>
      <c r="G81" s="80">
        <f t="shared" ref="G81:I81" si="12">G37+G47+G67+G72+G75+G76+G80</f>
        <v>80</v>
      </c>
      <c r="H81" s="80">
        <f t="shared" si="12"/>
        <v>89.5</v>
      </c>
      <c r="I81" s="80">
        <f t="shared" si="12"/>
        <v>8</v>
      </c>
      <c r="J81" s="81">
        <f>SUM(D81:I81)</f>
        <v>210.5</v>
      </c>
      <c r="K81" s="651" t="s">
        <v>43</v>
      </c>
      <c r="L81" s="652"/>
      <c r="M81" s="82"/>
      <c r="N81" s="83"/>
      <c r="O81" s="84"/>
    </row>
    <row r="82" spans="1:15" ht="22.5" customHeight="1" thickBot="1">
      <c r="A82" s="85"/>
      <c r="B82" s="86"/>
      <c r="C82" s="87" t="s">
        <v>44</v>
      </c>
      <c r="D82" s="118">
        <f t="shared" ref="D82:I82" si="13">D81*D36</f>
        <v>0</v>
      </c>
      <c r="E82" s="118">
        <f t="shared" si="13"/>
        <v>466500</v>
      </c>
      <c r="F82" s="118">
        <f t="shared" si="13"/>
        <v>1407600</v>
      </c>
      <c r="G82" s="118">
        <f t="shared" si="13"/>
        <v>3624000</v>
      </c>
      <c r="H82" s="118">
        <f t="shared" si="13"/>
        <v>3186200</v>
      </c>
      <c r="I82" s="118">
        <f t="shared" si="13"/>
        <v>252800</v>
      </c>
      <c r="J82" s="341">
        <f>+D36*D81+E36*E81+F36*F81+G36*G81+H36*H81+I36*I81</f>
        <v>8937100</v>
      </c>
      <c r="K82" s="653" t="s">
        <v>45</v>
      </c>
      <c r="L82" s="654"/>
      <c r="M82" s="88"/>
      <c r="N82" s="5"/>
      <c r="O82" s="84"/>
    </row>
    <row r="83" spans="1:15" ht="18.95" customHeight="1">
      <c r="A83" s="89"/>
      <c r="B83" s="90"/>
      <c r="C83" s="90"/>
      <c r="D83" s="90"/>
      <c r="E83" s="91"/>
      <c r="F83" s="91"/>
      <c r="G83" s="91"/>
      <c r="H83" s="91"/>
      <c r="I83" s="91"/>
      <c r="J83" s="91"/>
      <c r="K83" s="91"/>
      <c r="L83" s="91"/>
      <c r="M83" s="88"/>
      <c r="N83" s="5"/>
      <c r="O83" s="92"/>
    </row>
    <row r="84" spans="1:15" ht="22.5" customHeight="1" thickBot="1">
      <c r="A84" s="93" t="s">
        <v>54</v>
      </c>
      <c r="B84" s="94"/>
      <c r="C84" s="94"/>
      <c r="D84" s="94"/>
      <c r="E84" s="95"/>
      <c r="F84" s="95"/>
      <c r="G84" s="95"/>
      <c r="H84" s="95"/>
      <c r="I84" s="95"/>
      <c r="J84" s="95"/>
      <c r="K84" s="95"/>
      <c r="L84" s="95"/>
      <c r="M84" s="5"/>
      <c r="N84" s="5"/>
    </row>
    <row r="85" spans="1:15" ht="22.5" customHeight="1" thickBot="1">
      <c r="A85" s="655" t="s">
        <v>46</v>
      </c>
      <c r="B85" s="656"/>
      <c r="C85" s="657"/>
      <c r="D85" s="17" t="s">
        <v>47</v>
      </c>
      <c r="E85" s="96" t="s">
        <v>48</v>
      </c>
      <c r="F85" s="17" t="s">
        <v>49</v>
      </c>
      <c r="G85" s="658" t="s">
        <v>13</v>
      </c>
      <c r="H85" s="657"/>
      <c r="I85" s="658" t="s">
        <v>14</v>
      </c>
      <c r="J85" s="656"/>
      <c r="K85" s="656"/>
      <c r="L85" s="659"/>
    </row>
    <row r="86" spans="1:15" ht="22.5" customHeight="1" thickTop="1">
      <c r="A86" s="67" t="s">
        <v>65</v>
      </c>
      <c r="B86" s="97" t="s">
        <v>112</v>
      </c>
      <c r="C86" s="98"/>
      <c r="D86" s="99" t="s">
        <v>183</v>
      </c>
      <c r="E86" s="100">
        <v>1</v>
      </c>
      <c r="F86" s="119"/>
      <c r="G86" s="660">
        <f>SUM(G87:H88)</f>
        <v>5000</v>
      </c>
      <c r="H86" s="661"/>
      <c r="I86" s="662"/>
      <c r="J86" s="663"/>
      <c r="K86" s="663"/>
      <c r="L86" s="664"/>
    </row>
    <row r="87" spans="1:15" ht="22.5" customHeight="1">
      <c r="A87" s="139"/>
      <c r="B87" s="140" t="s">
        <v>180</v>
      </c>
      <c r="C87" s="141"/>
      <c r="D87" s="163" t="s">
        <v>183</v>
      </c>
      <c r="E87" s="164">
        <v>1</v>
      </c>
      <c r="F87" s="143"/>
      <c r="G87" s="667">
        <v>5000</v>
      </c>
      <c r="H87" s="668"/>
      <c r="I87" s="669" t="s">
        <v>264</v>
      </c>
      <c r="J87" s="670"/>
      <c r="K87" s="670"/>
      <c r="L87" s="671"/>
    </row>
    <row r="88" spans="1:15" ht="22.5" customHeight="1">
      <c r="A88" s="139"/>
      <c r="B88" s="140" t="s">
        <v>113</v>
      </c>
      <c r="C88" s="141"/>
      <c r="D88" s="321" t="s">
        <v>179</v>
      </c>
      <c r="E88" s="322">
        <v>36</v>
      </c>
      <c r="F88" s="143"/>
      <c r="G88" s="667">
        <f>+E88*F88</f>
        <v>0</v>
      </c>
      <c r="H88" s="668"/>
      <c r="I88" s="669" t="s">
        <v>265</v>
      </c>
      <c r="J88" s="670"/>
      <c r="K88" s="670"/>
      <c r="L88" s="671"/>
    </row>
    <row r="89" spans="1:15" ht="22.5" customHeight="1">
      <c r="A89" s="70" t="s">
        <v>68</v>
      </c>
      <c r="B89" s="101" t="s">
        <v>114</v>
      </c>
      <c r="C89" s="102"/>
      <c r="D89" s="142" t="s">
        <v>183</v>
      </c>
      <c r="E89" s="320">
        <v>1</v>
      </c>
      <c r="F89" s="103"/>
      <c r="G89" s="679">
        <f>SUM(G90:H91)</f>
        <v>30000</v>
      </c>
      <c r="H89" s="680"/>
      <c r="I89" s="669"/>
      <c r="J89" s="670"/>
      <c r="K89" s="670"/>
      <c r="L89" s="671"/>
    </row>
    <row r="90" spans="1:15" ht="22.5" customHeight="1">
      <c r="A90" s="160"/>
      <c r="B90" s="161" t="s">
        <v>115</v>
      </c>
      <c r="C90" s="162"/>
      <c r="D90" s="163" t="s">
        <v>183</v>
      </c>
      <c r="E90" s="164">
        <v>1</v>
      </c>
      <c r="F90" s="165"/>
      <c r="G90" s="667">
        <v>25000</v>
      </c>
      <c r="H90" s="668"/>
      <c r="I90" s="669" t="s">
        <v>266</v>
      </c>
      <c r="J90" s="670"/>
      <c r="K90" s="670"/>
      <c r="L90" s="671"/>
    </row>
    <row r="91" spans="1:15" ht="22.5" customHeight="1" thickBot="1">
      <c r="A91" s="75"/>
      <c r="B91" s="334" t="s">
        <v>116</v>
      </c>
      <c r="C91" s="335"/>
      <c r="D91" s="104" t="s">
        <v>183</v>
      </c>
      <c r="E91" s="76">
        <v>1</v>
      </c>
      <c r="F91" s="105"/>
      <c r="G91" s="672">
        <v>5000</v>
      </c>
      <c r="H91" s="673"/>
      <c r="I91" s="674" t="s">
        <v>267</v>
      </c>
      <c r="J91" s="675"/>
      <c r="K91" s="675"/>
      <c r="L91" s="676"/>
    </row>
    <row r="92" spans="1:15" ht="22.5" customHeight="1" thickBot="1">
      <c r="A92" s="106"/>
      <c r="B92" s="95" t="s">
        <v>40</v>
      </c>
      <c r="C92" s="107"/>
      <c r="D92" s="108"/>
      <c r="E92" s="109"/>
      <c r="F92" s="110"/>
      <c r="G92" s="677">
        <f>G86+G89</f>
        <v>35000</v>
      </c>
      <c r="H92" s="678"/>
      <c r="I92" s="111"/>
      <c r="J92" s="111"/>
      <c r="K92" s="111"/>
      <c r="L92" s="112"/>
      <c r="O92" s="84"/>
    </row>
    <row r="93" spans="1:15" ht="22.5" customHeight="1"/>
  </sheetData>
  <mergeCells count="151">
    <mergeCell ref="E22:F22"/>
    <mergeCell ref="G92:H92"/>
    <mergeCell ref="G89:H89"/>
    <mergeCell ref="I89:L89"/>
    <mergeCell ref="G90:H90"/>
    <mergeCell ref="I90:L90"/>
    <mergeCell ref="G91:H91"/>
    <mergeCell ref="I91:L91"/>
    <mergeCell ref="G86:H86"/>
    <mergeCell ref="I86:L86"/>
    <mergeCell ref="G87:H87"/>
    <mergeCell ref="I87:L87"/>
    <mergeCell ref="G88:H88"/>
    <mergeCell ref="I88:L88"/>
    <mergeCell ref="E26:F26"/>
    <mergeCell ref="B80:C80"/>
    <mergeCell ref="K80:L80"/>
    <mergeCell ref="K81:L81"/>
    <mergeCell ref="K82:L82"/>
    <mergeCell ref="A85:C85"/>
    <mergeCell ref="G85:H85"/>
    <mergeCell ref="I85:L85"/>
    <mergeCell ref="B77:C77"/>
    <mergeCell ref="K77:L77"/>
    <mergeCell ref="B78:C78"/>
    <mergeCell ref="K78:L78"/>
    <mergeCell ref="B79:C79"/>
    <mergeCell ref="K79:L79"/>
    <mergeCell ref="B74:C74"/>
    <mergeCell ref="K74:L74"/>
    <mergeCell ref="B75:C75"/>
    <mergeCell ref="K75:L75"/>
    <mergeCell ref="B76:C76"/>
    <mergeCell ref="K76:L76"/>
    <mergeCell ref="B71:C71"/>
    <mergeCell ref="K71:L71"/>
    <mergeCell ref="B72:C72"/>
    <mergeCell ref="K72:L72"/>
    <mergeCell ref="B73:C73"/>
    <mergeCell ref="K73:L73"/>
    <mergeCell ref="B68:C68"/>
    <mergeCell ref="K68:L68"/>
    <mergeCell ref="B69:C69"/>
    <mergeCell ref="K69:L69"/>
    <mergeCell ref="B70:C70"/>
    <mergeCell ref="K70:L70"/>
    <mergeCell ref="B65:C65"/>
    <mergeCell ref="K65:L65"/>
    <mergeCell ref="B66:C66"/>
    <mergeCell ref="K66:L66"/>
    <mergeCell ref="B67:C67"/>
    <mergeCell ref="K67:L67"/>
    <mergeCell ref="B62:C62"/>
    <mergeCell ref="K62:L62"/>
    <mergeCell ref="B63:C63"/>
    <mergeCell ref="K63:L63"/>
    <mergeCell ref="B64:C64"/>
    <mergeCell ref="K64:L64"/>
    <mergeCell ref="B60:C60"/>
    <mergeCell ref="K60:L60"/>
    <mergeCell ref="B61:C61"/>
    <mergeCell ref="K61:L61"/>
    <mergeCell ref="B57:C57"/>
    <mergeCell ref="K57:L57"/>
    <mergeCell ref="B58:C58"/>
    <mergeCell ref="K58:L58"/>
    <mergeCell ref="B59:C59"/>
    <mergeCell ref="K59:L59"/>
    <mergeCell ref="B54:C54"/>
    <mergeCell ref="K54:L54"/>
    <mergeCell ref="B55:C55"/>
    <mergeCell ref="K55:L55"/>
    <mergeCell ref="B56:C56"/>
    <mergeCell ref="K56:L56"/>
    <mergeCell ref="B51:C51"/>
    <mergeCell ref="K51:L51"/>
    <mergeCell ref="B52:C52"/>
    <mergeCell ref="K52:L52"/>
    <mergeCell ref="O52:R52"/>
    <mergeCell ref="B53:C53"/>
    <mergeCell ref="K53:L53"/>
    <mergeCell ref="B48:C48"/>
    <mergeCell ref="K48:L48"/>
    <mergeCell ref="O48:Q48"/>
    <mergeCell ref="B49:C49"/>
    <mergeCell ref="K49:L49"/>
    <mergeCell ref="B50:C50"/>
    <mergeCell ref="K50:L50"/>
    <mergeCell ref="B43:C43"/>
    <mergeCell ref="K43:L43"/>
    <mergeCell ref="B44:C44"/>
    <mergeCell ref="K44:L44"/>
    <mergeCell ref="B47:C47"/>
    <mergeCell ref="K47:L47"/>
    <mergeCell ref="O38:P38"/>
    <mergeCell ref="B40:C40"/>
    <mergeCell ref="K40:L40"/>
    <mergeCell ref="B41:C41"/>
    <mergeCell ref="K41:L41"/>
    <mergeCell ref="B42:C42"/>
    <mergeCell ref="K42:L42"/>
    <mergeCell ref="B39:C39"/>
    <mergeCell ref="B45:C45"/>
    <mergeCell ref="B46:C46"/>
    <mergeCell ref="A35:C36"/>
    <mergeCell ref="K35:L36"/>
    <mergeCell ref="B37:C37"/>
    <mergeCell ref="K37:L37"/>
    <mergeCell ref="B38:C38"/>
    <mergeCell ref="K38:L38"/>
    <mergeCell ref="E29:F29"/>
    <mergeCell ref="M29:N29"/>
    <mergeCell ref="E30:F30"/>
    <mergeCell ref="M30:N30"/>
    <mergeCell ref="E31:F31"/>
    <mergeCell ref="M31:N31"/>
    <mergeCell ref="A33:L33"/>
    <mergeCell ref="M26:N26"/>
    <mergeCell ref="E27:F27"/>
    <mergeCell ref="M27:N27"/>
    <mergeCell ref="E28:F28"/>
    <mergeCell ref="M28:N28"/>
    <mergeCell ref="E23:F23"/>
    <mergeCell ref="M23:N23"/>
    <mergeCell ref="E24:F24"/>
    <mergeCell ref="M24:N24"/>
    <mergeCell ref="E25:F25"/>
    <mergeCell ref="M25:N25"/>
    <mergeCell ref="M20:N20"/>
    <mergeCell ref="E21:F21"/>
    <mergeCell ref="M21:N21"/>
    <mergeCell ref="J7:K8"/>
    <mergeCell ref="C8:G8"/>
    <mergeCell ref="A9:B9"/>
    <mergeCell ref="A10:B10"/>
    <mergeCell ref="B13:G16"/>
    <mergeCell ref="I13:L13"/>
    <mergeCell ref="I14:L14"/>
    <mergeCell ref="I15:L15"/>
    <mergeCell ref="I16:L16"/>
    <mergeCell ref="A1:L1"/>
    <mergeCell ref="A3:C4"/>
    <mergeCell ref="J3:K3"/>
    <mergeCell ref="J4:K4"/>
    <mergeCell ref="J5:K5"/>
    <mergeCell ref="E6:F6"/>
    <mergeCell ref="J6:K6"/>
    <mergeCell ref="I18:L18"/>
    <mergeCell ref="A20:D20"/>
    <mergeCell ref="E20:F20"/>
    <mergeCell ref="G20:L20"/>
  </mergeCells>
  <phoneticPr fontId="2"/>
  <printOptions horizontalCentered="1"/>
  <pageMargins left="0.39370078740157483" right="0.39370078740157483" top="0.39370078740157483" bottom="0.39370078740157483" header="0.39370078740157483" footer="0.39370078740157483"/>
  <pageSetup paperSize="9" scale="61" orientation="portrait" r:id="rId1"/>
  <headerFooter>
    <oddFooter>&amp;R&amp;"BIZ UDPゴシック,標準"&amp;8株式会社プレック研究所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6259D-43B9-4B74-A3A9-326A16254C21}">
  <sheetPr codeName="Sheet12">
    <tabColor theme="8" tint="0.59999389629810485"/>
  </sheetPr>
  <dimension ref="A1"/>
  <sheetViews>
    <sheetView workbookViewId="0">
      <selection activeCell="J44" sqref="J44"/>
    </sheetView>
  </sheetViews>
  <sheetFormatPr defaultRowHeight="18.75"/>
  <sheetData/>
  <phoneticPr fontId="4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0FCD-B973-43D9-ADD2-B6CCA56FF6AF}">
  <sheetPr codeName="Sheet13">
    <pageSetUpPr fitToPage="1"/>
  </sheetPr>
  <dimension ref="A1:N44"/>
  <sheetViews>
    <sheetView view="pageBreakPreview" topLeftCell="C16" zoomScaleNormal="100" zoomScaleSheetLayoutView="100" workbookViewId="0">
      <selection activeCell="J44" sqref="J44"/>
    </sheetView>
  </sheetViews>
  <sheetFormatPr defaultRowHeight="21" customHeight="1"/>
  <cols>
    <col min="1" max="1" width="3.625" style="167" customWidth="1"/>
    <col min="2" max="2" width="9.5" style="168" customWidth="1"/>
    <col min="3" max="3" width="29.625" style="168" customWidth="1"/>
    <col min="4" max="9" width="9.875" style="166" customWidth="1"/>
    <col min="10" max="11" width="8.375" style="166" customWidth="1"/>
    <col min="12" max="12" width="20.625" style="166" customWidth="1"/>
    <col min="13" max="13" width="25.625" style="166" customWidth="1"/>
    <col min="14" max="257" width="8.625" style="166"/>
    <col min="258" max="258" width="3.625" style="166" customWidth="1"/>
    <col min="259" max="259" width="17.625" style="166" customWidth="1"/>
    <col min="260" max="260" width="11.375" style="166" customWidth="1"/>
    <col min="261" max="266" width="8.625" style="166" customWidth="1"/>
    <col min="267" max="267" width="11.375" style="166" customWidth="1"/>
    <col min="268" max="268" width="20.625" style="166" customWidth="1"/>
    <col min="269" max="269" width="9.375" style="166" bestFit="1" customWidth="1"/>
    <col min="270" max="513" width="8.625" style="166"/>
    <col min="514" max="514" width="3.625" style="166" customWidth="1"/>
    <col min="515" max="515" width="17.625" style="166" customWidth="1"/>
    <col min="516" max="516" width="11.375" style="166" customWidth="1"/>
    <col min="517" max="522" width="8.625" style="166" customWidth="1"/>
    <col min="523" max="523" width="11.375" style="166" customWidth="1"/>
    <col min="524" max="524" width="20.625" style="166" customWidth="1"/>
    <col min="525" max="525" width="9.375" style="166" bestFit="1" customWidth="1"/>
    <col min="526" max="769" width="8.625" style="166"/>
    <col min="770" max="770" width="3.625" style="166" customWidth="1"/>
    <col min="771" max="771" width="17.625" style="166" customWidth="1"/>
    <col min="772" max="772" width="11.375" style="166" customWidth="1"/>
    <col min="773" max="778" width="8.625" style="166" customWidth="1"/>
    <col min="779" max="779" width="11.375" style="166" customWidth="1"/>
    <col min="780" max="780" width="20.625" style="166" customWidth="1"/>
    <col min="781" max="781" width="9.375" style="166" bestFit="1" customWidth="1"/>
    <col min="782" max="1025" width="8.625" style="166"/>
    <col min="1026" max="1026" width="3.625" style="166" customWidth="1"/>
    <col min="1027" max="1027" width="17.625" style="166" customWidth="1"/>
    <col min="1028" max="1028" width="11.375" style="166" customWidth="1"/>
    <col min="1029" max="1034" width="8.625" style="166" customWidth="1"/>
    <col min="1035" max="1035" width="11.375" style="166" customWidth="1"/>
    <col min="1036" max="1036" width="20.625" style="166" customWidth="1"/>
    <col min="1037" max="1037" width="9.375" style="166" bestFit="1" customWidth="1"/>
    <col min="1038" max="1281" width="8.625" style="166"/>
    <col min="1282" max="1282" width="3.625" style="166" customWidth="1"/>
    <col min="1283" max="1283" width="17.625" style="166" customWidth="1"/>
    <col min="1284" max="1284" width="11.375" style="166" customWidth="1"/>
    <col min="1285" max="1290" width="8.625" style="166" customWidth="1"/>
    <col min="1291" max="1291" width="11.375" style="166" customWidth="1"/>
    <col min="1292" max="1292" width="20.625" style="166" customWidth="1"/>
    <col min="1293" max="1293" width="9.375" style="166" bestFit="1" customWidth="1"/>
    <col min="1294" max="1537" width="8.625" style="166"/>
    <col min="1538" max="1538" width="3.625" style="166" customWidth="1"/>
    <col min="1539" max="1539" width="17.625" style="166" customWidth="1"/>
    <col min="1540" max="1540" width="11.375" style="166" customWidth="1"/>
    <col min="1541" max="1546" width="8.625" style="166" customWidth="1"/>
    <col min="1547" max="1547" width="11.375" style="166" customWidth="1"/>
    <col min="1548" max="1548" width="20.625" style="166" customWidth="1"/>
    <col min="1549" max="1549" width="9.375" style="166" bestFit="1" customWidth="1"/>
    <col min="1550" max="1793" width="8.625" style="166"/>
    <col min="1794" max="1794" width="3.625" style="166" customWidth="1"/>
    <col min="1795" max="1795" width="17.625" style="166" customWidth="1"/>
    <col min="1796" max="1796" width="11.375" style="166" customWidth="1"/>
    <col min="1797" max="1802" width="8.625" style="166" customWidth="1"/>
    <col min="1803" max="1803" width="11.375" style="166" customWidth="1"/>
    <col min="1804" max="1804" width="20.625" style="166" customWidth="1"/>
    <col min="1805" max="1805" width="9.375" style="166" bestFit="1" customWidth="1"/>
    <col min="1806" max="2049" width="8.625" style="166"/>
    <col min="2050" max="2050" width="3.625" style="166" customWidth="1"/>
    <col min="2051" max="2051" width="17.625" style="166" customWidth="1"/>
    <col min="2052" max="2052" width="11.375" style="166" customWidth="1"/>
    <col min="2053" max="2058" width="8.625" style="166" customWidth="1"/>
    <col min="2059" max="2059" width="11.375" style="166" customWidth="1"/>
    <col min="2060" max="2060" width="20.625" style="166" customWidth="1"/>
    <col min="2061" max="2061" width="9.375" style="166" bestFit="1" customWidth="1"/>
    <col min="2062" max="2305" width="8.625" style="166"/>
    <col min="2306" max="2306" width="3.625" style="166" customWidth="1"/>
    <col min="2307" max="2307" width="17.625" style="166" customWidth="1"/>
    <col min="2308" max="2308" width="11.375" style="166" customWidth="1"/>
    <col min="2309" max="2314" width="8.625" style="166" customWidth="1"/>
    <col min="2315" max="2315" width="11.375" style="166" customWidth="1"/>
    <col min="2316" max="2316" width="20.625" style="166" customWidth="1"/>
    <col min="2317" max="2317" width="9.375" style="166" bestFit="1" customWidth="1"/>
    <col min="2318" max="2561" width="8.625" style="166"/>
    <col min="2562" max="2562" width="3.625" style="166" customWidth="1"/>
    <col min="2563" max="2563" width="17.625" style="166" customWidth="1"/>
    <col min="2564" max="2564" width="11.375" style="166" customWidth="1"/>
    <col min="2565" max="2570" width="8.625" style="166" customWidth="1"/>
    <col min="2571" max="2571" width="11.375" style="166" customWidth="1"/>
    <col min="2572" max="2572" width="20.625" style="166" customWidth="1"/>
    <col min="2573" max="2573" width="9.375" style="166" bestFit="1" customWidth="1"/>
    <col min="2574" max="2817" width="8.625" style="166"/>
    <col min="2818" max="2818" width="3.625" style="166" customWidth="1"/>
    <col min="2819" max="2819" width="17.625" style="166" customWidth="1"/>
    <col min="2820" max="2820" width="11.375" style="166" customWidth="1"/>
    <col min="2821" max="2826" width="8.625" style="166" customWidth="1"/>
    <col min="2827" max="2827" width="11.375" style="166" customWidth="1"/>
    <col min="2828" max="2828" width="20.625" style="166" customWidth="1"/>
    <col min="2829" max="2829" width="9.375" style="166" bestFit="1" customWidth="1"/>
    <col min="2830" max="3073" width="8.625" style="166"/>
    <col min="3074" max="3074" width="3.625" style="166" customWidth="1"/>
    <col min="3075" max="3075" width="17.625" style="166" customWidth="1"/>
    <col min="3076" max="3076" width="11.375" style="166" customWidth="1"/>
    <col min="3077" max="3082" width="8.625" style="166" customWidth="1"/>
    <col min="3083" max="3083" width="11.375" style="166" customWidth="1"/>
    <col min="3084" max="3084" width="20.625" style="166" customWidth="1"/>
    <col min="3085" max="3085" width="9.375" style="166" bestFit="1" customWidth="1"/>
    <col min="3086" max="3329" width="8.625" style="166"/>
    <col min="3330" max="3330" width="3.625" style="166" customWidth="1"/>
    <col min="3331" max="3331" width="17.625" style="166" customWidth="1"/>
    <col min="3332" max="3332" width="11.375" style="166" customWidth="1"/>
    <col min="3333" max="3338" width="8.625" style="166" customWidth="1"/>
    <col min="3339" max="3339" width="11.375" style="166" customWidth="1"/>
    <col min="3340" max="3340" width="20.625" style="166" customWidth="1"/>
    <col min="3341" max="3341" width="9.375" style="166" bestFit="1" customWidth="1"/>
    <col min="3342" max="3585" width="8.625" style="166"/>
    <col min="3586" max="3586" width="3.625" style="166" customWidth="1"/>
    <col min="3587" max="3587" width="17.625" style="166" customWidth="1"/>
    <col min="3588" max="3588" width="11.375" style="166" customWidth="1"/>
    <col min="3589" max="3594" width="8.625" style="166" customWidth="1"/>
    <col min="3595" max="3595" width="11.375" style="166" customWidth="1"/>
    <col min="3596" max="3596" width="20.625" style="166" customWidth="1"/>
    <col min="3597" max="3597" width="9.375" style="166" bestFit="1" customWidth="1"/>
    <col min="3598" max="3841" width="8.625" style="166"/>
    <col min="3842" max="3842" width="3.625" style="166" customWidth="1"/>
    <col min="3843" max="3843" width="17.625" style="166" customWidth="1"/>
    <col min="3844" max="3844" width="11.375" style="166" customWidth="1"/>
    <col min="3845" max="3850" width="8.625" style="166" customWidth="1"/>
    <col min="3851" max="3851" width="11.375" style="166" customWidth="1"/>
    <col min="3852" max="3852" width="20.625" style="166" customWidth="1"/>
    <col min="3853" max="3853" width="9.375" style="166" bestFit="1" customWidth="1"/>
    <col min="3854" max="4097" width="8.625" style="166"/>
    <col min="4098" max="4098" width="3.625" style="166" customWidth="1"/>
    <col min="4099" max="4099" width="17.625" style="166" customWidth="1"/>
    <col min="4100" max="4100" width="11.375" style="166" customWidth="1"/>
    <col min="4101" max="4106" width="8.625" style="166" customWidth="1"/>
    <col min="4107" max="4107" width="11.375" style="166" customWidth="1"/>
    <col min="4108" max="4108" width="20.625" style="166" customWidth="1"/>
    <col min="4109" max="4109" width="9.375" style="166" bestFit="1" customWidth="1"/>
    <col min="4110" max="4353" width="8.625" style="166"/>
    <col min="4354" max="4354" width="3.625" style="166" customWidth="1"/>
    <col min="4355" max="4355" width="17.625" style="166" customWidth="1"/>
    <col min="4356" max="4356" width="11.375" style="166" customWidth="1"/>
    <col min="4357" max="4362" width="8.625" style="166" customWidth="1"/>
    <col min="4363" max="4363" width="11.375" style="166" customWidth="1"/>
    <col min="4364" max="4364" width="20.625" style="166" customWidth="1"/>
    <col min="4365" max="4365" width="9.375" style="166" bestFit="1" customWidth="1"/>
    <col min="4366" max="4609" width="8.625" style="166"/>
    <col min="4610" max="4610" width="3.625" style="166" customWidth="1"/>
    <col min="4611" max="4611" width="17.625" style="166" customWidth="1"/>
    <col min="4612" max="4612" width="11.375" style="166" customWidth="1"/>
    <col min="4613" max="4618" width="8.625" style="166" customWidth="1"/>
    <col min="4619" max="4619" width="11.375" style="166" customWidth="1"/>
    <col min="4620" max="4620" width="20.625" style="166" customWidth="1"/>
    <col min="4621" max="4621" width="9.375" style="166" bestFit="1" customWidth="1"/>
    <col min="4622" max="4865" width="8.625" style="166"/>
    <col min="4866" max="4866" width="3.625" style="166" customWidth="1"/>
    <col min="4867" max="4867" width="17.625" style="166" customWidth="1"/>
    <col min="4868" max="4868" width="11.375" style="166" customWidth="1"/>
    <col min="4869" max="4874" width="8.625" style="166" customWidth="1"/>
    <col min="4875" max="4875" width="11.375" style="166" customWidth="1"/>
    <col min="4876" max="4876" width="20.625" style="166" customWidth="1"/>
    <col min="4877" max="4877" width="9.375" style="166" bestFit="1" customWidth="1"/>
    <col min="4878" max="5121" width="8.625" style="166"/>
    <col min="5122" max="5122" width="3.625" style="166" customWidth="1"/>
    <col min="5123" max="5123" width="17.625" style="166" customWidth="1"/>
    <col min="5124" max="5124" width="11.375" style="166" customWidth="1"/>
    <col min="5125" max="5130" width="8.625" style="166" customWidth="1"/>
    <col min="5131" max="5131" width="11.375" style="166" customWidth="1"/>
    <col min="5132" max="5132" width="20.625" style="166" customWidth="1"/>
    <col min="5133" max="5133" width="9.375" style="166" bestFit="1" customWidth="1"/>
    <col min="5134" max="5377" width="8.625" style="166"/>
    <col min="5378" max="5378" width="3.625" style="166" customWidth="1"/>
    <col min="5379" max="5379" width="17.625" style="166" customWidth="1"/>
    <col min="5380" max="5380" width="11.375" style="166" customWidth="1"/>
    <col min="5381" max="5386" width="8.625" style="166" customWidth="1"/>
    <col min="5387" max="5387" width="11.375" style="166" customWidth="1"/>
    <col min="5388" max="5388" width="20.625" style="166" customWidth="1"/>
    <col min="5389" max="5389" width="9.375" style="166" bestFit="1" customWidth="1"/>
    <col min="5390" max="5633" width="8.625" style="166"/>
    <col min="5634" max="5634" width="3.625" style="166" customWidth="1"/>
    <col min="5635" max="5635" width="17.625" style="166" customWidth="1"/>
    <col min="5636" max="5636" width="11.375" style="166" customWidth="1"/>
    <col min="5637" max="5642" width="8.625" style="166" customWidth="1"/>
    <col min="5643" max="5643" width="11.375" style="166" customWidth="1"/>
    <col min="5644" max="5644" width="20.625" style="166" customWidth="1"/>
    <col min="5645" max="5645" width="9.375" style="166" bestFit="1" customWidth="1"/>
    <col min="5646" max="5889" width="8.625" style="166"/>
    <col min="5890" max="5890" width="3.625" style="166" customWidth="1"/>
    <col min="5891" max="5891" width="17.625" style="166" customWidth="1"/>
    <col min="5892" max="5892" width="11.375" style="166" customWidth="1"/>
    <col min="5893" max="5898" width="8.625" style="166" customWidth="1"/>
    <col min="5899" max="5899" width="11.375" style="166" customWidth="1"/>
    <col min="5900" max="5900" width="20.625" style="166" customWidth="1"/>
    <col min="5901" max="5901" width="9.375" style="166" bestFit="1" customWidth="1"/>
    <col min="5902" max="6145" width="8.625" style="166"/>
    <col min="6146" max="6146" width="3.625" style="166" customWidth="1"/>
    <col min="6147" max="6147" width="17.625" style="166" customWidth="1"/>
    <col min="6148" max="6148" width="11.375" style="166" customWidth="1"/>
    <col min="6149" max="6154" width="8.625" style="166" customWidth="1"/>
    <col min="6155" max="6155" width="11.375" style="166" customWidth="1"/>
    <col min="6156" max="6156" width="20.625" style="166" customWidth="1"/>
    <col min="6157" max="6157" width="9.375" style="166" bestFit="1" customWidth="1"/>
    <col min="6158" max="6401" width="8.625" style="166"/>
    <col min="6402" max="6402" width="3.625" style="166" customWidth="1"/>
    <col min="6403" max="6403" width="17.625" style="166" customWidth="1"/>
    <col min="6404" max="6404" width="11.375" style="166" customWidth="1"/>
    <col min="6405" max="6410" width="8.625" style="166" customWidth="1"/>
    <col min="6411" max="6411" width="11.375" style="166" customWidth="1"/>
    <col min="6412" max="6412" width="20.625" style="166" customWidth="1"/>
    <col min="6413" max="6413" width="9.375" style="166" bestFit="1" customWidth="1"/>
    <col min="6414" max="6657" width="8.625" style="166"/>
    <col min="6658" max="6658" width="3.625" style="166" customWidth="1"/>
    <col min="6659" max="6659" width="17.625" style="166" customWidth="1"/>
    <col min="6660" max="6660" width="11.375" style="166" customWidth="1"/>
    <col min="6661" max="6666" width="8.625" style="166" customWidth="1"/>
    <col min="6667" max="6667" width="11.375" style="166" customWidth="1"/>
    <col min="6668" max="6668" width="20.625" style="166" customWidth="1"/>
    <col min="6669" max="6669" width="9.375" style="166" bestFit="1" customWidth="1"/>
    <col min="6670" max="6913" width="8.625" style="166"/>
    <col min="6914" max="6914" width="3.625" style="166" customWidth="1"/>
    <col min="6915" max="6915" width="17.625" style="166" customWidth="1"/>
    <col min="6916" max="6916" width="11.375" style="166" customWidth="1"/>
    <col min="6917" max="6922" width="8.625" style="166" customWidth="1"/>
    <col min="6923" max="6923" width="11.375" style="166" customWidth="1"/>
    <col min="6924" max="6924" width="20.625" style="166" customWidth="1"/>
    <col min="6925" max="6925" width="9.375" style="166" bestFit="1" customWidth="1"/>
    <col min="6926" max="7169" width="8.625" style="166"/>
    <col min="7170" max="7170" width="3.625" style="166" customWidth="1"/>
    <col min="7171" max="7171" width="17.625" style="166" customWidth="1"/>
    <col min="7172" max="7172" width="11.375" style="166" customWidth="1"/>
    <col min="7173" max="7178" width="8.625" style="166" customWidth="1"/>
    <col min="7179" max="7179" width="11.375" style="166" customWidth="1"/>
    <col min="7180" max="7180" width="20.625" style="166" customWidth="1"/>
    <col min="7181" max="7181" width="9.375" style="166" bestFit="1" customWidth="1"/>
    <col min="7182" max="7425" width="8.625" style="166"/>
    <col min="7426" max="7426" width="3.625" style="166" customWidth="1"/>
    <col min="7427" max="7427" width="17.625" style="166" customWidth="1"/>
    <col min="7428" max="7428" width="11.375" style="166" customWidth="1"/>
    <col min="7429" max="7434" width="8.625" style="166" customWidth="1"/>
    <col min="7435" max="7435" width="11.375" style="166" customWidth="1"/>
    <col min="7436" max="7436" width="20.625" style="166" customWidth="1"/>
    <col min="7437" max="7437" width="9.375" style="166" bestFit="1" customWidth="1"/>
    <col min="7438" max="7681" width="8.625" style="166"/>
    <col min="7682" max="7682" width="3.625" style="166" customWidth="1"/>
    <col min="7683" max="7683" width="17.625" style="166" customWidth="1"/>
    <col min="7684" max="7684" width="11.375" style="166" customWidth="1"/>
    <col min="7685" max="7690" width="8.625" style="166" customWidth="1"/>
    <col min="7691" max="7691" width="11.375" style="166" customWidth="1"/>
    <col min="7692" max="7692" width="20.625" style="166" customWidth="1"/>
    <col min="7693" max="7693" width="9.375" style="166" bestFit="1" customWidth="1"/>
    <col min="7694" max="7937" width="8.625" style="166"/>
    <col min="7938" max="7938" width="3.625" style="166" customWidth="1"/>
    <col min="7939" max="7939" width="17.625" style="166" customWidth="1"/>
    <col min="7940" max="7940" width="11.375" style="166" customWidth="1"/>
    <col min="7941" max="7946" width="8.625" style="166" customWidth="1"/>
    <col min="7947" max="7947" width="11.375" style="166" customWidth="1"/>
    <col min="7948" max="7948" width="20.625" style="166" customWidth="1"/>
    <col min="7949" max="7949" width="9.375" style="166" bestFit="1" customWidth="1"/>
    <col min="7950" max="8193" width="8.625" style="166"/>
    <col min="8194" max="8194" width="3.625" style="166" customWidth="1"/>
    <col min="8195" max="8195" width="17.625" style="166" customWidth="1"/>
    <col min="8196" max="8196" width="11.375" style="166" customWidth="1"/>
    <col min="8197" max="8202" width="8.625" style="166" customWidth="1"/>
    <col min="8203" max="8203" width="11.375" style="166" customWidth="1"/>
    <col min="8204" max="8204" width="20.625" style="166" customWidth="1"/>
    <col min="8205" max="8205" width="9.375" style="166" bestFit="1" customWidth="1"/>
    <col min="8206" max="8449" width="8.625" style="166"/>
    <col min="8450" max="8450" width="3.625" style="166" customWidth="1"/>
    <col min="8451" max="8451" width="17.625" style="166" customWidth="1"/>
    <col min="8452" max="8452" width="11.375" style="166" customWidth="1"/>
    <col min="8453" max="8458" width="8.625" style="166" customWidth="1"/>
    <col min="8459" max="8459" width="11.375" style="166" customWidth="1"/>
    <col min="8460" max="8460" width="20.625" style="166" customWidth="1"/>
    <col min="8461" max="8461" width="9.375" style="166" bestFit="1" customWidth="1"/>
    <col min="8462" max="8705" width="8.625" style="166"/>
    <col min="8706" max="8706" width="3.625" style="166" customWidth="1"/>
    <col min="8707" max="8707" width="17.625" style="166" customWidth="1"/>
    <col min="8708" max="8708" width="11.375" style="166" customWidth="1"/>
    <col min="8709" max="8714" width="8.625" style="166" customWidth="1"/>
    <col min="8715" max="8715" width="11.375" style="166" customWidth="1"/>
    <col min="8716" max="8716" width="20.625" style="166" customWidth="1"/>
    <col min="8717" max="8717" width="9.375" style="166" bestFit="1" customWidth="1"/>
    <col min="8718" max="8961" width="8.625" style="166"/>
    <col min="8962" max="8962" width="3.625" style="166" customWidth="1"/>
    <col min="8963" max="8963" width="17.625" style="166" customWidth="1"/>
    <col min="8964" max="8964" width="11.375" style="166" customWidth="1"/>
    <col min="8965" max="8970" width="8.625" style="166" customWidth="1"/>
    <col min="8971" max="8971" width="11.375" style="166" customWidth="1"/>
    <col min="8972" max="8972" width="20.625" style="166" customWidth="1"/>
    <col min="8973" max="8973" width="9.375" style="166" bestFit="1" customWidth="1"/>
    <col min="8974" max="9217" width="8.625" style="166"/>
    <col min="9218" max="9218" width="3.625" style="166" customWidth="1"/>
    <col min="9219" max="9219" width="17.625" style="166" customWidth="1"/>
    <col min="9220" max="9220" width="11.375" style="166" customWidth="1"/>
    <col min="9221" max="9226" width="8.625" style="166" customWidth="1"/>
    <col min="9227" max="9227" width="11.375" style="166" customWidth="1"/>
    <col min="9228" max="9228" width="20.625" style="166" customWidth="1"/>
    <col min="9229" max="9229" width="9.375" style="166" bestFit="1" customWidth="1"/>
    <col min="9230" max="9473" width="8.625" style="166"/>
    <col min="9474" max="9474" width="3.625" style="166" customWidth="1"/>
    <col min="9475" max="9475" width="17.625" style="166" customWidth="1"/>
    <col min="9476" max="9476" width="11.375" style="166" customWidth="1"/>
    <col min="9477" max="9482" width="8.625" style="166" customWidth="1"/>
    <col min="9483" max="9483" width="11.375" style="166" customWidth="1"/>
    <col min="9484" max="9484" width="20.625" style="166" customWidth="1"/>
    <col min="9485" max="9485" width="9.375" style="166" bestFit="1" customWidth="1"/>
    <col min="9486" max="9729" width="8.625" style="166"/>
    <col min="9730" max="9730" width="3.625" style="166" customWidth="1"/>
    <col min="9731" max="9731" width="17.625" style="166" customWidth="1"/>
    <col min="9732" max="9732" width="11.375" style="166" customWidth="1"/>
    <col min="9733" max="9738" width="8.625" style="166" customWidth="1"/>
    <col min="9739" max="9739" width="11.375" style="166" customWidth="1"/>
    <col min="9740" max="9740" width="20.625" style="166" customWidth="1"/>
    <col min="9741" max="9741" width="9.375" style="166" bestFit="1" customWidth="1"/>
    <col min="9742" max="9985" width="8.625" style="166"/>
    <col min="9986" max="9986" width="3.625" style="166" customWidth="1"/>
    <col min="9987" max="9987" width="17.625" style="166" customWidth="1"/>
    <col min="9988" max="9988" width="11.375" style="166" customWidth="1"/>
    <col min="9989" max="9994" width="8.625" style="166" customWidth="1"/>
    <col min="9995" max="9995" width="11.375" style="166" customWidth="1"/>
    <col min="9996" max="9996" width="20.625" style="166" customWidth="1"/>
    <col min="9997" max="9997" width="9.375" style="166" bestFit="1" customWidth="1"/>
    <col min="9998" max="10241" width="8.625" style="166"/>
    <col min="10242" max="10242" width="3.625" style="166" customWidth="1"/>
    <col min="10243" max="10243" width="17.625" style="166" customWidth="1"/>
    <col min="10244" max="10244" width="11.375" style="166" customWidth="1"/>
    <col min="10245" max="10250" width="8.625" style="166" customWidth="1"/>
    <col min="10251" max="10251" width="11.375" style="166" customWidth="1"/>
    <col min="10252" max="10252" width="20.625" style="166" customWidth="1"/>
    <col min="10253" max="10253" width="9.375" style="166" bestFit="1" customWidth="1"/>
    <col min="10254" max="10497" width="8.625" style="166"/>
    <col min="10498" max="10498" width="3.625" style="166" customWidth="1"/>
    <col min="10499" max="10499" width="17.625" style="166" customWidth="1"/>
    <col min="10500" max="10500" width="11.375" style="166" customWidth="1"/>
    <col min="10501" max="10506" width="8.625" style="166" customWidth="1"/>
    <col min="10507" max="10507" width="11.375" style="166" customWidth="1"/>
    <col min="10508" max="10508" width="20.625" style="166" customWidth="1"/>
    <col min="10509" max="10509" width="9.375" style="166" bestFit="1" customWidth="1"/>
    <col min="10510" max="10753" width="8.625" style="166"/>
    <col min="10754" max="10754" width="3.625" style="166" customWidth="1"/>
    <col min="10755" max="10755" width="17.625" style="166" customWidth="1"/>
    <col min="10756" max="10756" width="11.375" style="166" customWidth="1"/>
    <col min="10757" max="10762" width="8.625" style="166" customWidth="1"/>
    <col min="10763" max="10763" width="11.375" style="166" customWidth="1"/>
    <col min="10764" max="10764" width="20.625" style="166" customWidth="1"/>
    <col min="10765" max="10765" width="9.375" style="166" bestFit="1" customWidth="1"/>
    <col min="10766" max="11009" width="8.625" style="166"/>
    <col min="11010" max="11010" width="3.625" style="166" customWidth="1"/>
    <col min="11011" max="11011" width="17.625" style="166" customWidth="1"/>
    <col min="11012" max="11012" width="11.375" style="166" customWidth="1"/>
    <col min="11013" max="11018" width="8.625" style="166" customWidth="1"/>
    <col min="11019" max="11019" width="11.375" style="166" customWidth="1"/>
    <col min="11020" max="11020" width="20.625" style="166" customWidth="1"/>
    <col min="11021" max="11021" width="9.375" style="166" bestFit="1" customWidth="1"/>
    <col min="11022" max="11265" width="8.625" style="166"/>
    <col min="11266" max="11266" width="3.625" style="166" customWidth="1"/>
    <col min="11267" max="11267" width="17.625" style="166" customWidth="1"/>
    <col min="11268" max="11268" width="11.375" style="166" customWidth="1"/>
    <col min="11269" max="11274" width="8.625" style="166" customWidth="1"/>
    <col min="11275" max="11275" width="11.375" style="166" customWidth="1"/>
    <col min="11276" max="11276" width="20.625" style="166" customWidth="1"/>
    <col min="11277" max="11277" width="9.375" style="166" bestFit="1" customWidth="1"/>
    <col min="11278" max="11521" width="8.625" style="166"/>
    <col min="11522" max="11522" width="3.625" style="166" customWidth="1"/>
    <col min="11523" max="11523" width="17.625" style="166" customWidth="1"/>
    <col min="11524" max="11524" width="11.375" style="166" customWidth="1"/>
    <col min="11525" max="11530" width="8.625" style="166" customWidth="1"/>
    <col min="11531" max="11531" width="11.375" style="166" customWidth="1"/>
    <col min="11532" max="11532" width="20.625" style="166" customWidth="1"/>
    <col min="11533" max="11533" width="9.375" style="166" bestFit="1" customWidth="1"/>
    <col min="11534" max="11777" width="8.625" style="166"/>
    <col min="11778" max="11778" width="3.625" style="166" customWidth="1"/>
    <col min="11779" max="11779" width="17.625" style="166" customWidth="1"/>
    <col min="11780" max="11780" width="11.375" style="166" customWidth="1"/>
    <col min="11781" max="11786" width="8.625" style="166" customWidth="1"/>
    <col min="11787" max="11787" width="11.375" style="166" customWidth="1"/>
    <col min="11788" max="11788" width="20.625" style="166" customWidth="1"/>
    <col min="11789" max="11789" width="9.375" style="166" bestFit="1" customWidth="1"/>
    <col min="11790" max="12033" width="8.625" style="166"/>
    <col min="12034" max="12034" width="3.625" style="166" customWidth="1"/>
    <col min="12035" max="12035" width="17.625" style="166" customWidth="1"/>
    <col min="12036" max="12036" width="11.375" style="166" customWidth="1"/>
    <col min="12037" max="12042" width="8.625" style="166" customWidth="1"/>
    <col min="12043" max="12043" width="11.375" style="166" customWidth="1"/>
    <col min="12044" max="12044" width="20.625" style="166" customWidth="1"/>
    <col min="12045" max="12045" width="9.375" style="166" bestFit="1" customWidth="1"/>
    <col min="12046" max="12289" width="8.625" style="166"/>
    <col min="12290" max="12290" width="3.625" style="166" customWidth="1"/>
    <col min="12291" max="12291" width="17.625" style="166" customWidth="1"/>
    <col min="12292" max="12292" width="11.375" style="166" customWidth="1"/>
    <col min="12293" max="12298" width="8.625" style="166" customWidth="1"/>
    <col min="12299" max="12299" width="11.375" style="166" customWidth="1"/>
    <col min="12300" max="12300" width="20.625" style="166" customWidth="1"/>
    <col min="12301" max="12301" width="9.375" style="166" bestFit="1" customWidth="1"/>
    <col min="12302" max="12545" width="8.625" style="166"/>
    <col min="12546" max="12546" width="3.625" style="166" customWidth="1"/>
    <col min="12547" max="12547" width="17.625" style="166" customWidth="1"/>
    <col min="12548" max="12548" width="11.375" style="166" customWidth="1"/>
    <col min="12549" max="12554" width="8.625" style="166" customWidth="1"/>
    <col min="12555" max="12555" width="11.375" style="166" customWidth="1"/>
    <col min="12556" max="12556" width="20.625" style="166" customWidth="1"/>
    <col min="12557" max="12557" width="9.375" style="166" bestFit="1" customWidth="1"/>
    <col min="12558" max="12801" width="8.625" style="166"/>
    <col min="12802" max="12802" width="3.625" style="166" customWidth="1"/>
    <col min="12803" max="12803" width="17.625" style="166" customWidth="1"/>
    <col min="12804" max="12804" width="11.375" style="166" customWidth="1"/>
    <col min="12805" max="12810" width="8.625" style="166" customWidth="1"/>
    <col min="12811" max="12811" width="11.375" style="166" customWidth="1"/>
    <col min="12812" max="12812" width="20.625" style="166" customWidth="1"/>
    <col min="12813" max="12813" width="9.375" style="166" bestFit="1" customWidth="1"/>
    <col min="12814" max="13057" width="8.625" style="166"/>
    <col min="13058" max="13058" width="3.625" style="166" customWidth="1"/>
    <col min="13059" max="13059" width="17.625" style="166" customWidth="1"/>
    <col min="13060" max="13060" width="11.375" style="166" customWidth="1"/>
    <col min="13061" max="13066" width="8.625" style="166" customWidth="1"/>
    <col min="13067" max="13067" width="11.375" style="166" customWidth="1"/>
    <col min="13068" max="13068" width="20.625" style="166" customWidth="1"/>
    <col min="13069" max="13069" width="9.375" style="166" bestFit="1" customWidth="1"/>
    <col min="13070" max="13313" width="8.625" style="166"/>
    <col min="13314" max="13314" width="3.625" style="166" customWidth="1"/>
    <col min="13315" max="13315" width="17.625" style="166" customWidth="1"/>
    <col min="13316" max="13316" width="11.375" style="166" customWidth="1"/>
    <col min="13317" max="13322" width="8.625" style="166" customWidth="1"/>
    <col min="13323" max="13323" width="11.375" style="166" customWidth="1"/>
    <col min="13324" max="13324" width="20.625" style="166" customWidth="1"/>
    <col min="13325" max="13325" width="9.375" style="166" bestFit="1" customWidth="1"/>
    <col min="13326" max="13569" width="8.625" style="166"/>
    <col min="13570" max="13570" width="3.625" style="166" customWidth="1"/>
    <col min="13571" max="13571" width="17.625" style="166" customWidth="1"/>
    <col min="13572" max="13572" width="11.375" style="166" customWidth="1"/>
    <col min="13573" max="13578" width="8.625" style="166" customWidth="1"/>
    <col min="13579" max="13579" width="11.375" style="166" customWidth="1"/>
    <col min="13580" max="13580" width="20.625" style="166" customWidth="1"/>
    <col min="13581" max="13581" width="9.375" style="166" bestFit="1" customWidth="1"/>
    <col min="13582" max="13825" width="8.625" style="166"/>
    <col min="13826" max="13826" width="3.625" style="166" customWidth="1"/>
    <col min="13827" max="13827" width="17.625" style="166" customWidth="1"/>
    <col min="13828" max="13828" width="11.375" style="166" customWidth="1"/>
    <col min="13829" max="13834" width="8.625" style="166" customWidth="1"/>
    <col min="13835" max="13835" width="11.375" style="166" customWidth="1"/>
    <col min="13836" max="13836" width="20.625" style="166" customWidth="1"/>
    <col min="13837" max="13837" width="9.375" style="166" bestFit="1" customWidth="1"/>
    <col min="13838" max="14081" width="8.625" style="166"/>
    <col min="14082" max="14082" width="3.625" style="166" customWidth="1"/>
    <col min="14083" max="14083" width="17.625" style="166" customWidth="1"/>
    <col min="14084" max="14084" width="11.375" style="166" customWidth="1"/>
    <col min="14085" max="14090" width="8.625" style="166" customWidth="1"/>
    <col min="14091" max="14091" width="11.375" style="166" customWidth="1"/>
    <col min="14092" max="14092" width="20.625" style="166" customWidth="1"/>
    <col min="14093" max="14093" width="9.375" style="166" bestFit="1" customWidth="1"/>
    <col min="14094" max="14337" width="8.625" style="166"/>
    <col min="14338" max="14338" width="3.625" style="166" customWidth="1"/>
    <col min="14339" max="14339" width="17.625" style="166" customWidth="1"/>
    <col min="14340" max="14340" width="11.375" style="166" customWidth="1"/>
    <col min="14341" max="14346" width="8.625" style="166" customWidth="1"/>
    <col min="14347" max="14347" width="11.375" style="166" customWidth="1"/>
    <col min="14348" max="14348" width="20.625" style="166" customWidth="1"/>
    <col min="14349" max="14349" width="9.375" style="166" bestFit="1" customWidth="1"/>
    <col min="14350" max="14593" width="8.625" style="166"/>
    <col min="14594" max="14594" width="3.625" style="166" customWidth="1"/>
    <col min="14595" max="14595" width="17.625" style="166" customWidth="1"/>
    <col min="14596" max="14596" width="11.375" style="166" customWidth="1"/>
    <col min="14597" max="14602" width="8.625" style="166" customWidth="1"/>
    <col min="14603" max="14603" width="11.375" style="166" customWidth="1"/>
    <col min="14604" max="14604" width="20.625" style="166" customWidth="1"/>
    <col min="14605" max="14605" width="9.375" style="166" bestFit="1" customWidth="1"/>
    <col min="14606" max="14849" width="8.625" style="166"/>
    <col min="14850" max="14850" width="3.625" style="166" customWidth="1"/>
    <col min="14851" max="14851" width="17.625" style="166" customWidth="1"/>
    <col min="14852" max="14852" width="11.375" style="166" customWidth="1"/>
    <col min="14853" max="14858" width="8.625" style="166" customWidth="1"/>
    <col min="14859" max="14859" width="11.375" style="166" customWidth="1"/>
    <col min="14860" max="14860" width="20.625" style="166" customWidth="1"/>
    <col min="14861" max="14861" width="9.375" style="166" bestFit="1" customWidth="1"/>
    <col min="14862" max="15105" width="8.625" style="166"/>
    <col min="15106" max="15106" width="3.625" style="166" customWidth="1"/>
    <col min="15107" max="15107" width="17.625" style="166" customWidth="1"/>
    <col min="15108" max="15108" width="11.375" style="166" customWidth="1"/>
    <col min="15109" max="15114" width="8.625" style="166" customWidth="1"/>
    <col min="15115" max="15115" width="11.375" style="166" customWidth="1"/>
    <col min="15116" max="15116" width="20.625" style="166" customWidth="1"/>
    <col min="15117" max="15117" width="9.375" style="166" bestFit="1" customWidth="1"/>
    <col min="15118" max="15361" width="8.625" style="166"/>
    <col min="15362" max="15362" width="3.625" style="166" customWidth="1"/>
    <col min="15363" max="15363" width="17.625" style="166" customWidth="1"/>
    <col min="15364" max="15364" width="11.375" style="166" customWidth="1"/>
    <col min="15365" max="15370" width="8.625" style="166" customWidth="1"/>
    <col min="15371" max="15371" width="11.375" style="166" customWidth="1"/>
    <col min="15372" max="15372" width="20.625" style="166" customWidth="1"/>
    <col min="15373" max="15373" width="9.375" style="166" bestFit="1" customWidth="1"/>
    <col min="15374" max="15617" width="8.625" style="166"/>
    <col min="15618" max="15618" width="3.625" style="166" customWidth="1"/>
    <col min="15619" max="15619" width="17.625" style="166" customWidth="1"/>
    <col min="15620" max="15620" width="11.375" style="166" customWidth="1"/>
    <col min="15621" max="15626" width="8.625" style="166" customWidth="1"/>
    <col min="15627" max="15627" width="11.375" style="166" customWidth="1"/>
    <col min="15628" max="15628" width="20.625" style="166" customWidth="1"/>
    <col min="15629" max="15629" width="9.375" style="166" bestFit="1" customWidth="1"/>
    <col min="15630" max="15873" width="8.625" style="166"/>
    <col min="15874" max="15874" width="3.625" style="166" customWidth="1"/>
    <col min="15875" max="15875" width="17.625" style="166" customWidth="1"/>
    <col min="15876" max="15876" width="11.375" style="166" customWidth="1"/>
    <col min="15877" max="15882" width="8.625" style="166" customWidth="1"/>
    <col min="15883" max="15883" width="11.375" style="166" customWidth="1"/>
    <col min="15884" max="15884" width="20.625" style="166" customWidth="1"/>
    <col min="15885" max="15885" width="9.375" style="166" bestFit="1" customWidth="1"/>
    <col min="15886" max="16129" width="8.625" style="166"/>
    <col min="16130" max="16130" width="3.625" style="166" customWidth="1"/>
    <col min="16131" max="16131" width="17.625" style="166" customWidth="1"/>
    <col min="16132" max="16132" width="11.375" style="166" customWidth="1"/>
    <col min="16133" max="16138" width="8.625" style="166" customWidth="1"/>
    <col min="16139" max="16139" width="11.375" style="166" customWidth="1"/>
    <col min="16140" max="16140" width="20.625" style="166" customWidth="1"/>
    <col min="16141" max="16141" width="9.375" style="166" bestFit="1" customWidth="1"/>
    <col min="16142" max="16384" width="8.625" style="166"/>
  </cols>
  <sheetData>
    <row r="1" spans="1:12" ht="27.75">
      <c r="A1" s="556" t="s">
        <v>0</v>
      </c>
      <c r="B1" s="556"/>
      <c r="C1" s="556"/>
      <c r="D1" s="556"/>
      <c r="E1" s="556"/>
      <c r="F1" s="556"/>
      <c r="G1" s="556"/>
      <c r="H1" s="556"/>
      <c r="I1" s="556"/>
      <c r="J1" s="556"/>
      <c r="K1" s="556"/>
      <c r="L1" s="556"/>
    </row>
    <row r="2" spans="1:12" ht="24" customHeight="1">
      <c r="A2" s="3"/>
      <c r="B2" s="4"/>
      <c r="C2" s="4"/>
      <c r="D2" s="5"/>
      <c r="E2" s="5"/>
      <c r="F2" s="5"/>
      <c r="G2" s="5"/>
      <c r="H2" s="5"/>
      <c r="I2" s="5"/>
      <c r="J2" s="5"/>
      <c r="K2" s="5"/>
      <c r="L2" s="136">
        <v>45321</v>
      </c>
    </row>
    <row r="3" spans="1:12" ht="24" customHeight="1">
      <c r="A3" s="778" t="s">
        <v>62</v>
      </c>
      <c r="B3" s="778"/>
      <c r="C3" s="778"/>
      <c r="D3" s="125"/>
      <c r="E3" s="6"/>
      <c r="F3" s="5"/>
      <c r="G3" s="5"/>
      <c r="H3" s="5"/>
      <c r="I3" s="5"/>
      <c r="J3" s="776" t="s">
        <v>1</v>
      </c>
      <c r="K3" s="776"/>
      <c r="L3" s="328" t="s">
        <v>50</v>
      </c>
    </row>
    <row r="4" spans="1:12" ht="24" customHeight="1">
      <c r="A4" s="779"/>
      <c r="B4" s="779"/>
      <c r="C4" s="779"/>
      <c r="D4" s="134"/>
      <c r="E4" s="134"/>
      <c r="F4" s="134"/>
      <c r="G4" s="5"/>
      <c r="H4" s="5"/>
      <c r="I4" s="5"/>
      <c r="J4" s="790" t="s">
        <v>57</v>
      </c>
      <c r="K4" s="791"/>
      <c r="L4" s="329">
        <v>45747</v>
      </c>
    </row>
    <row r="5" spans="1:12" ht="24" customHeight="1">
      <c r="A5" s="3"/>
      <c r="B5" s="8"/>
      <c r="C5" s="130"/>
      <c r="D5" s="130"/>
      <c r="E5" s="6"/>
      <c r="F5" s="5"/>
      <c r="G5" s="5"/>
      <c r="H5" s="5"/>
      <c r="I5" s="5"/>
      <c r="J5" s="773" t="s">
        <v>58</v>
      </c>
      <c r="K5" s="774"/>
      <c r="L5" s="330" t="s">
        <v>4</v>
      </c>
    </row>
    <row r="6" spans="1:12" ht="24" customHeight="1">
      <c r="A6" s="131" t="s">
        <v>52</v>
      </c>
      <c r="B6" s="131"/>
      <c r="C6" s="325">
        <f>+E29</f>
        <v>23230800</v>
      </c>
      <c r="D6" s="326" t="s">
        <v>2</v>
      </c>
      <c r="E6" s="792">
        <f>+E27*0.1</f>
        <v>2151000</v>
      </c>
      <c r="F6" s="792"/>
      <c r="G6" s="327" t="s">
        <v>3</v>
      </c>
      <c r="H6" s="135"/>
      <c r="I6" s="5"/>
      <c r="J6" s="773" t="s">
        <v>59</v>
      </c>
      <c r="K6" s="774"/>
      <c r="L6" s="330" t="s">
        <v>5</v>
      </c>
    </row>
    <row r="7" spans="1:12" ht="24" customHeight="1">
      <c r="A7" s="132"/>
      <c r="B7" s="133"/>
      <c r="C7" s="124"/>
      <c r="D7" s="124"/>
      <c r="E7" s="124"/>
      <c r="F7" s="124"/>
      <c r="G7" s="124"/>
      <c r="H7" s="124"/>
      <c r="I7" s="5"/>
      <c r="J7" s="773" t="s">
        <v>60</v>
      </c>
      <c r="K7" s="774"/>
      <c r="L7" s="330" t="s">
        <v>63</v>
      </c>
    </row>
    <row r="8" spans="1:12" ht="24" customHeight="1">
      <c r="A8" s="131" t="s">
        <v>6</v>
      </c>
      <c r="B8" s="131"/>
      <c r="C8" s="777" t="s">
        <v>61</v>
      </c>
      <c r="D8" s="777"/>
      <c r="E8" s="777"/>
      <c r="F8" s="777"/>
      <c r="G8" s="777"/>
      <c r="H8" s="124"/>
      <c r="I8" s="5"/>
      <c r="J8" s="775"/>
      <c r="K8" s="776"/>
      <c r="L8" s="331" t="s">
        <v>64</v>
      </c>
    </row>
    <row r="9" spans="1:12" ht="24" customHeight="1">
      <c r="A9" s="568"/>
      <c r="B9" s="568"/>
      <c r="C9" s="124"/>
      <c r="D9" s="124"/>
      <c r="E9" s="124"/>
      <c r="F9" s="124"/>
      <c r="G9" s="124"/>
      <c r="H9" s="124"/>
      <c r="I9" s="5"/>
      <c r="J9" s="128"/>
      <c r="K9" s="128"/>
      <c r="L9" s="129"/>
    </row>
    <row r="10" spans="1:12" ht="24" customHeight="1">
      <c r="A10" s="3"/>
      <c r="B10" s="159" t="s">
        <v>7</v>
      </c>
      <c r="C10" s="333"/>
      <c r="D10" s="5"/>
      <c r="E10" s="5"/>
      <c r="F10" s="5"/>
      <c r="G10" s="5"/>
      <c r="H10" s="5"/>
      <c r="I10" s="5"/>
      <c r="J10" s="5"/>
      <c r="K10" s="5"/>
      <c r="L10" s="5"/>
    </row>
    <row r="11" spans="1:12" ht="24" customHeight="1">
      <c r="A11" s="3"/>
      <c r="B11" s="332" t="s">
        <v>8</v>
      </c>
      <c r="C11" s="333"/>
      <c r="D11" s="5"/>
      <c r="E11" s="5"/>
      <c r="F11" s="5"/>
      <c r="G11" s="5"/>
      <c r="H11" s="5"/>
      <c r="I11" s="5"/>
      <c r="J11" s="5"/>
      <c r="K11" s="5"/>
      <c r="L11" s="5"/>
    </row>
    <row r="12" spans="1:12" ht="24" customHeight="1">
      <c r="A12" s="3"/>
      <c r="B12" s="781" t="s">
        <v>51</v>
      </c>
      <c r="C12" s="782"/>
      <c r="D12" s="782"/>
      <c r="E12" s="782"/>
      <c r="F12" s="782"/>
      <c r="G12" s="783"/>
      <c r="H12" s="5"/>
      <c r="I12" s="780" t="s">
        <v>56</v>
      </c>
      <c r="J12" s="780"/>
      <c r="K12" s="780"/>
      <c r="L12" s="780"/>
    </row>
    <row r="13" spans="1:12" ht="24" customHeight="1">
      <c r="A13" s="13"/>
      <c r="B13" s="784"/>
      <c r="C13" s="785"/>
      <c r="D13" s="785"/>
      <c r="E13" s="785"/>
      <c r="F13" s="785"/>
      <c r="G13" s="786"/>
      <c r="H13" s="5"/>
      <c r="I13" s="780" t="s">
        <v>9</v>
      </c>
      <c r="J13" s="780"/>
      <c r="K13" s="780"/>
      <c r="L13" s="780"/>
    </row>
    <row r="14" spans="1:12" ht="24" customHeight="1">
      <c r="A14" s="13"/>
      <c r="B14" s="784"/>
      <c r="C14" s="785"/>
      <c r="D14" s="785"/>
      <c r="E14" s="785"/>
      <c r="F14" s="785"/>
      <c r="G14" s="786"/>
      <c r="H14" s="5"/>
      <c r="I14" s="780" t="s">
        <v>55</v>
      </c>
      <c r="J14" s="780"/>
      <c r="K14" s="780"/>
      <c r="L14" s="780"/>
    </row>
    <row r="15" spans="1:12" ht="24" customHeight="1">
      <c r="A15" s="13"/>
      <c r="B15" s="787"/>
      <c r="C15" s="788"/>
      <c r="D15" s="788"/>
      <c r="E15" s="788"/>
      <c r="F15" s="788"/>
      <c r="G15" s="789"/>
      <c r="H15" s="5"/>
      <c r="I15" s="780" t="s">
        <v>10</v>
      </c>
      <c r="J15" s="780"/>
      <c r="K15" s="780"/>
      <c r="L15" s="780"/>
    </row>
    <row r="16" spans="1:12" ht="24" customHeight="1">
      <c r="A16" s="13"/>
      <c r="B16" s="123"/>
      <c r="C16" s="123"/>
      <c r="D16" s="123"/>
      <c r="E16" s="123"/>
      <c r="F16" s="123"/>
      <c r="G16" s="123"/>
      <c r="H16" s="5"/>
      <c r="I16" s="120"/>
      <c r="J16" s="120"/>
      <c r="K16" s="120"/>
      <c r="L16" s="120"/>
    </row>
    <row r="17" spans="1:14" s="169" customFormat="1" ht="24" customHeight="1" thickBot="1">
      <c r="A17" s="170" t="s">
        <v>11</v>
      </c>
      <c r="B17" s="171"/>
      <c r="C17" s="171"/>
      <c r="D17" s="171"/>
    </row>
    <row r="18" spans="1:14" s="169" customFormat="1" ht="24" customHeight="1" thickBot="1">
      <c r="A18" s="768" t="s">
        <v>12</v>
      </c>
      <c r="B18" s="769"/>
      <c r="C18" s="769"/>
      <c r="D18" s="770"/>
      <c r="E18" s="771" t="s">
        <v>13</v>
      </c>
      <c r="F18" s="770"/>
      <c r="G18" s="771" t="s">
        <v>14</v>
      </c>
      <c r="H18" s="769"/>
      <c r="I18" s="769"/>
      <c r="J18" s="769"/>
      <c r="K18" s="769"/>
      <c r="L18" s="772"/>
    </row>
    <row r="19" spans="1:14" s="169" customFormat="1" ht="24" customHeight="1" thickTop="1">
      <c r="A19" s="173">
        <v>1</v>
      </c>
      <c r="B19" s="174" t="s">
        <v>15</v>
      </c>
      <c r="C19" s="174" t="s">
        <v>307</v>
      </c>
      <c r="D19" s="175"/>
      <c r="E19" s="793">
        <f>造園基本計画!I33</f>
        <v>5528706</v>
      </c>
      <c r="F19" s="794"/>
      <c r="G19" s="176"/>
      <c r="H19" s="177"/>
      <c r="I19" s="177"/>
      <c r="J19" s="177"/>
      <c r="K19" s="177"/>
      <c r="L19" s="178"/>
    </row>
    <row r="20" spans="1:14" s="169" customFormat="1" ht="24" customHeight="1">
      <c r="A20" s="173"/>
      <c r="B20" s="174" t="s">
        <v>306</v>
      </c>
      <c r="C20" s="174" t="s">
        <v>308</v>
      </c>
      <c r="D20" s="175"/>
      <c r="E20" s="795">
        <f>+造園基本計画_別表!I44</f>
        <v>3474800</v>
      </c>
      <c r="F20" s="796"/>
      <c r="G20" s="176"/>
      <c r="H20" s="177"/>
      <c r="I20" s="177"/>
      <c r="J20" s="177"/>
      <c r="K20" s="177"/>
      <c r="L20" s="178"/>
    </row>
    <row r="21" spans="1:14" s="169" customFormat="1" ht="24" customHeight="1">
      <c r="A21" s="179">
        <v>2</v>
      </c>
      <c r="B21" s="180" t="s">
        <v>17</v>
      </c>
      <c r="C21" s="180"/>
      <c r="D21" s="181"/>
      <c r="E21" s="795">
        <f>G44</f>
        <v>134000</v>
      </c>
      <c r="F21" s="796"/>
      <c r="G21" s="182" t="s">
        <v>118</v>
      </c>
      <c r="H21" s="183"/>
      <c r="I21" s="183"/>
      <c r="J21" s="183"/>
      <c r="K21" s="183"/>
      <c r="L21" s="184"/>
    </row>
    <row r="22" spans="1:14" s="169" customFormat="1" ht="24" customHeight="1">
      <c r="A22" s="173">
        <v>3</v>
      </c>
      <c r="B22" s="180" t="s">
        <v>19</v>
      </c>
      <c r="C22" s="180"/>
      <c r="D22" s="181"/>
      <c r="E22" s="795">
        <f>(+E19+E20)+E21</f>
        <v>9137506</v>
      </c>
      <c r="F22" s="796"/>
      <c r="G22" s="182" t="s">
        <v>20</v>
      </c>
      <c r="H22" s="183"/>
      <c r="I22" s="183"/>
      <c r="J22" s="183"/>
      <c r="K22" s="183"/>
      <c r="L22" s="544">
        <f>E20</f>
        <v>3474800</v>
      </c>
      <c r="M22" s="550">
        <f>造園基本計画!I33</f>
        <v>5528706</v>
      </c>
    </row>
    <row r="23" spans="1:14" s="169" customFormat="1" ht="24" customHeight="1">
      <c r="A23" s="179">
        <v>4</v>
      </c>
      <c r="B23" s="180" t="s">
        <v>21</v>
      </c>
      <c r="C23" s="180"/>
      <c r="D23" s="181"/>
      <c r="E23" s="795">
        <f>+ROUNDDOWN((E19+E20)*0.5385,0)</f>
        <v>4848387</v>
      </c>
      <c r="F23" s="796"/>
      <c r="G23" s="182" t="s">
        <v>22</v>
      </c>
      <c r="H23" s="183"/>
      <c r="I23" s="183"/>
      <c r="J23" s="185"/>
      <c r="K23" s="185"/>
      <c r="L23" s="545">
        <f>+ROUNDDOWN((L22)*0.5385,0)</f>
        <v>1871179</v>
      </c>
      <c r="M23" s="545">
        <f>+ROUNDDOWN((M22)*0.5385,0)</f>
        <v>2977208</v>
      </c>
    </row>
    <row r="24" spans="1:14" s="169" customFormat="1" ht="24" customHeight="1">
      <c r="A24" s="173">
        <v>5</v>
      </c>
      <c r="B24" s="180" t="s">
        <v>23</v>
      </c>
      <c r="C24" s="180"/>
      <c r="D24" s="181"/>
      <c r="E24" s="795">
        <f>+E22+E23</f>
        <v>13985893</v>
      </c>
      <c r="F24" s="796"/>
      <c r="G24" s="182" t="s">
        <v>24</v>
      </c>
      <c r="H24" s="183"/>
      <c r="I24" s="183"/>
      <c r="J24" s="185"/>
      <c r="K24" s="185"/>
      <c r="L24" s="547">
        <f>SUM(L22:L23)</f>
        <v>5345979</v>
      </c>
      <c r="M24" s="545">
        <f>+M22+M23</f>
        <v>8505914</v>
      </c>
      <c r="N24" s="546"/>
    </row>
    <row r="25" spans="1:14" s="169" customFormat="1" ht="24" customHeight="1">
      <c r="A25" s="186">
        <v>6</v>
      </c>
      <c r="B25" s="187" t="s">
        <v>25</v>
      </c>
      <c r="C25" s="187"/>
      <c r="D25" s="188"/>
      <c r="E25" s="814">
        <f>+ROUNDDOWN(E24*0.5385,0)</f>
        <v>7531403</v>
      </c>
      <c r="F25" s="815"/>
      <c r="G25" s="189" t="s">
        <v>26</v>
      </c>
      <c r="H25" s="190"/>
      <c r="I25" s="190"/>
      <c r="J25" s="191"/>
      <c r="K25" s="191"/>
      <c r="L25" s="548">
        <f>+ROUNDDOWN(L24*0.5385,0)</f>
        <v>2878809</v>
      </c>
      <c r="M25" s="552">
        <f>+ROUNDDOWN(M24*0.5385,0)</f>
        <v>4580434</v>
      </c>
    </row>
    <row r="26" spans="1:14" s="169" customFormat="1" ht="24" customHeight="1">
      <c r="A26" s="192" t="s">
        <v>27</v>
      </c>
      <c r="B26" s="174"/>
      <c r="C26" s="174"/>
      <c r="D26" s="175"/>
      <c r="E26" s="793">
        <f>+E24+E25</f>
        <v>21517296</v>
      </c>
      <c r="F26" s="794"/>
      <c r="G26" s="176" t="s">
        <v>28</v>
      </c>
      <c r="H26" s="177"/>
      <c r="I26" s="177"/>
      <c r="J26" s="177"/>
      <c r="K26" s="177"/>
      <c r="L26" s="549">
        <f>SUM(L24:L25)</f>
        <v>8224788</v>
      </c>
      <c r="M26" s="551">
        <f>M24+M25</f>
        <v>13086348</v>
      </c>
    </row>
    <row r="27" spans="1:14" s="169" customFormat="1" ht="24" customHeight="1">
      <c r="A27" s="193" t="s">
        <v>29</v>
      </c>
      <c r="B27" s="180"/>
      <c r="C27" s="180"/>
      <c r="D27" s="181"/>
      <c r="E27" s="795">
        <f>ROUNDDOWN(E26,-4)</f>
        <v>21510000</v>
      </c>
      <c r="F27" s="796"/>
      <c r="G27" s="182" t="s">
        <v>30</v>
      </c>
      <c r="H27" s="183"/>
      <c r="I27" s="183"/>
      <c r="J27" s="183"/>
      <c r="K27" s="183"/>
      <c r="L27" s="184"/>
      <c r="M27" s="194">
        <f>+M29/1.08</f>
        <v>0</v>
      </c>
    </row>
    <row r="28" spans="1:14" s="169" customFormat="1" ht="24" customHeight="1">
      <c r="A28" s="193" t="s">
        <v>119</v>
      </c>
      <c r="B28" s="180"/>
      <c r="C28" s="180"/>
      <c r="D28" s="181"/>
      <c r="E28" s="795">
        <f>+E27*0.1</f>
        <v>2151000</v>
      </c>
      <c r="F28" s="796"/>
      <c r="G28" s="195">
        <v>0.1</v>
      </c>
      <c r="H28" s="183"/>
      <c r="I28" s="183"/>
      <c r="J28" s="183"/>
      <c r="K28" s="183"/>
      <c r="L28" s="184"/>
    </row>
    <row r="29" spans="1:14" ht="24" customHeight="1" thickBot="1">
      <c r="A29" s="196" t="s">
        <v>32</v>
      </c>
      <c r="B29" s="197"/>
      <c r="C29" s="197"/>
      <c r="D29" s="197"/>
      <c r="E29" s="808">
        <f>+E27*1.08</f>
        <v>23230800</v>
      </c>
      <c r="F29" s="809"/>
      <c r="G29" s="198"/>
      <c r="H29" s="199"/>
      <c r="I29" s="199"/>
      <c r="J29" s="199"/>
      <c r="K29" s="199"/>
      <c r="L29" s="200"/>
      <c r="M29" s="194"/>
    </row>
    <row r="30" spans="1:14" ht="24" customHeight="1">
      <c r="A30" s="201"/>
      <c r="B30" s="169"/>
      <c r="C30" s="169"/>
      <c r="D30" s="169"/>
      <c r="E30" s="202"/>
      <c r="F30" s="202"/>
      <c r="M30" s="194"/>
    </row>
    <row r="31" spans="1:14" ht="24" customHeight="1" thickBot="1">
      <c r="A31" s="203" t="s">
        <v>120</v>
      </c>
      <c r="B31" s="204"/>
      <c r="C31" s="62"/>
      <c r="D31" s="62"/>
      <c r="E31" s="62"/>
      <c r="F31" s="205"/>
      <c r="G31" s="204"/>
      <c r="H31" s="204"/>
      <c r="I31" s="62"/>
      <c r="J31" s="206"/>
      <c r="K31" s="206"/>
      <c r="L31" s="207" t="s">
        <v>172</v>
      </c>
      <c r="M31" s="194"/>
    </row>
    <row r="32" spans="1:14" ht="24" customHeight="1">
      <c r="A32" s="208" t="s">
        <v>210</v>
      </c>
      <c r="B32" s="209"/>
      <c r="C32" s="210"/>
      <c r="D32" s="211"/>
      <c r="E32" s="212"/>
      <c r="F32" s="213"/>
      <c r="G32" s="214"/>
      <c r="H32" s="214"/>
      <c r="I32" s="214"/>
      <c r="J32" s="209"/>
      <c r="K32" s="209"/>
      <c r="L32" s="215"/>
      <c r="M32" s="194"/>
    </row>
    <row r="33" spans="1:13" ht="24" customHeight="1" thickBot="1">
      <c r="A33" s="216"/>
      <c r="B33" s="217"/>
      <c r="C33" s="217"/>
      <c r="D33" s="217"/>
      <c r="E33" s="534">
        <f>造園基本計画_別表!I16</f>
        <v>5420300</v>
      </c>
      <c r="F33" s="218" t="s">
        <v>121</v>
      </c>
      <c r="G33" s="219">
        <f>+H34</f>
        <v>1.02</v>
      </c>
      <c r="H33" s="220" t="s">
        <v>122</v>
      </c>
      <c r="I33" s="810">
        <f>+E33*G33</f>
        <v>5528706</v>
      </c>
      <c r="J33" s="810"/>
      <c r="K33" s="221"/>
      <c r="L33" s="222"/>
      <c r="M33" s="194"/>
    </row>
    <row r="34" spans="1:13" ht="24" customHeight="1">
      <c r="A34" s="223"/>
      <c r="B34" s="224" t="s">
        <v>212</v>
      </c>
      <c r="C34" s="225"/>
      <c r="D34" s="224"/>
      <c r="E34" s="224"/>
      <c r="F34" s="224" t="s">
        <v>215</v>
      </c>
      <c r="G34" s="226" t="s">
        <v>123</v>
      </c>
      <c r="H34" s="227">
        <f>ROUND(+H35*H36*H37*H38,2)</f>
        <v>1.02</v>
      </c>
      <c r="I34" s="811"/>
      <c r="J34" s="812"/>
      <c r="K34" s="812"/>
      <c r="L34" s="813"/>
      <c r="M34" s="194"/>
    </row>
    <row r="35" spans="1:13" ht="24" customHeight="1">
      <c r="A35" s="228"/>
      <c r="B35" s="229" t="s">
        <v>124</v>
      </c>
      <c r="C35" s="229"/>
      <c r="D35" s="229"/>
      <c r="E35" s="229"/>
      <c r="F35" s="230" t="s">
        <v>125</v>
      </c>
      <c r="G35" s="230" t="s">
        <v>123</v>
      </c>
      <c r="H35" s="231">
        <f>(I35/10)^0.57</f>
        <v>0.59316319400140383</v>
      </c>
      <c r="I35" s="799">
        <v>4</v>
      </c>
      <c r="J35" s="800"/>
      <c r="K35" s="800"/>
      <c r="L35" s="801"/>
      <c r="M35" s="194"/>
    </row>
    <row r="36" spans="1:13" ht="24" customHeight="1">
      <c r="A36" s="228"/>
      <c r="B36" s="229" t="s">
        <v>126</v>
      </c>
      <c r="C36" s="232"/>
      <c r="D36" s="232"/>
      <c r="E36" s="232"/>
      <c r="F36" s="230" t="s">
        <v>127</v>
      </c>
      <c r="G36" s="230" t="s">
        <v>123</v>
      </c>
      <c r="H36" s="233">
        <v>1.1000000000000001</v>
      </c>
      <c r="I36" s="802" t="s">
        <v>174</v>
      </c>
      <c r="J36" s="803"/>
      <c r="K36" s="803"/>
      <c r="L36" s="804"/>
      <c r="M36" s="194"/>
    </row>
    <row r="37" spans="1:13" ht="24" customHeight="1">
      <c r="A37" s="228"/>
      <c r="B37" s="286" t="s">
        <v>128</v>
      </c>
      <c r="C37" s="287"/>
      <c r="D37" s="232"/>
      <c r="E37" s="232"/>
      <c r="F37" s="230" t="s">
        <v>129</v>
      </c>
      <c r="G37" s="230" t="s">
        <v>123</v>
      </c>
      <c r="H37" s="233">
        <v>1.25</v>
      </c>
      <c r="I37" s="802" t="s">
        <v>130</v>
      </c>
      <c r="J37" s="803"/>
      <c r="K37" s="803"/>
      <c r="L37" s="804"/>
      <c r="M37" s="194"/>
    </row>
    <row r="38" spans="1:13" ht="24" customHeight="1" thickBot="1">
      <c r="A38" s="543"/>
      <c r="B38" s="237" t="s">
        <v>175</v>
      </c>
      <c r="C38" s="234"/>
      <c r="D38" s="234"/>
      <c r="E38" s="234"/>
      <c r="F38" s="235" t="s">
        <v>176</v>
      </c>
      <c r="G38" s="235" t="s">
        <v>177</v>
      </c>
      <c r="H38" s="236">
        <v>1.25</v>
      </c>
      <c r="I38" s="805"/>
      <c r="J38" s="806"/>
      <c r="K38" s="806"/>
      <c r="L38" s="807"/>
      <c r="M38" s="194"/>
    </row>
    <row r="39" spans="1:13" ht="24" customHeight="1">
      <c r="A39" s="238"/>
      <c r="B39" s="238"/>
      <c r="C39" s="239"/>
      <c r="D39" s="239"/>
      <c r="E39" s="239"/>
      <c r="F39" s="240"/>
      <c r="G39" s="240"/>
      <c r="H39" s="241"/>
      <c r="I39" s="242"/>
      <c r="J39" s="242"/>
      <c r="K39" s="242"/>
      <c r="L39" s="242"/>
      <c r="M39" s="194"/>
    </row>
    <row r="40" spans="1:13" ht="21" customHeight="1" thickBot="1">
      <c r="A40" s="203" t="s">
        <v>131</v>
      </c>
      <c r="B40" s="171"/>
      <c r="C40" s="171"/>
      <c r="D40" s="171"/>
      <c r="E40" s="169"/>
      <c r="F40" s="169"/>
      <c r="G40" s="169"/>
      <c r="H40" s="169"/>
      <c r="I40" s="169"/>
      <c r="J40" s="169"/>
      <c r="K40" s="169"/>
      <c r="L40" s="169"/>
    </row>
    <row r="41" spans="1:13" ht="21" customHeight="1" thickBot="1">
      <c r="A41" s="768" t="s">
        <v>46</v>
      </c>
      <c r="B41" s="769"/>
      <c r="C41" s="770"/>
      <c r="D41" s="172" t="s">
        <v>47</v>
      </c>
      <c r="E41" s="243" t="s">
        <v>48</v>
      </c>
      <c r="F41" s="172" t="s">
        <v>49</v>
      </c>
      <c r="G41" s="771" t="s">
        <v>13</v>
      </c>
      <c r="H41" s="770"/>
      <c r="I41" s="771" t="s">
        <v>14</v>
      </c>
      <c r="J41" s="769"/>
      <c r="K41" s="769"/>
      <c r="L41" s="772"/>
    </row>
    <row r="42" spans="1:13" ht="21" customHeight="1" thickTop="1">
      <c r="A42" s="67" t="s">
        <v>65</v>
      </c>
      <c r="B42" s="97" t="s">
        <v>112</v>
      </c>
      <c r="C42" s="98"/>
      <c r="D42" s="99"/>
      <c r="E42" s="100"/>
      <c r="F42" s="119"/>
      <c r="G42" s="660"/>
      <c r="H42" s="661"/>
      <c r="I42" s="662"/>
      <c r="J42" s="663"/>
      <c r="K42" s="663"/>
      <c r="L42" s="664"/>
    </row>
    <row r="43" spans="1:13" ht="21" customHeight="1" thickBot="1">
      <c r="A43" s="75" t="s">
        <v>68</v>
      </c>
      <c r="B43" s="334" t="s">
        <v>114</v>
      </c>
      <c r="C43" s="335"/>
      <c r="D43" s="104"/>
      <c r="E43" s="76"/>
      <c r="F43" s="105"/>
      <c r="G43" s="682">
        <f>+ROUNDDOWN(5.1*((E19/1000)^0.38)*1000,-3)</f>
        <v>134000</v>
      </c>
      <c r="H43" s="683"/>
      <c r="I43" s="674"/>
      <c r="J43" s="675"/>
      <c r="K43" s="675"/>
      <c r="L43" s="676"/>
    </row>
    <row r="44" spans="1:13" ht="21" customHeight="1" thickBot="1">
      <c r="A44" s="244"/>
      <c r="B44" s="245" t="s">
        <v>40</v>
      </c>
      <c r="C44" s="246"/>
      <c r="D44" s="247"/>
      <c r="E44" s="248"/>
      <c r="F44" s="249"/>
      <c r="G44" s="797">
        <f>G42+G43</f>
        <v>134000</v>
      </c>
      <c r="H44" s="798"/>
      <c r="I44" s="250"/>
      <c r="J44" s="250"/>
      <c r="K44" s="250"/>
      <c r="L44" s="251"/>
    </row>
  </sheetData>
  <mergeCells count="43">
    <mergeCell ref="E24:F24"/>
    <mergeCell ref="E25:F25"/>
    <mergeCell ref="E26:F26"/>
    <mergeCell ref="E27:F27"/>
    <mergeCell ref="E28:F28"/>
    <mergeCell ref="E29:F29"/>
    <mergeCell ref="G42:H42"/>
    <mergeCell ref="I42:L42"/>
    <mergeCell ref="I33:J33"/>
    <mergeCell ref="I34:L34"/>
    <mergeCell ref="J6:K6"/>
    <mergeCell ref="G44:H44"/>
    <mergeCell ref="I35:L35"/>
    <mergeCell ref="I36:L36"/>
    <mergeCell ref="I37:L37"/>
    <mergeCell ref="I38:L38"/>
    <mergeCell ref="E6:F6"/>
    <mergeCell ref="E19:F19"/>
    <mergeCell ref="E21:F21"/>
    <mergeCell ref="E22:F22"/>
    <mergeCell ref="E23:F23"/>
    <mergeCell ref="E20:F20"/>
    <mergeCell ref="A41:C41"/>
    <mergeCell ref="G41:H41"/>
    <mergeCell ref="I41:L41"/>
    <mergeCell ref="G43:H43"/>
    <mergeCell ref="I43:L43"/>
    <mergeCell ref="A18:D18"/>
    <mergeCell ref="E18:F18"/>
    <mergeCell ref="G18:L18"/>
    <mergeCell ref="A1:L1"/>
    <mergeCell ref="A9:B9"/>
    <mergeCell ref="J7:K8"/>
    <mergeCell ref="C8:G8"/>
    <mergeCell ref="A3:C4"/>
    <mergeCell ref="J3:K3"/>
    <mergeCell ref="I12:L12"/>
    <mergeCell ref="I13:L13"/>
    <mergeCell ref="I14:L14"/>
    <mergeCell ref="I15:L15"/>
    <mergeCell ref="B12:G15"/>
    <mergeCell ref="J4:K4"/>
    <mergeCell ref="J5:K5"/>
  </mergeCells>
  <phoneticPr fontId="4"/>
  <printOptions horizontalCentered="1"/>
  <pageMargins left="0.39370078740157483" right="0.39370078740157483" top="0.78740157480314965" bottom="0.59055118110236227" header="0.39370078740157483" footer="0.19685039370078741"/>
  <pageSetup paperSize="9" scale="63" orientation="portrait" r:id="rId1"/>
  <headerFooter alignWithMargins="0">
    <oddFooter>&amp;R&amp;"ＭＳ ゴシック,標準"&amp;10株式会社プレック研究所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E70A-C118-4C9F-B958-C3215AFFB6DD}">
  <sheetPr codeName="Sheet14">
    <pageSetUpPr fitToPage="1"/>
  </sheetPr>
  <dimension ref="A1:M44"/>
  <sheetViews>
    <sheetView view="pageBreakPreview" topLeftCell="A15" zoomScaleNormal="100" zoomScaleSheetLayoutView="100" workbookViewId="0">
      <selection activeCell="J44" sqref="J44"/>
    </sheetView>
  </sheetViews>
  <sheetFormatPr defaultRowHeight="18.75" customHeight="1"/>
  <cols>
    <col min="1" max="1" width="2.875" style="64" customWidth="1"/>
    <col min="2" max="2" width="24.625" style="64" customWidth="1"/>
    <col min="3" max="8" width="7.375" style="64" customWidth="1"/>
    <col min="9" max="9" width="10.875" style="64" customWidth="1"/>
    <col min="10" max="10" width="17.125" style="64" customWidth="1"/>
    <col min="11" max="11" width="13.25" style="340" customWidth="1"/>
    <col min="12" max="12" width="8.625" style="64"/>
    <col min="13" max="13" width="15.5" style="64" bestFit="1" customWidth="1"/>
    <col min="14" max="256" width="8.625" style="64"/>
    <col min="257" max="257" width="2.875" style="64" customWidth="1"/>
    <col min="258" max="258" width="22.875" style="64" customWidth="1"/>
    <col min="259" max="264" width="7.375" style="64" customWidth="1"/>
    <col min="265" max="265" width="10.875" style="64" customWidth="1"/>
    <col min="266" max="266" width="17.125" style="64" customWidth="1"/>
    <col min="267" max="267" width="9.625" style="64" bestFit="1" customWidth="1"/>
    <col min="268" max="512" width="8.625" style="64"/>
    <col min="513" max="513" width="2.875" style="64" customWidth="1"/>
    <col min="514" max="514" width="22.875" style="64" customWidth="1"/>
    <col min="515" max="520" width="7.375" style="64" customWidth="1"/>
    <col min="521" max="521" width="10.875" style="64" customWidth="1"/>
    <col min="522" max="522" width="17.125" style="64" customWidth="1"/>
    <col min="523" max="523" width="9.625" style="64" bestFit="1" customWidth="1"/>
    <col min="524" max="768" width="8.625" style="64"/>
    <col min="769" max="769" width="2.875" style="64" customWidth="1"/>
    <col min="770" max="770" width="22.875" style="64" customWidth="1"/>
    <col min="771" max="776" width="7.375" style="64" customWidth="1"/>
    <col min="777" max="777" width="10.875" style="64" customWidth="1"/>
    <col min="778" max="778" width="17.125" style="64" customWidth="1"/>
    <col min="779" max="779" width="9.625" style="64" bestFit="1" customWidth="1"/>
    <col min="780" max="1024" width="8.625" style="64"/>
    <col min="1025" max="1025" width="2.875" style="64" customWidth="1"/>
    <col min="1026" max="1026" width="22.875" style="64" customWidth="1"/>
    <col min="1027" max="1032" width="7.375" style="64" customWidth="1"/>
    <col min="1033" max="1033" width="10.875" style="64" customWidth="1"/>
    <col min="1034" max="1034" width="17.125" style="64" customWidth="1"/>
    <col min="1035" max="1035" width="9.625" style="64" bestFit="1" customWidth="1"/>
    <col min="1036" max="1280" width="8.625" style="64"/>
    <col min="1281" max="1281" width="2.875" style="64" customWidth="1"/>
    <col min="1282" max="1282" width="22.875" style="64" customWidth="1"/>
    <col min="1283" max="1288" width="7.375" style="64" customWidth="1"/>
    <col min="1289" max="1289" width="10.875" style="64" customWidth="1"/>
    <col min="1290" max="1290" width="17.125" style="64" customWidth="1"/>
    <col min="1291" max="1291" width="9.625" style="64" bestFit="1" customWidth="1"/>
    <col min="1292" max="1536" width="8.625" style="64"/>
    <col min="1537" max="1537" width="2.875" style="64" customWidth="1"/>
    <col min="1538" max="1538" width="22.875" style="64" customWidth="1"/>
    <col min="1539" max="1544" width="7.375" style="64" customWidth="1"/>
    <col min="1545" max="1545" width="10.875" style="64" customWidth="1"/>
    <col min="1546" max="1546" width="17.125" style="64" customWidth="1"/>
    <col min="1547" max="1547" width="9.625" style="64" bestFit="1" customWidth="1"/>
    <col min="1548" max="1792" width="8.625" style="64"/>
    <col min="1793" max="1793" width="2.875" style="64" customWidth="1"/>
    <col min="1794" max="1794" width="22.875" style="64" customWidth="1"/>
    <col min="1795" max="1800" width="7.375" style="64" customWidth="1"/>
    <col min="1801" max="1801" width="10.875" style="64" customWidth="1"/>
    <col min="1802" max="1802" width="17.125" style="64" customWidth="1"/>
    <col min="1803" max="1803" width="9.625" style="64" bestFit="1" customWidth="1"/>
    <col min="1804" max="2048" width="8.625" style="64"/>
    <col min="2049" max="2049" width="2.875" style="64" customWidth="1"/>
    <col min="2050" max="2050" width="22.875" style="64" customWidth="1"/>
    <col min="2051" max="2056" width="7.375" style="64" customWidth="1"/>
    <col min="2057" max="2057" width="10.875" style="64" customWidth="1"/>
    <col min="2058" max="2058" width="17.125" style="64" customWidth="1"/>
    <col min="2059" max="2059" width="9.625" style="64" bestFit="1" customWidth="1"/>
    <col min="2060" max="2304" width="8.625" style="64"/>
    <col min="2305" max="2305" width="2.875" style="64" customWidth="1"/>
    <col min="2306" max="2306" width="22.875" style="64" customWidth="1"/>
    <col min="2307" max="2312" width="7.375" style="64" customWidth="1"/>
    <col min="2313" max="2313" width="10.875" style="64" customWidth="1"/>
    <col min="2314" max="2314" width="17.125" style="64" customWidth="1"/>
    <col min="2315" max="2315" width="9.625" style="64" bestFit="1" customWidth="1"/>
    <col min="2316" max="2560" width="8.625" style="64"/>
    <col min="2561" max="2561" width="2.875" style="64" customWidth="1"/>
    <col min="2562" max="2562" width="22.875" style="64" customWidth="1"/>
    <col min="2563" max="2568" width="7.375" style="64" customWidth="1"/>
    <col min="2569" max="2569" width="10.875" style="64" customWidth="1"/>
    <col min="2570" max="2570" width="17.125" style="64" customWidth="1"/>
    <col min="2571" max="2571" width="9.625" style="64" bestFit="1" customWidth="1"/>
    <col min="2572" max="2816" width="8.625" style="64"/>
    <col min="2817" max="2817" width="2.875" style="64" customWidth="1"/>
    <col min="2818" max="2818" width="22.875" style="64" customWidth="1"/>
    <col min="2819" max="2824" width="7.375" style="64" customWidth="1"/>
    <col min="2825" max="2825" width="10.875" style="64" customWidth="1"/>
    <col min="2826" max="2826" width="17.125" style="64" customWidth="1"/>
    <col min="2827" max="2827" width="9.625" style="64" bestFit="1" customWidth="1"/>
    <col min="2828" max="3072" width="8.625" style="64"/>
    <col min="3073" max="3073" width="2.875" style="64" customWidth="1"/>
    <col min="3074" max="3074" width="22.875" style="64" customWidth="1"/>
    <col min="3075" max="3080" width="7.375" style="64" customWidth="1"/>
    <col min="3081" max="3081" width="10.875" style="64" customWidth="1"/>
    <col min="3082" max="3082" width="17.125" style="64" customWidth="1"/>
    <col min="3083" max="3083" width="9.625" style="64" bestFit="1" customWidth="1"/>
    <col min="3084" max="3328" width="8.625" style="64"/>
    <col min="3329" max="3329" width="2.875" style="64" customWidth="1"/>
    <col min="3330" max="3330" width="22.875" style="64" customWidth="1"/>
    <col min="3331" max="3336" width="7.375" style="64" customWidth="1"/>
    <col min="3337" max="3337" width="10.875" style="64" customWidth="1"/>
    <col min="3338" max="3338" width="17.125" style="64" customWidth="1"/>
    <col min="3339" max="3339" width="9.625" style="64" bestFit="1" customWidth="1"/>
    <col min="3340" max="3584" width="8.625" style="64"/>
    <col min="3585" max="3585" width="2.875" style="64" customWidth="1"/>
    <col min="3586" max="3586" width="22.875" style="64" customWidth="1"/>
    <col min="3587" max="3592" width="7.375" style="64" customWidth="1"/>
    <col min="3593" max="3593" width="10.875" style="64" customWidth="1"/>
    <col min="3594" max="3594" width="17.125" style="64" customWidth="1"/>
    <col min="3595" max="3595" width="9.625" style="64" bestFit="1" customWidth="1"/>
    <col min="3596" max="3840" width="8.625" style="64"/>
    <col min="3841" max="3841" width="2.875" style="64" customWidth="1"/>
    <col min="3842" max="3842" width="22.875" style="64" customWidth="1"/>
    <col min="3843" max="3848" width="7.375" style="64" customWidth="1"/>
    <col min="3849" max="3849" width="10.875" style="64" customWidth="1"/>
    <col min="3850" max="3850" width="17.125" style="64" customWidth="1"/>
    <col min="3851" max="3851" width="9.625" style="64" bestFit="1" customWidth="1"/>
    <col min="3852" max="4096" width="8.625" style="64"/>
    <col min="4097" max="4097" width="2.875" style="64" customWidth="1"/>
    <col min="4098" max="4098" width="22.875" style="64" customWidth="1"/>
    <col min="4099" max="4104" width="7.375" style="64" customWidth="1"/>
    <col min="4105" max="4105" width="10.875" style="64" customWidth="1"/>
    <col min="4106" max="4106" width="17.125" style="64" customWidth="1"/>
    <col min="4107" max="4107" width="9.625" style="64" bestFit="1" customWidth="1"/>
    <col min="4108" max="4352" width="8.625" style="64"/>
    <col min="4353" max="4353" width="2.875" style="64" customWidth="1"/>
    <col min="4354" max="4354" width="22.875" style="64" customWidth="1"/>
    <col min="4355" max="4360" width="7.375" style="64" customWidth="1"/>
    <col min="4361" max="4361" width="10.875" style="64" customWidth="1"/>
    <col min="4362" max="4362" width="17.125" style="64" customWidth="1"/>
    <col min="4363" max="4363" width="9.625" style="64" bestFit="1" customWidth="1"/>
    <col min="4364" max="4608" width="8.625" style="64"/>
    <col min="4609" max="4609" width="2.875" style="64" customWidth="1"/>
    <col min="4610" max="4610" width="22.875" style="64" customWidth="1"/>
    <col min="4611" max="4616" width="7.375" style="64" customWidth="1"/>
    <col min="4617" max="4617" width="10.875" style="64" customWidth="1"/>
    <col min="4618" max="4618" width="17.125" style="64" customWidth="1"/>
    <col min="4619" max="4619" width="9.625" style="64" bestFit="1" customWidth="1"/>
    <col min="4620" max="4864" width="8.625" style="64"/>
    <col min="4865" max="4865" width="2.875" style="64" customWidth="1"/>
    <col min="4866" max="4866" width="22.875" style="64" customWidth="1"/>
    <col min="4867" max="4872" width="7.375" style="64" customWidth="1"/>
    <col min="4873" max="4873" width="10.875" style="64" customWidth="1"/>
    <col min="4874" max="4874" width="17.125" style="64" customWidth="1"/>
    <col min="4875" max="4875" width="9.625" style="64" bestFit="1" customWidth="1"/>
    <col min="4876" max="5120" width="8.625" style="64"/>
    <col min="5121" max="5121" width="2.875" style="64" customWidth="1"/>
    <col min="5122" max="5122" width="22.875" style="64" customWidth="1"/>
    <col min="5123" max="5128" width="7.375" style="64" customWidth="1"/>
    <col min="5129" max="5129" width="10.875" style="64" customWidth="1"/>
    <col min="5130" max="5130" width="17.125" style="64" customWidth="1"/>
    <col min="5131" max="5131" width="9.625" style="64" bestFit="1" customWidth="1"/>
    <col min="5132" max="5376" width="8.625" style="64"/>
    <col min="5377" max="5377" width="2.875" style="64" customWidth="1"/>
    <col min="5378" max="5378" width="22.875" style="64" customWidth="1"/>
    <col min="5379" max="5384" width="7.375" style="64" customWidth="1"/>
    <col min="5385" max="5385" width="10.875" style="64" customWidth="1"/>
    <col min="5386" max="5386" width="17.125" style="64" customWidth="1"/>
    <col min="5387" max="5387" width="9.625" style="64" bestFit="1" customWidth="1"/>
    <col min="5388" max="5632" width="8.625" style="64"/>
    <col min="5633" max="5633" width="2.875" style="64" customWidth="1"/>
    <col min="5634" max="5634" width="22.875" style="64" customWidth="1"/>
    <col min="5635" max="5640" width="7.375" style="64" customWidth="1"/>
    <col min="5641" max="5641" width="10.875" style="64" customWidth="1"/>
    <col min="5642" max="5642" width="17.125" style="64" customWidth="1"/>
    <col min="5643" max="5643" width="9.625" style="64" bestFit="1" customWidth="1"/>
    <col min="5644" max="5888" width="8.625" style="64"/>
    <col min="5889" max="5889" width="2.875" style="64" customWidth="1"/>
    <col min="5890" max="5890" width="22.875" style="64" customWidth="1"/>
    <col min="5891" max="5896" width="7.375" style="64" customWidth="1"/>
    <col min="5897" max="5897" width="10.875" style="64" customWidth="1"/>
    <col min="5898" max="5898" width="17.125" style="64" customWidth="1"/>
    <col min="5899" max="5899" width="9.625" style="64" bestFit="1" customWidth="1"/>
    <col min="5900" max="6144" width="8.625" style="64"/>
    <col min="6145" max="6145" width="2.875" style="64" customWidth="1"/>
    <col min="6146" max="6146" width="22.875" style="64" customWidth="1"/>
    <col min="6147" max="6152" width="7.375" style="64" customWidth="1"/>
    <col min="6153" max="6153" width="10.875" style="64" customWidth="1"/>
    <col min="6154" max="6154" width="17.125" style="64" customWidth="1"/>
    <col min="6155" max="6155" width="9.625" style="64" bestFit="1" customWidth="1"/>
    <col min="6156" max="6400" width="8.625" style="64"/>
    <col min="6401" max="6401" width="2.875" style="64" customWidth="1"/>
    <col min="6402" max="6402" width="22.875" style="64" customWidth="1"/>
    <col min="6403" max="6408" width="7.375" style="64" customWidth="1"/>
    <col min="6409" max="6409" width="10.875" style="64" customWidth="1"/>
    <col min="6410" max="6410" width="17.125" style="64" customWidth="1"/>
    <col min="6411" max="6411" width="9.625" style="64" bestFit="1" customWidth="1"/>
    <col min="6412" max="6656" width="8.625" style="64"/>
    <col min="6657" max="6657" width="2.875" style="64" customWidth="1"/>
    <col min="6658" max="6658" width="22.875" style="64" customWidth="1"/>
    <col min="6659" max="6664" width="7.375" style="64" customWidth="1"/>
    <col min="6665" max="6665" width="10.875" style="64" customWidth="1"/>
    <col min="6666" max="6666" width="17.125" style="64" customWidth="1"/>
    <col min="6667" max="6667" width="9.625" style="64" bestFit="1" customWidth="1"/>
    <col min="6668" max="6912" width="8.625" style="64"/>
    <col min="6913" max="6913" width="2.875" style="64" customWidth="1"/>
    <col min="6914" max="6914" width="22.875" style="64" customWidth="1"/>
    <col min="6915" max="6920" width="7.375" style="64" customWidth="1"/>
    <col min="6921" max="6921" width="10.875" style="64" customWidth="1"/>
    <col min="6922" max="6922" width="17.125" style="64" customWidth="1"/>
    <col min="6923" max="6923" width="9.625" style="64" bestFit="1" customWidth="1"/>
    <col min="6924" max="7168" width="8.625" style="64"/>
    <col min="7169" max="7169" width="2.875" style="64" customWidth="1"/>
    <col min="7170" max="7170" width="22.875" style="64" customWidth="1"/>
    <col min="7171" max="7176" width="7.375" style="64" customWidth="1"/>
    <col min="7177" max="7177" width="10.875" style="64" customWidth="1"/>
    <col min="7178" max="7178" width="17.125" style="64" customWidth="1"/>
    <col min="7179" max="7179" width="9.625" style="64" bestFit="1" customWidth="1"/>
    <col min="7180" max="7424" width="8.625" style="64"/>
    <col min="7425" max="7425" width="2.875" style="64" customWidth="1"/>
    <col min="7426" max="7426" width="22.875" style="64" customWidth="1"/>
    <col min="7427" max="7432" width="7.375" style="64" customWidth="1"/>
    <col min="7433" max="7433" width="10.875" style="64" customWidth="1"/>
    <col min="7434" max="7434" width="17.125" style="64" customWidth="1"/>
    <col min="7435" max="7435" width="9.625" style="64" bestFit="1" customWidth="1"/>
    <col min="7436" max="7680" width="8.625" style="64"/>
    <col min="7681" max="7681" width="2.875" style="64" customWidth="1"/>
    <col min="7682" max="7682" width="22.875" style="64" customWidth="1"/>
    <col min="7683" max="7688" width="7.375" style="64" customWidth="1"/>
    <col min="7689" max="7689" width="10.875" style="64" customWidth="1"/>
    <col min="7690" max="7690" width="17.125" style="64" customWidth="1"/>
    <col min="7691" max="7691" width="9.625" style="64" bestFit="1" customWidth="1"/>
    <col min="7692" max="7936" width="8.625" style="64"/>
    <col min="7937" max="7937" width="2.875" style="64" customWidth="1"/>
    <col min="7938" max="7938" width="22.875" style="64" customWidth="1"/>
    <col min="7939" max="7944" width="7.375" style="64" customWidth="1"/>
    <col min="7945" max="7945" width="10.875" style="64" customWidth="1"/>
    <col min="7946" max="7946" width="17.125" style="64" customWidth="1"/>
    <col min="7947" max="7947" width="9.625" style="64" bestFit="1" customWidth="1"/>
    <col min="7948" max="8192" width="8.625" style="64"/>
    <col min="8193" max="8193" width="2.875" style="64" customWidth="1"/>
    <col min="8194" max="8194" width="22.875" style="64" customWidth="1"/>
    <col min="8195" max="8200" width="7.375" style="64" customWidth="1"/>
    <col min="8201" max="8201" width="10.875" style="64" customWidth="1"/>
    <col min="8202" max="8202" width="17.125" style="64" customWidth="1"/>
    <col min="8203" max="8203" width="9.625" style="64" bestFit="1" customWidth="1"/>
    <col min="8204" max="8448" width="8.625" style="64"/>
    <col min="8449" max="8449" width="2.875" style="64" customWidth="1"/>
    <col min="8450" max="8450" width="22.875" style="64" customWidth="1"/>
    <col min="8451" max="8456" width="7.375" style="64" customWidth="1"/>
    <col min="8457" max="8457" width="10.875" style="64" customWidth="1"/>
    <col min="8458" max="8458" width="17.125" style="64" customWidth="1"/>
    <col min="8459" max="8459" width="9.625" style="64" bestFit="1" customWidth="1"/>
    <col min="8460" max="8704" width="8.625" style="64"/>
    <col min="8705" max="8705" width="2.875" style="64" customWidth="1"/>
    <col min="8706" max="8706" width="22.875" style="64" customWidth="1"/>
    <col min="8707" max="8712" width="7.375" style="64" customWidth="1"/>
    <col min="8713" max="8713" width="10.875" style="64" customWidth="1"/>
    <col min="8714" max="8714" width="17.125" style="64" customWidth="1"/>
    <col min="8715" max="8715" width="9.625" style="64" bestFit="1" customWidth="1"/>
    <col min="8716" max="8960" width="8.625" style="64"/>
    <col min="8961" max="8961" width="2.875" style="64" customWidth="1"/>
    <col min="8962" max="8962" width="22.875" style="64" customWidth="1"/>
    <col min="8963" max="8968" width="7.375" style="64" customWidth="1"/>
    <col min="8969" max="8969" width="10.875" style="64" customWidth="1"/>
    <col min="8970" max="8970" width="17.125" style="64" customWidth="1"/>
    <col min="8971" max="8971" width="9.625" style="64" bestFit="1" customWidth="1"/>
    <col min="8972" max="9216" width="8.625" style="64"/>
    <col min="9217" max="9217" width="2.875" style="64" customWidth="1"/>
    <col min="9218" max="9218" width="22.875" style="64" customWidth="1"/>
    <col min="9219" max="9224" width="7.375" style="64" customWidth="1"/>
    <col min="9225" max="9225" width="10.875" style="64" customWidth="1"/>
    <col min="9226" max="9226" width="17.125" style="64" customWidth="1"/>
    <col min="9227" max="9227" width="9.625" style="64" bestFit="1" customWidth="1"/>
    <col min="9228" max="9472" width="8.625" style="64"/>
    <col min="9473" max="9473" width="2.875" style="64" customWidth="1"/>
    <col min="9474" max="9474" width="22.875" style="64" customWidth="1"/>
    <col min="9475" max="9480" width="7.375" style="64" customWidth="1"/>
    <col min="9481" max="9481" width="10.875" style="64" customWidth="1"/>
    <col min="9482" max="9482" width="17.125" style="64" customWidth="1"/>
    <col min="9483" max="9483" width="9.625" style="64" bestFit="1" customWidth="1"/>
    <col min="9484" max="9728" width="8.625" style="64"/>
    <col min="9729" max="9729" width="2.875" style="64" customWidth="1"/>
    <col min="9730" max="9730" width="22.875" style="64" customWidth="1"/>
    <col min="9731" max="9736" width="7.375" style="64" customWidth="1"/>
    <col min="9737" max="9737" width="10.875" style="64" customWidth="1"/>
    <col min="9738" max="9738" width="17.125" style="64" customWidth="1"/>
    <col min="9739" max="9739" width="9.625" style="64" bestFit="1" customWidth="1"/>
    <col min="9740" max="9984" width="8.625" style="64"/>
    <col min="9985" max="9985" width="2.875" style="64" customWidth="1"/>
    <col min="9986" max="9986" width="22.875" style="64" customWidth="1"/>
    <col min="9987" max="9992" width="7.375" style="64" customWidth="1"/>
    <col min="9993" max="9993" width="10.875" style="64" customWidth="1"/>
    <col min="9994" max="9994" width="17.125" style="64" customWidth="1"/>
    <col min="9995" max="9995" width="9.625" style="64" bestFit="1" customWidth="1"/>
    <col min="9996" max="10240" width="8.625" style="64"/>
    <col min="10241" max="10241" width="2.875" style="64" customWidth="1"/>
    <col min="10242" max="10242" width="22.875" style="64" customWidth="1"/>
    <col min="10243" max="10248" width="7.375" style="64" customWidth="1"/>
    <col min="10249" max="10249" width="10.875" style="64" customWidth="1"/>
    <col min="10250" max="10250" width="17.125" style="64" customWidth="1"/>
    <col min="10251" max="10251" width="9.625" style="64" bestFit="1" customWidth="1"/>
    <col min="10252" max="10496" width="8.625" style="64"/>
    <col min="10497" max="10497" width="2.875" style="64" customWidth="1"/>
    <col min="10498" max="10498" width="22.875" style="64" customWidth="1"/>
    <col min="10499" max="10504" width="7.375" style="64" customWidth="1"/>
    <col min="10505" max="10505" width="10.875" style="64" customWidth="1"/>
    <col min="10506" max="10506" width="17.125" style="64" customWidth="1"/>
    <col min="10507" max="10507" width="9.625" style="64" bestFit="1" customWidth="1"/>
    <col min="10508" max="10752" width="8.625" style="64"/>
    <col min="10753" max="10753" width="2.875" style="64" customWidth="1"/>
    <col min="10754" max="10754" width="22.875" style="64" customWidth="1"/>
    <col min="10755" max="10760" width="7.375" style="64" customWidth="1"/>
    <col min="10761" max="10761" width="10.875" style="64" customWidth="1"/>
    <col min="10762" max="10762" width="17.125" style="64" customWidth="1"/>
    <col min="10763" max="10763" width="9.625" style="64" bestFit="1" customWidth="1"/>
    <col min="10764" max="11008" width="8.625" style="64"/>
    <col min="11009" max="11009" width="2.875" style="64" customWidth="1"/>
    <col min="11010" max="11010" width="22.875" style="64" customWidth="1"/>
    <col min="11011" max="11016" width="7.375" style="64" customWidth="1"/>
    <col min="11017" max="11017" width="10.875" style="64" customWidth="1"/>
    <col min="11018" max="11018" width="17.125" style="64" customWidth="1"/>
    <col min="11019" max="11019" width="9.625" style="64" bestFit="1" customWidth="1"/>
    <col min="11020" max="11264" width="8.625" style="64"/>
    <col min="11265" max="11265" width="2.875" style="64" customWidth="1"/>
    <col min="11266" max="11266" width="22.875" style="64" customWidth="1"/>
    <col min="11267" max="11272" width="7.375" style="64" customWidth="1"/>
    <col min="11273" max="11273" width="10.875" style="64" customWidth="1"/>
    <col min="11274" max="11274" width="17.125" style="64" customWidth="1"/>
    <col min="11275" max="11275" width="9.625" style="64" bestFit="1" customWidth="1"/>
    <col min="11276" max="11520" width="8.625" style="64"/>
    <col min="11521" max="11521" width="2.875" style="64" customWidth="1"/>
    <col min="11522" max="11522" width="22.875" style="64" customWidth="1"/>
    <col min="11523" max="11528" width="7.375" style="64" customWidth="1"/>
    <col min="11529" max="11529" width="10.875" style="64" customWidth="1"/>
    <col min="11530" max="11530" width="17.125" style="64" customWidth="1"/>
    <col min="11531" max="11531" width="9.625" style="64" bestFit="1" customWidth="1"/>
    <col min="11532" max="11776" width="8.625" style="64"/>
    <col min="11777" max="11777" width="2.875" style="64" customWidth="1"/>
    <col min="11778" max="11778" width="22.875" style="64" customWidth="1"/>
    <col min="11779" max="11784" width="7.375" style="64" customWidth="1"/>
    <col min="11785" max="11785" width="10.875" style="64" customWidth="1"/>
    <col min="11786" max="11786" width="17.125" style="64" customWidth="1"/>
    <col min="11787" max="11787" width="9.625" style="64" bestFit="1" customWidth="1"/>
    <col min="11788" max="12032" width="8.625" style="64"/>
    <col min="12033" max="12033" width="2.875" style="64" customWidth="1"/>
    <col min="12034" max="12034" width="22.875" style="64" customWidth="1"/>
    <col min="12035" max="12040" width="7.375" style="64" customWidth="1"/>
    <col min="12041" max="12041" width="10.875" style="64" customWidth="1"/>
    <col min="12042" max="12042" width="17.125" style="64" customWidth="1"/>
    <col min="12043" max="12043" width="9.625" style="64" bestFit="1" customWidth="1"/>
    <col min="12044" max="12288" width="8.625" style="64"/>
    <col min="12289" max="12289" width="2.875" style="64" customWidth="1"/>
    <col min="12290" max="12290" width="22.875" style="64" customWidth="1"/>
    <col min="12291" max="12296" width="7.375" style="64" customWidth="1"/>
    <col min="12297" max="12297" width="10.875" style="64" customWidth="1"/>
    <col min="12298" max="12298" width="17.125" style="64" customWidth="1"/>
    <col min="12299" max="12299" width="9.625" style="64" bestFit="1" customWidth="1"/>
    <col min="12300" max="12544" width="8.625" style="64"/>
    <col min="12545" max="12545" width="2.875" style="64" customWidth="1"/>
    <col min="12546" max="12546" width="22.875" style="64" customWidth="1"/>
    <col min="12547" max="12552" width="7.375" style="64" customWidth="1"/>
    <col min="12553" max="12553" width="10.875" style="64" customWidth="1"/>
    <col min="12554" max="12554" width="17.125" style="64" customWidth="1"/>
    <col min="12555" max="12555" width="9.625" style="64" bestFit="1" customWidth="1"/>
    <col min="12556" max="12800" width="8.625" style="64"/>
    <col min="12801" max="12801" width="2.875" style="64" customWidth="1"/>
    <col min="12802" max="12802" width="22.875" style="64" customWidth="1"/>
    <col min="12803" max="12808" width="7.375" style="64" customWidth="1"/>
    <col min="12809" max="12809" width="10.875" style="64" customWidth="1"/>
    <col min="12810" max="12810" width="17.125" style="64" customWidth="1"/>
    <col min="12811" max="12811" width="9.625" style="64" bestFit="1" customWidth="1"/>
    <col min="12812" max="13056" width="8.625" style="64"/>
    <col min="13057" max="13057" width="2.875" style="64" customWidth="1"/>
    <col min="13058" max="13058" width="22.875" style="64" customWidth="1"/>
    <col min="13059" max="13064" width="7.375" style="64" customWidth="1"/>
    <col min="13065" max="13065" width="10.875" style="64" customWidth="1"/>
    <col min="13066" max="13066" width="17.125" style="64" customWidth="1"/>
    <col min="13067" max="13067" width="9.625" style="64" bestFit="1" customWidth="1"/>
    <col min="13068" max="13312" width="8.625" style="64"/>
    <col min="13313" max="13313" width="2.875" style="64" customWidth="1"/>
    <col min="13314" max="13314" width="22.875" style="64" customWidth="1"/>
    <col min="13315" max="13320" width="7.375" style="64" customWidth="1"/>
    <col min="13321" max="13321" width="10.875" style="64" customWidth="1"/>
    <col min="13322" max="13322" width="17.125" style="64" customWidth="1"/>
    <col min="13323" max="13323" width="9.625" style="64" bestFit="1" customWidth="1"/>
    <col min="13324" max="13568" width="8.625" style="64"/>
    <col min="13569" max="13569" width="2.875" style="64" customWidth="1"/>
    <col min="13570" max="13570" width="22.875" style="64" customWidth="1"/>
    <col min="13571" max="13576" width="7.375" style="64" customWidth="1"/>
    <col min="13577" max="13577" width="10.875" style="64" customWidth="1"/>
    <col min="13578" max="13578" width="17.125" style="64" customWidth="1"/>
    <col min="13579" max="13579" width="9.625" style="64" bestFit="1" customWidth="1"/>
    <col min="13580" max="13824" width="8.625" style="64"/>
    <col min="13825" max="13825" width="2.875" style="64" customWidth="1"/>
    <col min="13826" max="13826" width="22.875" style="64" customWidth="1"/>
    <col min="13827" max="13832" width="7.375" style="64" customWidth="1"/>
    <col min="13833" max="13833" width="10.875" style="64" customWidth="1"/>
    <col min="13834" max="13834" width="17.125" style="64" customWidth="1"/>
    <col min="13835" max="13835" width="9.625" style="64" bestFit="1" customWidth="1"/>
    <col min="13836" max="14080" width="8.625" style="64"/>
    <col min="14081" max="14081" width="2.875" style="64" customWidth="1"/>
    <col min="14082" max="14082" width="22.875" style="64" customWidth="1"/>
    <col min="14083" max="14088" width="7.375" style="64" customWidth="1"/>
    <col min="14089" max="14089" width="10.875" style="64" customWidth="1"/>
    <col min="14090" max="14090" width="17.125" style="64" customWidth="1"/>
    <col min="14091" max="14091" width="9.625" style="64" bestFit="1" customWidth="1"/>
    <col min="14092" max="14336" width="8.625" style="64"/>
    <col min="14337" max="14337" width="2.875" style="64" customWidth="1"/>
    <col min="14338" max="14338" width="22.875" style="64" customWidth="1"/>
    <col min="14339" max="14344" width="7.375" style="64" customWidth="1"/>
    <col min="14345" max="14345" width="10.875" style="64" customWidth="1"/>
    <col min="14346" max="14346" width="17.125" style="64" customWidth="1"/>
    <col min="14347" max="14347" width="9.625" style="64" bestFit="1" customWidth="1"/>
    <col min="14348" max="14592" width="8.625" style="64"/>
    <col min="14593" max="14593" width="2.875" style="64" customWidth="1"/>
    <col min="14594" max="14594" width="22.875" style="64" customWidth="1"/>
    <col min="14595" max="14600" width="7.375" style="64" customWidth="1"/>
    <col min="14601" max="14601" width="10.875" style="64" customWidth="1"/>
    <col min="14602" max="14602" width="17.125" style="64" customWidth="1"/>
    <col min="14603" max="14603" width="9.625" style="64" bestFit="1" customWidth="1"/>
    <col min="14604" max="14848" width="8.625" style="64"/>
    <col min="14849" max="14849" width="2.875" style="64" customWidth="1"/>
    <col min="14850" max="14850" width="22.875" style="64" customWidth="1"/>
    <col min="14851" max="14856" width="7.375" style="64" customWidth="1"/>
    <col min="14857" max="14857" width="10.875" style="64" customWidth="1"/>
    <col min="14858" max="14858" width="17.125" style="64" customWidth="1"/>
    <col min="14859" max="14859" width="9.625" style="64" bestFit="1" customWidth="1"/>
    <col min="14860" max="15104" width="8.625" style="64"/>
    <col min="15105" max="15105" width="2.875" style="64" customWidth="1"/>
    <col min="15106" max="15106" width="22.875" style="64" customWidth="1"/>
    <col min="15107" max="15112" width="7.375" style="64" customWidth="1"/>
    <col min="15113" max="15113" width="10.875" style="64" customWidth="1"/>
    <col min="15114" max="15114" width="17.125" style="64" customWidth="1"/>
    <col min="15115" max="15115" width="9.625" style="64" bestFit="1" customWidth="1"/>
    <col min="15116" max="15360" width="8.625" style="64"/>
    <col min="15361" max="15361" width="2.875" style="64" customWidth="1"/>
    <col min="15362" max="15362" width="22.875" style="64" customWidth="1"/>
    <col min="15363" max="15368" width="7.375" style="64" customWidth="1"/>
    <col min="15369" max="15369" width="10.875" style="64" customWidth="1"/>
    <col min="15370" max="15370" width="17.125" style="64" customWidth="1"/>
    <col min="15371" max="15371" width="9.625" style="64" bestFit="1" customWidth="1"/>
    <col min="15372" max="15616" width="8.625" style="64"/>
    <col min="15617" max="15617" width="2.875" style="64" customWidth="1"/>
    <col min="15618" max="15618" width="22.875" style="64" customWidth="1"/>
    <col min="15619" max="15624" width="7.375" style="64" customWidth="1"/>
    <col min="15625" max="15625" width="10.875" style="64" customWidth="1"/>
    <col min="15626" max="15626" width="17.125" style="64" customWidth="1"/>
    <col min="15627" max="15627" width="9.625" style="64" bestFit="1" customWidth="1"/>
    <col min="15628" max="15872" width="8.625" style="64"/>
    <col min="15873" max="15873" width="2.875" style="64" customWidth="1"/>
    <col min="15874" max="15874" width="22.875" style="64" customWidth="1"/>
    <col min="15875" max="15880" width="7.375" style="64" customWidth="1"/>
    <col min="15881" max="15881" width="10.875" style="64" customWidth="1"/>
    <col min="15882" max="15882" width="17.125" style="64" customWidth="1"/>
    <col min="15883" max="15883" width="9.625" style="64" bestFit="1" customWidth="1"/>
    <col min="15884" max="16128" width="8.625" style="64"/>
    <col min="16129" max="16129" width="2.875" style="64" customWidth="1"/>
    <col min="16130" max="16130" width="22.875" style="64" customWidth="1"/>
    <col min="16131" max="16136" width="7.375" style="64" customWidth="1"/>
    <col min="16137" max="16137" width="10.875" style="64" customWidth="1"/>
    <col min="16138" max="16138" width="17.125" style="64" customWidth="1"/>
    <col min="16139" max="16139" width="9.625" style="64" bestFit="1" customWidth="1"/>
    <col min="16140" max="16384" width="8.625" style="64"/>
  </cols>
  <sheetData>
    <row r="1" spans="1:13" ht="18.75" customHeight="1">
      <c r="A1" s="203" t="s">
        <v>133</v>
      </c>
      <c r="B1" s="204"/>
      <c r="C1" s="62"/>
      <c r="D1" s="62"/>
      <c r="E1" s="62"/>
      <c r="F1" s="205"/>
      <c r="G1" s="204"/>
      <c r="H1" s="204"/>
      <c r="I1" s="62"/>
      <c r="J1" s="206"/>
      <c r="K1" s="336"/>
    </row>
    <row r="2" spans="1:13" ht="18.75" customHeight="1">
      <c r="A2" s="203"/>
      <c r="B2" s="204"/>
      <c r="C2" s="62"/>
      <c r="D2" s="62"/>
      <c r="E2" s="62"/>
      <c r="F2" s="205"/>
      <c r="G2" s="204"/>
      <c r="H2" s="204"/>
      <c r="I2" s="62"/>
      <c r="J2" s="206"/>
      <c r="K2" s="336"/>
    </row>
    <row r="3" spans="1:13" ht="16.5">
      <c r="A3" s="252" t="s">
        <v>134</v>
      </c>
      <c r="B3" s="204"/>
      <c r="C3" s="62"/>
      <c r="D3" s="62"/>
      <c r="E3" s="62"/>
      <c r="F3" s="62"/>
      <c r="G3" s="62"/>
      <c r="H3" s="62"/>
      <c r="I3" s="62"/>
      <c r="J3" s="253" t="s">
        <v>173</v>
      </c>
      <c r="K3" s="336"/>
    </row>
    <row r="4" spans="1:13" ht="17.25" thickBot="1">
      <c r="A4" s="284" t="s">
        <v>135</v>
      </c>
      <c r="B4" s="204"/>
      <c r="C4" s="262" t="s">
        <v>136</v>
      </c>
      <c r="D4" s="256">
        <v>4</v>
      </c>
      <c r="E4" s="255" t="s">
        <v>137</v>
      </c>
      <c r="F4" s="257"/>
      <c r="G4" s="258"/>
      <c r="H4" s="259"/>
      <c r="I4" s="259"/>
      <c r="J4" s="260"/>
      <c r="K4" s="336"/>
    </row>
    <row r="5" spans="1:13" ht="18.75" customHeight="1">
      <c r="A5" s="816" t="s">
        <v>138</v>
      </c>
      <c r="B5" s="817"/>
      <c r="C5" s="261" t="s">
        <v>34</v>
      </c>
      <c r="D5" s="261" t="s">
        <v>139</v>
      </c>
      <c r="E5" s="261" t="s">
        <v>36</v>
      </c>
      <c r="F5" s="261" t="s">
        <v>37</v>
      </c>
      <c r="G5" s="261" t="s">
        <v>38</v>
      </c>
      <c r="H5" s="261" t="s">
        <v>39</v>
      </c>
      <c r="I5" s="820" t="s">
        <v>140</v>
      </c>
      <c r="J5" s="822" t="s">
        <v>141</v>
      </c>
      <c r="K5" s="337"/>
    </row>
    <row r="6" spans="1:13" ht="18.75" customHeight="1" thickBot="1">
      <c r="A6" s="818"/>
      <c r="B6" s="819"/>
      <c r="C6" s="280">
        <v>70900</v>
      </c>
      <c r="D6" s="280">
        <v>62200</v>
      </c>
      <c r="E6" s="280">
        <v>55200</v>
      </c>
      <c r="F6" s="280">
        <v>45300</v>
      </c>
      <c r="G6" s="280">
        <v>35600</v>
      </c>
      <c r="H6" s="280">
        <v>31600</v>
      </c>
      <c r="I6" s="821"/>
      <c r="J6" s="823"/>
      <c r="K6" s="337"/>
    </row>
    <row r="7" spans="1:13" ht="18.75" customHeight="1" thickTop="1">
      <c r="A7" s="264" t="s">
        <v>132</v>
      </c>
      <c r="B7" s="265" t="s">
        <v>142</v>
      </c>
      <c r="C7" s="266"/>
      <c r="D7" s="266">
        <v>3.5</v>
      </c>
      <c r="E7" s="266">
        <v>4.5</v>
      </c>
      <c r="F7" s="266"/>
      <c r="G7" s="266"/>
      <c r="H7" s="266"/>
      <c r="I7" s="267">
        <f t="shared" ref="I7:I15" si="0">$C$6*C7+$D$6*D7+$E$6*E7+$F$6*F7+$G$6*G7+$H$6*H7</f>
        <v>466100</v>
      </c>
      <c r="J7" s="268"/>
      <c r="K7" s="338">
        <f>I7*1.02</f>
        <v>475422</v>
      </c>
      <c r="M7" s="64">
        <f>(K7+K8)/2</f>
        <v>563448</v>
      </c>
    </row>
    <row r="8" spans="1:13" ht="18.75" customHeight="1">
      <c r="A8" s="264" t="s">
        <v>143</v>
      </c>
      <c r="B8" s="269" t="s">
        <v>144</v>
      </c>
      <c r="C8" s="266"/>
      <c r="D8" s="266">
        <v>4.5</v>
      </c>
      <c r="E8" s="266">
        <v>6.5</v>
      </c>
      <c r="F8" s="266"/>
      <c r="G8" s="266"/>
      <c r="H8" s="266"/>
      <c r="I8" s="267">
        <f t="shared" si="0"/>
        <v>638700</v>
      </c>
      <c r="J8" s="270"/>
      <c r="K8" s="338">
        <f t="shared" ref="K8:K13" si="1">I8*1.02</f>
        <v>651474</v>
      </c>
    </row>
    <row r="9" spans="1:13" ht="18.75" customHeight="1">
      <c r="A9" s="264" t="s">
        <v>145</v>
      </c>
      <c r="B9" s="269" t="s">
        <v>146</v>
      </c>
      <c r="C9" s="266">
        <v>2</v>
      </c>
      <c r="D9" s="266">
        <v>4.5</v>
      </c>
      <c r="E9" s="266">
        <v>4.5</v>
      </c>
      <c r="F9" s="266">
        <v>6</v>
      </c>
      <c r="G9" s="266"/>
      <c r="H9" s="266"/>
      <c r="I9" s="267">
        <f t="shared" si="0"/>
        <v>941900</v>
      </c>
      <c r="J9" s="270"/>
      <c r="K9" s="338">
        <f t="shared" si="1"/>
        <v>960738</v>
      </c>
      <c r="M9" s="64">
        <f>M7+K9</f>
        <v>1524186</v>
      </c>
    </row>
    <row r="10" spans="1:13" ht="18.75" customHeight="1">
      <c r="A10" s="264" t="s">
        <v>147</v>
      </c>
      <c r="B10" s="269" t="s">
        <v>148</v>
      </c>
      <c r="C10" s="266"/>
      <c r="D10" s="266"/>
      <c r="E10" s="266">
        <v>3.5</v>
      </c>
      <c r="F10" s="266">
        <v>6</v>
      </c>
      <c r="G10" s="266">
        <v>9</v>
      </c>
      <c r="H10" s="266">
        <v>12</v>
      </c>
      <c r="I10" s="281">
        <f t="shared" si="0"/>
        <v>1164600</v>
      </c>
      <c r="J10" s="270"/>
      <c r="K10" s="338">
        <f t="shared" si="1"/>
        <v>1187892</v>
      </c>
    </row>
    <row r="11" spans="1:13" ht="18.75" customHeight="1">
      <c r="A11" s="264" t="s">
        <v>149</v>
      </c>
      <c r="B11" s="269" t="s">
        <v>150</v>
      </c>
      <c r="C11" s="266"/>
      <c r="D11" s="266"/>
      <c r="E11" s="266">
        <v>3.5</v>
      </c>
      <c r="F11" s="266">
        <v>4</v>
      </c>
      <c r="G11" s="266">
        <v>5.5</v>
      </c>
      <c r="H11" s="266">
        <v>7.5</v>
      </c>
      <c r="I11" s="267">
        <f t="shared" si="0"/>
        <v>807200</v>
      </c>
      <c r="J11" s="270"/>
      <c r="K11" s="338">
        <f t="shared" si="1"/>
        <v>823344</v>
      </c>
    </row>
    <row r="12" spans="1:13" ht="18.75" customHeight="1">
      <c r="A12" s="264" t="s">
        <v>151</v>
      </c>
      <c r="B12" s="269" t="s">
        <v>152</v>
      </c>
      <c r="C12" s="266"/>
      <c r="D12" s="266">
        <v>4</v>
      </c>
      <c r="E12" s="266">
        <v>5.5</v>
      </c>
      <c r="F12" s="266">
        <v>8</v>
      </c>
      <c r="G12" s="266"/>
      <c r="H12" s="266"/>
      <c r="I12" s="267">
        <f t="shared" si="0"/>
        <v>914800</v>
      </c>
      <c r="J12" s="270"/>
      <c r="K12" s="338">
        <f t="shared" si="1"/>
        <v>933096</v>
      </c>
    </row>
    <row r="13" spans="1:13" ht="18.75" customHeight="1">
      <c r="A13" s="264" t="s">
        <v>153</v>
      </c>
      <c r="B13" s="269" t="s">
        <v>154</v>
      </c>
      <c r="C13" s="266">
        <v>2</v>
      </c>
      <c r="D13" s="266">
        <v>2</v>
      </c>
      <c r="E13" s="266">
        <v>4</v>
      </c>
      <c r="F13" s="266"/>
      <c r="G13" s="266"/>
      <c r="H13" s="266"/>
      <c r="I13" s="267">
        <f t="shared" si="0"/>
        <v>487000</v>
      </c>
      <c r="J13" s="270"/>
      <c r="K13" s="338">
        <f t="shared" si="1"/>
        <v>496740</v>
      </c>
    </row>
    <row r="14" spans="1:13" ht="18.75" customHeight="1">
      <c r="A14" s="264" t="s">
        <v>155</v>
      </c>
      <c r="B14" s="269" t="s">
        <v>156</v>
      </c>
      <c r="C14" s="266"/>
      <c r="D14" s="271"/>
      <c r="E14" s="271"/>
      <c r="F14" s="271"/>
      <c r="G14" s="271"/>
      <c r="H14" s="266"/>
      <c r="I14" s="267">
        <f t="shared" si="0"/>
        <v>0</v>
      </c>
      <c r="J14" s="272"/>
      <c r="K14" s="336"/>
    </row>
    <row r="15" spans="1:13" ht="18.75" customHeight="1" thickBot="1">
      <c r="A15" s="264" t="s">
        <v>157</v>
      </c>
      <c r="B15" s="265" t="s">
        <v>158</v>
      </c>
      <c r="C15" s="273"/>
      <c r="D15" s="273"/>
      <c r="E15" s="273"/>
      <c r="F15" s="273"/>
      <c r="G15" s="273"/>
      <c r="H15" s="273"/>
      <c r="I15" s="274">
        <f t="shared" si="0"/>
        <v>0</v>
      </c>
      <c r="J15" s="275"/>
      <c r="K15" s="336"/>
    </row>
    <row r="16" spans="1:13" ht="18.75" customHeight="1" thickBot="1">
      <c r="A16" s="824" t="s">
        <v>159</v>
      </c>
      <c r="B16" s="825"/>
      <c r="C16" s="282">
        <f t="shared" ref="C16:G16" si="2">SUM(C7:C15)</f>
        <v>4</v>
      </c>
      <c r="D16" s="282">
        <f t="shared" si="2"/>
        <v>18.5</v>
      </c>
      <c r="E16" s="282">
        <f t="shared" si="2"/>
        <v>32</v>
      </c>
      <c r="F16" s="282">
        <f t="shared" si="2"/>
        <v>24</v>
      </c>
      <c r="G16" s="282">
        <f t="shared" si="2"/>
        <v>14.5</v>
      </c>
      <c r="H16" s="282">
        <f>SUM(H7:H15)</f>
        <v>19.5</v>
      </c>
      <c r="I16" s="283">
        <f>$C$6*C16+$D$6*D16+$E$6*E16+$F$6*F16+$G$6*G16+$H$6*H16</f>
        <v>5420300</v>
      </c>
      <c r="J16" s="278"/>
      <c r="K16" s="336"/>
    </row>
    <row r="17" spans="1:11" ht="16.5">
      <c r="A17" s="62"/>
      <c r="B17" s="62"/>
      <c r="C17" s="63"/>
      <c r="E17" s="63"/>
      <c r="F17" s="63"/>
      <c r="G17" s="63"/>
      <c r="H17" s="63"/>
      <c r="I17" s="65"/>
      <c r="J17" s="66"/>
      <c r="K17" s="336"/>
    </row>
    <row r="18" spans="1:11" ht="18.75" hidden="1" customHeight="1">
      <c r="A18" s="203" t="s">
        <v>160</v>
      </c>
      <c r="B18" s="204"/>
      <c r="C18" s="62"/>
      <c r="D18" s="62"/>
      <c r="E18" s="62"/>
      <c r="F18" s="205"/>
      <c r="G18" s="204"/>
      <c r="H18" s="204"/>
      <c r="I18" s="62"/>
      <c r="J18" s="206"/>
      <c r="K18" s="336"/>
    </row>
    <row r="19" spans="1:11" ht="18.75" hidden="1" customHeight="1">
      <c r="A19" s="203"/>
      <c r="B19" s="204"/>
      <c r="C19" s="62"/>
      <c r="D19" s="62"/>
      <c r="E19" s="62"/>
      <c r="F19" s="205"/>
      <c r="G19" s="204"/>
      <c r="H19" s="204"/>
      <c r="I19" s="62"/>
      <c r="J19" s="206"/>
      <c r="K19" s="336"/>
    </row>
    <row r="20" spans="1:11" ht="16.5" hidden="1">
      <c r="A20" s="252" t="s">
        <v>134</v>
      </c>
      <c r="B20" s="204"/>
      <c r="C20" s="62"/>
      <c r="D20" s="62"/>
      <c r="E20" s="62"/>
      <c r="F20" s="62"/>
      <c r="G20" s="62"/>
      <c r="H20" s="62"/>
      <c r="I20" s="62"/>
      <c r="J20" s="253" t="s">
        <v>161</v>
      </c>
      <c r="K20" s="336"/>
    </row>
    <row r="21" spans="1:11" ht="17.25" hidden="1" thickBot="1">
      <c r="A21" s="254" t="s">
        <v>162</v>
      </c>
      <c r="B21" s="204"/>
      <c r="C21" s="255" t="s">
        <v>136</v>
      </c>
      <c r="D21" s="279">
        <v>0.15</v>
      </c>
      <c r="E21" s="62" t="s">
        <v>137</v>
      </c>
      <c r="F21" s="257"/>
      <c r="G21" s="258"/>
      <c r="H21" s="259"/>
      <c r="I21" s="259"/>
      <c r="J21" s="260"/>
      <c r="K21" s="336"/>
    </row>
    <row r="22" spans="1:11" ht="18.75" hidden="1" customHeight="1">
      <c r="A22" s="816" t="s">
        <v>138</v>
      </c>
      <c r="B22" s="817"/>
      <c r="C22" s="261" t="s">
        <v>34</v>
      </c>
      <c r="D22" s="261" t="s">
        <v>139</v>
      </c>
      <c r="E22" s="261" t="s">
        <v>36</v>
      </c>
      <c r="F22" s="261" t="s">
        <v>37</v>
      </c>
      <c r="G22" s="261" t="s">
        <v>38</v>
      </c>
      <c r="H22" s="261" t="s">
        <v>39</v>
      </c>
      <c r="I22" s="820" t="s">
        <v>140</v>
      </c>
      <c r="J22" s="822" t="s">
        <v>141</v>
      </c>
      <c r="K22" s="337"/>
    </row>
    <row r="23" spans="1:11" ht="18.75" hidden="1" customHeight="1" thickBot="1">
      <c r="A23" s="818"/>
      <c r="B23" s="819"/>
      <c r="C23" s="263">
        <v>60400</v>
      </c>
      <c r="D23" s="263">
        <v>51200</v>
      </c>
      <c r="E23" s="263">
        <v>45500</v>
      </c>
      <c r="F23" s="263">
        <v>37200</v>
      </c>
      <c r="G23" s="263">
        <v>30000</v>
      </c>
      <c r="H23" s="263">
        <v>25400</v>
      </c>
      <c r="I23" s="821"/>
      <c r="J23" s="823"/>
      <c r="K23" s="337"/>
    </row>
    <row r="24" spans="1:11" ht="18.75" hidden="1" customHeight="1" thickTop="1">
      <c r="A24" s="264" t="s">
        <v>132</v>
      </c>
      <c r="B24" s="265" t="s">
        <v>163</v>
      </c>
      <c r="C24" s="266"/>
      <c r="D24" s="266">
        <v>0.5</v>
      </c>
      <c r="E24" s="266">
        <v>1</v>
      </c>
      <c r="F24" s="266">
        <v>1</v>
      </c>
      <c r="G24" s="266">
        <v>1</v>
      </c>
      <c r="H24" s="266"/>
      <c r="I24" s="267">
        <f t="shared" ref="I24:I31" si="3">$C$6*C24+$D$6*D24+$E$6*E24+$F$6*F24+$G$6*G24+$H$6*H24</f>
        <v>167200</v>
      </c>
      <c r="J24" s="268"/>
      <c r="K24" s="339"/>
    </row>
    <row r="25" spans="1:11" ht="18.75" hidden="1" customHeight="1">
      <c r="A25" s="264" t="s">
        <v>143</v>
      </c>
      <c r="B25" s="269" t="s">
        <v>164</v>
      </c>
      <c r="C25" s="266"/>
      <c r="D25" s="266">
        <v>1</v>
      </c>
      <c r="E25" s="266">
        <v>1.5</v>
      </c>
      <c r="F25" s="266">
        <v>2</v>
      </c>
      <c r="G25" s="266">
        <v>2</v>
      </c>
      <c r="H25" s="266"/>
      <c r="I25" s="267">
        <f t="shared" si="3"/>
        <v>306800</v>
      </c>
      <c r="J25" s="270"/>
      <c r="K25" s="339"/>
    </row>
    <row r="26" spans="1:11" ht="18.75" hidden="1" customHeight="1">
      <c r="A26" s="264" t="s">
        <v>145</v>
      </c>
      <c r="B26" s="269" t="s">
        <v>165</v>
      </c>
      <c r="C26" s="266"/>
      <c r="D26" s="266"/>
      <c r="E26" s="266">
        <v>1</v>
      </c>
      <c r="F26" s="266">
        <v>3</v>
      </c>
      <c r="G26" s="266">
        <v>6.5</v>
      </c>
      <c r="H26" s="266">
        <v>11.5</v>
      </c>
      <c r="I26" s="267">
        <f t="shared" si="3"/>
        <v>785900</v>
      </c>
      <c r="J26" s="270"/>
      <c r="K26" s="339"/>
    </row>
    <row r="27" spans="1:11" ht="18.75" hidden="1" customHeight="1">
      <c r="A27" s="264" t="s">
        <v>147</v>
      </c>
      <c r="B27" s="269" t="s">
        <v>166</v>
      </c>
      <c r="C27" s="266"/>
      <c r="D27" s="266"/>
      <c r="E27" s="266"/>
      <c r="F27" s="266">
        <v>1.5</v>
      </c>
      <c r="G27" s="266">
        <v>2.5</v>
      </c>
      <c r="H27" s="266">
        <v>4.5</v>
      </c>
      <c r="I27" s="267">
        <f t="shared" si="3"/>
        <v>299150</v>
      </c>
      <c r="J27" s="270"/>
      <c r="K27" s="339"/>
    </row>
    <row r="28" spans="1:11" ht="18.75" hidden="1" customHeight="1">
      <c r="A28" s="264" t="s">
        <v>149</v>
      </c>
      <c r="B28" s="269" t="s">
        <v>150</v>
      </c>
      <c r="C28" s="266"/>
      <c r="D28" s="266"/>
      <c r="E28" s="266"/>
      <c r="F28" s="266">
        <v>1.5</v>
      </c>
      <c r="G28" s="266">
        <v>1.5</v>
      </c>
      <c r="H28" s="266">
        <v>2.5</v>
      </c>
      <c r="I28" s="267">
        <f t="shared" si="3"/>
        <v>200350</v>
      </c>
      <c r="J28" s="270"/>
      <c r="K28" s="339"/>
    </row>
    <row r="29" spans="1:11" ht="18.75" hidden="1" customHeight="1">
      <c r="A29" s="264" t="s">
        <v>151</v>
      </c>
      <c r="B29" s="269" t="s">
        <v>167</v>
      </c>
      <c r="C29" s="266"/>
      <c r="D29" s="266">
        <v>0.5</v>
      </c>
      <c r="E29" s="266">
        <v>1</v>
      </c>
      <c r="F29" s="266">
        <v>1.5</v>
      </c>
      <c r="G29" s="266"/>
      <c r="H29" s="266"/>
      <c r="I29" s="267">
        <f t="shared" si="3"/>
        <v>154250</v>
      </c>
      <c r="J29" s="270"/>
      <c r="K29" s="336"/>
    </row>
    <row r="30" spans="1:11" ht="18.75" hidden="1" customHeight="1">
      <c r="A30" s="264" t="s">
        <v>153</v>
      </c>
      <c r="B30" s="269" t="s">
        <v>154</v>
      </c>
      <c r="C30" s="266"/>
      <c r="D30" s="266">
        <v>1.5</v>
      </c>
      <c r="E30" s="266">
        <v>1.5</v>
      </c>
      <c r="F30" s="266"/>
      <c r="G30" s="266"/>
      <c r="H30" s="266"/>
      <c r="I30" s="267">
        <f t="shared" si="3"/>
        <v>176100</v>
      </c>
      <c r="J30" s="270"/>
      <c r="K30" s="336"/>
    </row>
    <row r="31" spans="1:11" ht="18.75" hidden="1" customHeight="1" thickBot="1">
      <c r="A31" s="264" t="s">
        <v>168</v>
      </c>
      <c r="B31" s="265" t="s">
        <v>169</v>
      </c>
      <c r="C31" s="273"/>
      <c r="D31" s="273"/>
      <c r="E31" s="273"/>
      <c r="F31" s="273"/>
      <c r="G31" s="273"/>
      <c r="H31" s="273"/>
      <c r="I31" s="274">
        <f t="shared" si="3"/>
        <v>0</v>
      </c>
      <c r="J31" s="275"/>
      <c r="K31" s="336"/>
    </row>
    <row r="32" spans="1:11" ht="18.75" hidden="1" customHeight="1" thickBot="1">
      <c r="A32" s="824" t="s">
        <v>159</v>
      </c>
      <c r="B32" s="825"/>
      <c r="C32" s="276">
        <f t="shared" ref="C32:H32" si="4">SUM(C24:C31)</f>
        <v>0</v>
      </c>
      <c r="D32" s="276">
        <f t="shared" si="4"/>
        <v>3.5</v>
      </c>
      <c r="E32" s="276">
        <f t="shared" si="4"/>
        <v>6</v>
      </c>
      <c r="F32" s="276">
        <f t="shared" si="4"/>
        <v>10.5</v>
      </c>
      <c r="G32" s="276">
        <f t="shared" si="4"/>
        <v>13.5</v>
      </c>
      <c r="H32" s="276">
        <f t="shared" si="4"/>
        <v>18.5</v>
      </c>
      <c r="I32" s="277">
        <f>$C$6*C32+$D$6*D32+$E$6*E32+$F$6*F32+$G$6*G32+$H$6*H32</f>
        <v>2089750</v>
      </c>
      <c r="J32" s="278" t="s">
        <v>170</v>
      </c>
      <c r="K32" s="336">
        <f>+I24+I25+I26+I27+I28+I29+I30+I31</f>
        <v>2089750</v>
      </c>
    </row>
    <row r="34" spans="1:10" ht="18.75" customHeight="1">
      <c r="A34" s="203" t="s">
        <v>171</v>
      </c>
      <c r="B34" s="204"/>
      <c r="C34" s="62"/>
      <c r="D34" s="62"/>
      <c r="E34" s="62"/>
      <c r="F34" s="205"/>
      <c r="G34" s="204"/>
      <c r="H34" s="204"/>
      <c r="I34" s="62"/>
      <c r="J34" s="206"/>
    </row>
    <row r="35" spans="1:10" ht="18.75" customHeight="1">
      <c r="A35" s="203"/>
      <c r="B35" s="204"/>
      <c r="C35" s="62"/>
      <c r="D35" s="62"/>
      <c r="E35" s="62"/>
      <c r="F35" s="205"/>
      <c r="G35" s="204"/>
      <c r="H35" s="204"/>
      <c r="I35" s="62"/>
      <c r="J35" s="206"/>
    </row>
    <row r="36" spans="1:10" ht="18.75" customHeight="1">
      <c r="A36" s="252" t="s">
        <v>134</v>
      </c>
      <c r="B36" s="204"/>
      <c r="C36" s="62"/>
      <c r="D36" s="62"/>
      <c r="E36" s="62"/>
      <c r="F36" s="62"/>
      <c r="G36" s="62"/>
      <c r="H36" s="62"/>
      <c r="I36" s="62"/>
      <c r="J36" s="253" t="s">
        <v>173</v>
      </c>
    </row>
    <row r="37" spans="1:10" ht="18.75" customHeight="1" thickBot="1">
      <c r="A37" s="254" t="s">
        <v>135</v>
      </c>
      <c r="B37" s="285"/>
      <c r="C37" s="262" t="s">
        <v>136</v>
      </c>
      <c r="D37" s="256">
        <v>4</v>
      </c>
      <c r="E37" s="62" t="s">
        <v>137</v>
      </c>
      <c r="F37" s="257"/>
      <c r="G37" s="258"/>
      <c r="H37" s="259"/>
      <c r="I37" s="259"/>
      <c r="J37" s="260"/>
    </row>
    <row r="38" spans="1:10" ht="18.75" customHeight="1">
      <c r="A38" s="816" t="s">
        <v>138</v>
      </c>
      <c r="B38" s="817"/>
      <c r="C38" s="261" t="s">
        <v>34</v>
      </c>
      <c r="D38" s="261" t="s">
        <v>139</v>
      </c>
      <c r="E38" s="261" t="s">
        <v>36</v>
      </c>
      <c r="F38" s="261" t="s">
        <v>37</v>
      </c>
      <c r="G38" s="261" t="s">
        <v>38</v>
      </c>
      <c r="H38" s="261" t="s">
        <v>39</v>
      </c>
      <c r="I38" s="820" t="s">
        <v>140</v>
      </c>
      <c r="J38" s="822" t="s">
        <v>141</v>
      </c>
    </row>
    <row r="39" spans="1:10" ht="18.75" customHeight="1" thickBot="1">
      <c r="A39" s="818"/>
      <c r="B39" s="819"/>
      <c r="C39" s="280">
        <v>70900</v>
      </c>
      <c r="D39" s="280">
        <v>62200</v>
      </c>
      <c r="E39" s="280">
        <v>55200</v>
      </c>
      <c r="F39" s="280">
        <v>45300</v>
      </c>
      <c r="G39" s="280">
        <v>35600</v>
      </c>
      <c r="H39" s="280">
        <v>31600</v>
      </c>
      <c r="I39" s="821"/>
      <c r="J39" s="823"/>
    </row>
    <row r="40" spans="1:10" ht="18.75" customHeight="1" thickTop="1">
      <c r="A40" s="264" t="s">
        <v>132</v>
      </c>
      <c r="B40" s="269" t="s">
        <v>156</v>
      </c>
      <c r="C40" s="266"/>
      <c r="D40" s="271">
        <v>1</v>
      </c>
      <c r="E40" s="271">
        <f>0.5*12</f>
        <v>6</v>
      </c>
      <c r="F40" s="271">
        <f>0.5*12</f>
        <v>6</v>
      </c>
      <c r="G40" s="271">
        <v>5</v>
      </c>
      <c r="H40" s="266"/>
      <c r="I40" s="281">
        <f t="shared" ref="I40:I43" si="5">$C$6*C40+$D$6*D40+$E$6*E40+$F$6*F40+$G$6*G40+$H$6*H40</f>
        <v>843200</v>
      </c>
      <c r="J40" s="324" t="s">
        <v>220</v>
      </c>
    </row>
    <row r="41" spans="1:10" ht="18.75" customHeight="1">
      <c r="A41" s="531" t="s">
        <v>143</v>
      </c>
      <c r="B41" s="528" t="s">
        <v>158</v>
      </c>
      <c r="C41" s="529"/>
      <c r="D41" s="529"/>
      <c r="E41" s="529"/>
      <c r="F41" s="529">
        <f>2*10</f>
        <v>20</v>
      </c>
      <c r="G41" s="529">
        <f>1*10</f>
        <v>10</v>
      </c>
      <c r="H41" s="529"/>
      <c r="I41" s="281">
        <f t="shared" si="5"/>
        <v>1262000</v>
      </c>
      <c r="J41" s="530" t="s">
        <v>211</v>
      </c>
    </row>
    <row r="42" spans="1:10" ht="18.75" customHeight="1">
      <c r="A42" s="531" t="s">
        <v>145</v>
      </c>
      <c r="B42" s="269" t="s">
        <v>303</v>
      </c>
      <c r="C42" s="266"/>
      <c r="D42" s="266"/>
      <c r="E42" s="266">
        <v>1</v>
      </c>
      <c r="F42" s="266">
        <v>1</v>
      </c>
      <c r="G42" s="266">
        <v>4</v>
      </c>
      <c r="H42" s="266">
        <v>4</v>
      </c>
      <c r="I42" s="281">
        <f>$C$6*C42+$D$6*D42+$E$6*E42+$F$6*F42+$G$6*G42+$H$6*H42</f>
        <v>369300</v>
      </c>
      <c r="J42" s="324"/>
    </row>
    <row r="43" spans="1:10" ht="18.75" customHeight="1" thickBot="1">
      <c r="A43" s="532" t="s">
        <v>311</v>
      </c>
      <c r="B43" s="269" t="s">
        <v>309</v>
      </c>
      <c r="C43" s="266"/>
      <c r="D43" s="266"/>
      <c r="E43" s="266">
        <v>2</v>
      </c>
      <c r="F43" s="542">
        <v>11</v>
      </c>
      <c r="G43" s="542">
        <v>11</v>
      </c>
      <c r="H43" s="266"/>
      <c r="I43" s="281">
        <f t="shared" si="5"/>
        <v>1000300</v>
      </c>
      <c r="J43" s="533"/>
    </row>
    <row r="44" spans="1:10" ht="18.75" customHeight="1" thickBot="1">
      <c r="A44" s="824" t="s">
        <v>159</v>
      </c>
      <c r="B44" s="825"/>
      <c r="C44" s="276"/>
      <c r="D44" s="282">
        <f>SUM(D40:D43)</f>
        <v>1</v>
      </c>
      <c r="E44" s="282">
        <f>SUM(E40:E43)</f>
        <v>9</v>
      </c>
      <c r="F44" s="282">
        <f>SUM(F40:F43)</f>
        <v>38</v>
      </c>
      <c r="G44" s="282">
        <f>SUM(G40:G43)</f>
        <v>30</v>
      </c>
      <c r="H44" s="282">
        <f>SUM(H40:H43)</f>
        <v>4</v>
      </c>
      <c r="I44" s="283">
        <f>$C$6*C44+$D$6*D44+$E$6*E44+$F$6*F44+$G$6*G44+$H$6*H44</f>
        <v>3474800</v>
      </c>
      <c r="J44" s="288"/>
    </row>
  </sheetData>
  <mergeCells count="12">
    <mergeCell ref="A32:B32"/>
    <mergeCell ref="A38:B39"/>
    <mergeCell ref="I38:I39"/>
    <mergeCell ref="J38:J39"/>
    <mergeCell ref="A44:B44"/>
    <mergeCell ref="A5:B6"/>
    <mergeCell ref="I5:I6"/>
    <mergeCell ref="J5:J6"/>
    <mergeCell ref="A16:B16"/>
    <mergeCell ref="A22:B23"/>
    <mergeCell ref="I22:I23"/>
    <mergeCell ref="J22:J23"/>
  </mergeCells>
  <phoneticPr fontId="4"/>
  <pageMargins left="0.39370078740157483" right="0.39370078740157483" top="0.59055118110236227" bottom="0.59055118110236227" header="0.39370078740157483" footer="0.39370078740157483"/>
  <pageSetup paperSize="9" scale="86" orientation="portrait" r:id="rId1"/>
  <headerFooter alignWithMargins="0">
    <oddFooter>&amp;R&amp;10株式会社 プレック研究所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8CE63-3639-4D21-ADFE-DD1EF9F064FA}">
  <sheetPr codeName="Sheet15">
    <pageSetUpPr fitToPage="1"/>
  </sheetPr>
  <dimension ref="A1:X92"/>
  <sheetViews>
    <sheetView view="pageBreakPreview" topLeftCell="A12" zoomScale="90" zoomScaleNormal="100" zoomScaleSheetLayoutView="90" workbookViewId="0">
      <selection activeCell="H38" sqref="H38"/>
    </sheetView>
  </sheetViews>
  <sheetFormatPr defaultColWidth="8.25" defaultRowHeight="12"/>
  <cols>
    <col min="1" max="1" width="3" style="3" customWidth="1"/>
    <col min="2" max="2" width="10.5" style="4" customWidth="1"/>
    <col min="3" max="3" width="27" style="4" customWidth="1"/>
    <col min="4" max="9" width="8.125" style="5" customWidth="1"/>
    <col min="10" max="10" width="11.875" style="5" customWidth="1"/>
    <col min="11" max="11" width="2.875" style="5" customWidth="1"/>
    <col min="12" max="12" width="22" style="5" customWidth="1"/>
    <col min="13" max="13" width="13.375" style="1" customWidth="1"/>
    <col min="14" max="14" width="13.375" style="1" bestFit="1" customWidth="1"/>
    <col min="15" max="15" width="16.5" style="2" bestFit="1" customWidth="1"/>
    <col min="16" max="21" width="8.25" style="5"/>
    <col min="22" max="22" width="11.375" style="5" bestFit="1" customWidth="1"/>
    <col min="23" max="23" width="10.375" style="5" bestFit="1" customWidth="1"/>
    <col min="24" max="16384" width="8.25" style="5"/>
  </cols>
  <sheetData>
    <row r="1" spans="1:18" s="1" customFormat="1" ht="84" customHeight="1">
      <c r="A1" s="556" t="s">
        <v>0</v>
      </c>
      <c r="B1" s="556"/>
      <c r="C1" s="556"/>
      <c r="D1" s="556"/>
      <c r="E1" s="556"/>
      <c r="F1" s="556"/>
      <c r="G1" s="556"/>
      <c r="H1" s="556"/>
      <c r="I1" s="556"/>
      <c r="J1" s="556"/>
      <c r="K1" s="556"/>
      <c r="L1" s="556"/>
      <c r="O1" s="2"/>
    </row>
    <row r="2" spans="1:18" s="1" customFormat="1" ht="20.100000000000001" customHeight="1">
      <c r="A2" s="3"/>
      <c r="B2" s="4"/>
      <c r="C2" s="4"/>
      <c r="D2" s="5"/>
      <c r="E2" s="5"/>
      <c r="F2" s="5"/>
      <c r="G2" s="5"/>
      <c r="H2" s="5"/>
      <c r="I2" s="5"/>
      <c r="J2" s="5"/>
      <c r="K2" s="5"/>
      <c r="L2" s="136">
        <v>45321</v>
      </c>
      <c r="O2" s="2"/>
    </row>
    <row r="3" spans="1:18" s="1" customFormat="1" ht="20.100000000000001" customHeight="1">
      <c r="A3" s="557" t="s">
        <v>62</v>
      </c>
      <c r="B3" s="557"/>
      <c r="C3" s="557"/>
      <c r="D3" s="125"/>
      <c r="E3" s="6"/>
      <c r="F3" s="5"/>
      <c r="G3" s="5"/>
      <c r="H3" s="5"/>
      <c r="I3" s="5"/>
      <c r="J3" s="559" t="s">
        <v>1</v>
      </c>
      <c r="K3" s="559"/>
      <c r="L3" s="7" t="s">
        <v>50</v>
      </c>
      <c r="O3" s="2"/>
    </row>
    <row r="4" spans="1:18" s="1" customFormat="1" ht="20.100000000000001" customHeight="1">
      <c r="A4" s="558"/>
      <c r="B4" s="558"/>
      <c r="C4" s="558"/>
      <c r="D4" s="134"/>
      <c r="E4" s="134"/>
      <c r="F4" s="134"/>
      <c r="G4" s="5"/>
      <c r="H4" s="5"/>
      <c r="I4" s="5"/>
      <c r="J4" s="560" t="s">
        <v>57</v>
      </c>
      <c r="K4" s="561"/>
      <c r="L4" s="138">
        <v>45747</v>
      </c>
      <c r="O4" s="2"/>
    </row>
    <row r="5" spans="1:18" s="1" customFormat="1" ht="20.100000000000001" customHeight="1">
      <c r="A5" s="3"/>
      <c r="B5" s="8"/>
      <c r="C5" s="130"/>
      <c r="D5" s="130"/>
      <c r="E5" s="6"/>
      <c r="F5" s="5"/>
      <c r="G5" s="5"/>
      <c r="H5" s="5"/>
      <c r="I5" s="5"/>
      <c r="J5" s="554" t="s">
        <v>58</v>
      </c>
      <c r="K5" s="555"/>
      <c r="L5" s="11" t="s">
        <v>4</v>
      </c>
      <c r="O5" s="2"/>
    </row>
    <row r="6" spans="1:18" s="1" customFormat="1" ht="20.100000000000001" customHeight="1">
      <c r="A6" s="131" t="s">
        <v>52</v>
      </c>
      <c r="B6" s="131"/>
      <c r="C6" s="113">
        <f>+E30</f>
        <v>41239000</v>
      </c>
      <c r="D6" s="9" t="s">
        <v>2</v>
      </c>
      <c r="E6" s="553">
        <f>+E28*0.1</f>
        <v>3749000</v>
      </c>
      <c r="F6" s="553"/>
      <c r="G6" s="10" t="s">
        <v>3</v>
      </c>
      <c r="H6" s="135"/>
      <c r="I6" s="5"/>
      <c r="J6" s="554" t="s">
        <v>59</v>
      </c>
      <c r="K6" s="555"/>
      <c r="L6" s="11" t="s">
        <v>5</v>
      </c>
      <c r="O6" s="2"/>
      <c r="Q6" s="3"/>
      <c r="R6" s="121"/>
    </row>
    <row r="7" spans="1:18" s="1" customFormat="1" ht="20.100000000000001" customHeight="1">
      <c r="A7" s="132"/>
      <c r="B7" s="133"/>
      <c r="C7" s="124"/>
      <c r="D7" s="124"/>
      <c r="E7" s="124"/>
      <c r="F7" s="124"/>
      <c r="G7" s="124"/>
      <c r="H7" s="124"/>
      <c r="I7" s="5"/>
      <c r="J7" s="554" t="s">
        <v>60</v>
      </c>
      <c r="K7" s="555"/>
      <c r="L7" s="11" t="s">
        <v>63</v>
      </c>
      <c r="O7" s="2"/>
      <c r="Q7" s="3"/>
      <c r="R7" s="121"/>
    </row>
    <row r="8" spans="1:18" s="1" customFormat="1" ht="20.100000000000001" customHeight="1">
      <c r="A8" s="131" t="s">
        <v>6</v>
      </c>
      <c r="B8" s="131"/>
      <c r="C8" s="567" t="s">
        <v>61</v>
      </c>
      <c r="D8" s="567"/>
      <c r="E8" s="567"/>
      <c r="F8" s="567"/>
      <c r="G8" s="567"/>
      <c r="H8" s="124"/>
      <c r="I8" s="5"/>
      <c r="J8" s="566"/>
      <c r="K8" s="559"/>
      <c r="L8" s="12" t="s">
        <v>64</v>
      </c>
      <c r="O8" s="2"/>
      <c r="Q8" s="3"/>
      <c r="R8" s="7"/>
    </row>
    <row r="9" spans="1:18" s="1" customFormat="1" ht="20.100000000000001" customHeight="1">
      <c r="A9" s="568"/>
      <c r="B9" s="568"/>
      <c r="C9" s="124"/>
      <c r="D9" s="124"/>
      <c r="E9" s="124"/>
      <c r="F9" s="124"/>
      <c r="G9" s="124"/>
      <c r="H9" s="124"/>
      <c r="I9" s="5"/>
      <c r="J9" s="128"/>
      <c r="K9" s="128"/>
      <c r="L9" s="129"/>
      <c r="O9" s="2"/>
      <c r="Q9" s="3"/>
      <c r="R9" s="7"/>
    </row>
    <row r="10" spans="1:18" s="1" customFormat="1" ht="18" customHeight="1">
      <c r="A10" s="569"/>
      <c r="B10" s="569"/>
      <c r="C10" s="124"/>
      <c r="D10" s="126"/>
      <c r="E10" s="126"/>
      <c r="F10" s="126"/>
      <c r="G10" s="126"/>
      <c r="H10" s="127"/>
      <c r="I10" s="5"/>
      <c r="J10" s="5"/>
      <c r="K10" s="5"/>
      <c r="L10" s="5"/>
      <c r="O10" s="2"/>
      <c r="Q10" s="3"/>
      <c r="R10" s="7"/>
    </row>
    <row r="11" spans="1:18" s="1" customFormat="1" ht="18" customHeight="1">
      <c r="A11" s="3"/>
      <c r="B11" s="15" t="s">
        <v>7</v>
      </c>
      <c r="C11" s="4"/>
      <c r="D11" s="5"/>
      <c r="E11" s="5"/>
      <c r="F11" s="5"/>
      <c r="G11" s="5"/>
      <c r="H11" s="5"/>
      <c r="I11" s="5"/>
      <c r="J11" s="5"/>
      <c r="K11" s="5"/>
      <c r="L11" s="5"/>
      <c r="O11" s="2"/>
    </row>
    <row r="12" spans="1:18" s="1" customFormat="1" ht="18" customHeight="1">
      <c r="A12" s="3"/>
      <c r="B12" s="15" t="s">
        <v>8</v>
      </c>
      <c r="C12" s="4"/>
      <c r="D12" s="5"/>
      <c r="E12" s="5"/>
      <c r="F12" s="5"/>
      <c r="G12" s="5"/>
      <c r="H12" s="5"/>
      <c r="I12" s="5"/>
      <c r="J12" s="5"/>
      <c r="K12" s="5"/>
      <c r="L12" s="5"/>
      <c r="O12" s="2"/>
    </row>
    <row r="13" spans="1:18" s="1" customFormat="1" ht="18" customHeight="1">
      <c r="A13" s="3"/>
      <c r="B13" s="570" t="s">
        <v>51</v>
      </c>
      <c r="C13" s="571"/>
      <c r="D13" s="571"/>
      <c r="E13" s="571"/>
      <c r="F13" s="571"/>
      <c r="G13" s="572"/>
      <c r="H13" s="5"/>
      <c r="I13" s="579" t="s">
        <v>56</v>
      </c>
      <c r="J13" s="579"/>
      <c r="K13" s="579"/>
      <c r="L13" s="579"/>
      <c r="O13" s="2"/>
    </row>
    <row r="14" spans="1:18" s="1" customFormat="1" ht="18" customHeight="1">
      <c r="A14" s="13"/>
      <c r="B14" s="573"/>
      <c r="C14" s="574"/>
      <c r="D14" s="574"/>
      <c r="E14" s="574"/>
      <c r="F14" s="574"/>
      <c r="G14" s="575"/>
      <c r="H14" s="5"/>
      <c r="I14" s="579" t="s">
        <v>9</v>
      </c>
      <c r="J14" s="579"/>
      <c r="K14" s="579"/>
      <c r="L14" s="579"/>
      <c r="O14" s="2"/>
    </row>
    <row r="15" spans="1:18" s="1" customFormat="1" ht="18" customHeight="1">
      <c r="A15" s="13"/>
      <c r="B15" s="573"/>
      <c r="C15" s="574"/>
      <c r="D15" s="574"/>
      <c r="E15" s="574"/>
      <c r="F15" s="574"/>
      <c r="G15" s="575"/>
      <c r="H15" s="5"/>
      <c r="I15" s="579" t="s">
        <v>55</v>
      </c>
      <c r="J15" s="579"/>
      <c r="K15" s="579"/>
      <c r="L15" s="579"/>
      <c r="O15" s="2"/>
    </row>
    <row r="16" spans="1:18" s="1" customFormat="1" ht="18" customHeight="1">
      <c r="A16" s="13"/>
      <c r="B16" s="576"/>
      <c r="C16" s="577"/>
      <c r="D16" s="577"/>
      <c r="E16" s="577"/>
      <c r="F16" s="577"/>
      <c r="G16" s="578"/>
      <c r="H16" s="5"/>
      <c r="I16" s="579" t="s">
        <v>10</v>
      </c>
      <c r="J16" s="579"/>
      <c r="K16" s="579"/>
      <c r="L16" s="579"/>
      <c r="O16" s="2"/>
    </row>
    <row r="17" spans="1:15" s="1" customFormat="1" ht="18" customHeight="1">
      <c r="A17" s="13"/>
      <c r="B17" s="123"/>
      <c r="C17" s="123"/>
      <c r="D17" s="123"/>
      <c r="E17" s="123"/>
      <c r="F17" s="123"/>
      <c r="G17" s="123"/>
      <c r="H17" s="5"/>
      <c r="I17" s="120"/>
      <c r="J17" s="120"/>
      <c r="K17" s="120"/>
      <c r="L17" s="120"/>
      <c r="O17" s="2"/>
    </row>
    <row r="18" spans="1:15" ht="18" customHeight="1">
      <c r="A18" s="13"/>
      <c r="B18" s="122"/>
      <c r="C18" s="122"/>
      <c r="D18" s="122"/>
      <c r="E18" s="122"/>
      <c r="F18" s="122"/>
      <c r="G18" s="122"/>
      <c r="I18" s="579"/>
      <c r="J18" s="579"/>
      <c r="K18" s="579"/>
      <c r="L18" s="579"/>
      <c r="O18" s="5"/>
    </row>
    <row r="19" spans="1:15" s="15" customFormat="1" ht="18.95" customHeight="1" thickBot="1">
      <c r="A19" s="13" t="s">
        <v>11</v>
      </c>
      <c r="B19" s="14"/>
      <c r="C19" s="14"/>
      <c r="D19" s="14"/>
      <c r="M19" s="16"/>
      <c r="N19" s="16"/>
    </row>
    <row r="20" spans="1:15" s="15" customFormat="1" ht="19.5" customHeight="1" thickBot="1">
      <c r="A20" s="580" t="s">
        <v>12</v>
      </c>
      <c r="B20" s="581"/>
      <c r="C20" s="581"/>
      <c r="D20" s="582"/>
      <c r="E20" s="583" t="s">
        <v>13</v>
      </c>
      <c r="F20" s="582"/>
      <c r="G20" s="583" t="s">
        <v>14</v>
      </c>
      <c r="H20" s="581"/>
      <c r="I20" s="581"/>
      <c r="J20" s="581"/>
      <c r="K20" s="581"/>
      <c r="L20" s="584"/>
      <c r="M20" s="587"/>
      <c r="N20" s="588"/>
    </row>
    <row r="21" spans="1:15" s="15" customFormat="1" ht="18.95" customHeight="1" thickTop="1">
      <c r="A21" s="18">
        <v>1</v>
      </c>
      <c r="B21" s="19" t="s">
        <v>15</v>
      </c>
      <c r="C21" s="19"/>
      <c r="D21" s="20"/>
      <c r="E21" s="585">
        <f>+J81</f>
        <v>15822513.999999998</v>
      </c>
      <c r="F21" s="586"/>
      <c r="G21" s="21" t="s">
        <v>16</v>
      </c>
      <c r="H21" s="22"/>
      <c r="I21" s="22"/>
      <c r="J21" s="22"/>
      <c r="K21" s="22"/>
      <c r="L21" s="23"/>
      <c r="M21" s="564"/>
      <c r="N21" s="565"/>
    </row>
    <row r="22" spans="1:15" s="15" customFormat="1" ht="18.95" customHeight="1">
      <c r="A22" s="25">
        <v>2</v>
      </c>
      <c r="B22" s="26" t="s">
        <v>17</v>
      </c>
      <c r="C22" s="26"/>
      <c r="D22" s="27"/>
      <c r="E22" s="562">
        <f>G91</f>
        <v>30000</v>
      </c>
      <c r="F22" s="563"/>
      <c r="G22" s="28" t="s">
        <v>18</v>
      </c>
      <c r="H22" s="29"/>
      <c r="I22" s="29"/>
      <c r="J22" s="29"/>
      <c r="K22" s="29"/>
      <c r="L22" s="30"/>
      <c r="M22" s="564"/>
      <c r="N22" s="565"/>
      <c r="O22" s="1"/>
    </row>
    <row r="23" spans="1:15" s="15" customFormat="1" ht="18.95" customHeight="1">
      <c r="A23" s="25">
        <v>3</v>
      </c>
      <c r="B23" s="26" t="s">
        <v>19</v>
      </c>
      <c r="C23" s="26"/>
      <c r="D23" s="27"/>
      <c r="E23" s="562">
        <f>+E21+E22</f>
        <v>15852513.999999998</v>
      </c>
      <c r="F23" s="563"/>
      <c r="G23" s="28" t="s">
        <v>20</v>
      </c>
      <c r="H23" s="29"/>
      <c r="I23" s="29"/>
      <c r="J23" s="29"/>
      <c r="K23" s="29"/>
      <c r="L23" s="31"/>
      <c r="M23" s="564"/>
      <c r="N23" s="565"/>
    </row>
    <row r="24" spans="1:15" s="15" customFormat="1" ht="18.95" customHeight="1">
      <c r="A24" s="25">
        <v>4</v>
      </c>
      <c r="B24" s="26" t="s">
        <v>21</v>
      </c>
      <c r="C24" s="26"/>
      <c r="D24" s="27"/>
      <c r="E24" s="562">
        <f>+ROUNDDOWN(E21*0.5385,0)</f>
        <v>8520423</v>
      </c>
      <c r="F24" s="563"/>
      <c r="G24" s="28" t="s">
        <v>22</v>
      </c>
      <c r="H24" s="29"/>
      <c r="I24" s="29"/>
      <c r="J24" s="32"/>
      <c r="K24" s="32"/>
      <c r="L24" s="30"/>
      <c r="M24" s="564"/>
      <c r="N24" s="565"/>
    </row>
    <row r="25" spans="1:15" s="15" customFormat="1" ht="18.95" customHeight="1">
      <c r="A25" s="25">
        <v>5</v>
      </c>
      <c r="B25" s="26" t="s">
        <v>23</v>
      </c>
      <c r="C25" s="26"/>
      <c r="D25" s="27"/>
      <c r="E25" s="562">
        <f>E23+E24</f>
        <v>24372937</v>
      </c>
      <c r="F25" s="563"/>
      <c r="G25" s="28" t="s">
        <v>24</v>
      </c>
      <c r="H25" s="29"/>
      <c r="I25" s="29"/>
      <c r="J25" s="32"/>
      <c r="K25" s="32"/>
      <c r="L25" s="31"/>
      <c r="M25" s="564"/>
      <c r="N25" s="565"/>
    </row>
    <row r="26" spans="1:15" s="15" customFormat="1" ht="18.95" customHeight="1">
      <c r="A26" s="33">
        <v>6</v>
      </c>
      <c r="B26" s="34" t="s">
        <v>25</v>
      </c>
      <c r="C26" s="34"/>
      <c r="D26" s="35"/>
      <c r="E26" s="589">
        <f>+ROUNDDOWN(E25*0.5385,0)</f>
        <v>13124826</v>
      </c>
      <c r="F26" s="590"/>
      <c r="G26" s="36" t="s">
        <v>26</v>
      </c>
      <c r="H26" s="37"/>
      <c r="I26" s="37"/>
      <c r="J26" s="38"/>
      <c r="K26" s="38"/>
      <c r="L26" s="39"/>
      <c r="M26" s="564"/>
      <c r="N26" s="565"/>
    </row>
    <row r="27" spans="1:15" s="15" customFormat="1" ht="18.95" customHeight="1">
      <c r="A27" s="40" t="s">
        <v>27</v>
      </c>
      <c r="B27" s="41"/>
      <c r="C27" s="41"/>
      <c r="D27" s="42"/>
      <c r="E27" s="591">
        <f>+E25+E26</f>
        <v>37497763</v>
      </c>
      <c r="F27" s="592"/>
      <c r="G27" s="43" t="s">
        <v>28</v>
      </c>
      <c r="H27" s="44"/>
      <c r="I27" s="44"/>
      <c r="J27" s="44"/>
      <c r="K27" s="44"/>
      <c r="L27" s="45"/>
      <c r="M27" s="564"/>
      <c r="N27" s="565"/>
    </row>
    <row r="28" spans="1:15" s="15" customFormat="1" ht="18.95" customHeight="1">
      <c r="A28" s="46" t="s">
        <v>29</v>
      </c>
      <c r="B28" s="26"/>
      <c r="C28" s="26"/>
      <c r="D28" s="27"/>
      <c r="E28" s="562">
        <f>ROUNDDOWN(E27,-4)</f>
        <v>37490000</v>
      </c>
      <c r="F28" s="563"/>
      <c r="G28" s="28" t="s">
        <v>30</v>
      </c>
      <c r="H28" s="29"/>
      <c r="I28" s="29"/>
      <c r="J28" s="29"/>
      <c r="K28" s="29"/>
      <c r="L28" s="47"/>
      <c r="M28" s="564"/>
      <c r="N28" s="565"/>
    </row>
    <row r="29" spans="1:15" s="15" customFormat="1" ht="18.95" customHeight="1">
      <c r="A29" s="46" t="s">
        <v>31</v>
      </c>
      <c r="B29" s="26"/>
      <c r="C29" s="26"/>
      <c r="D29" s="27"/>
      <c r="E29" s="562">
        <f>+E28*0.1</f>
        <v>3749000</v>
      </c>
      <c r="F29" s="563"/>
      <c r="G29" s="48">
        <v>0.1</v>
      </c>
      <c r="H29" s="29"/>
      <c r="I29" s="29"/>
      <c r="J29" s="29"/>
      <c r="K29" s="29"/>
      <c r="L29" s="47"/>
      <c r="M29" s="564"/>
      <c r="N29" s="565"/>
    </row>
    <row r="30" spans="1:15" ht="18.95" customHeight="1" thickBot="1">
      <c r="A30" s="49" t="s">
        <v>32</v>
      </c>
      <c r="B30" s="50"/>
      <c r="C30" s="50"/>
      <c r="D30" s="50"/>
      <c r="E30" s="593">
        <f>+E28*1.1</f>
        <v>41239000</v>
      </c>
      <c r="F30" s="594"/>
      <c r="G30" s="51"/>
      <c r="H30" s="52"/>
      <c r="I30" s="52"/>
      <c r="J30" s="52"/>
      <c r="K30" s="52"/>
      <c r="L30" s="53"/>
      <c r="M30" s="564"/>
      <c r="N30" s="565"/>
      <c r="O30" s="5"/>
    </row>
    <row r="31" spans="1:15" ht="18.95" customHeight="1">
      <c r="A31" s="54"/>
      <c r="B31" s="15"/>
      <c r="C31" s="15"/>
      <c r="D31" s="15"/>
      <c r="E31" s="55"/>
      <c r="F31" s="55"/>
      <c r="M31" s="24"/>
      <c r="N31" s="24"/>
      <c r="O31" s="5"/>
    </row>
    <row r="32" spans="1:15" ht="22.5" customHeight="1" thickBot="1">
      <c r="A32" s="13" t="s">
        <v>53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56"/>
      <c r="M32" s="57"/>
      <c r="N32" s="58"/>
      <c r="O32" s="5"/>
    </row>
    <row r="33" spans="1:24" ht="22.5" customHeight="1">
      <c r="A33" s="611" t="s">
        <v>33</v>
      </c>
      <c r="B33" s="612"/>
      <c r="C33" s="613"/>
      <c r="D33" s="59" t="s">
        <v>34</v>
      </c>
      <c r="E33" s="60" t="s">
        <v>35</v>
      </c>
      <c r="F33" s="60" t="s">
        <v>36</v>
      </c>
      <c r="G33" s="60" t="s">
        <v>37</v>
      </c>
      <c r="H33" s="60" t="s">
        <v>38</v>
      </c>
      <c r="I33" s="59" t="s">
        <v>39</v>
      </c>
      <c r="J33" s="61" t="s">
        <v>40</v>
      </c>
      <c r="K33" s="617" t="s">
        <v>14</v>
      </c>
      <c r="L33" s="618"/>
      <c r="O33" s="62"/>
      <c r="P33" s="62"/>
      <c r="Q33" s="63"/>
      <c r="R33" s="64"/>
      <c r="S33" s="63"/>
      <c r="T33" s="63"/>
      <c r="U33" s="63"/>
      <c r="V33" s="63"/>
      <c r="W33" s="65"/>
      <c r="X33" s="66"/>
    </row>
    <row r="34" spans="1:24" ht="22.5" customHeight="1" thickBot="1">
      <c r="A34" s="614"/>
      <c r="B34" s="615"/>
      <c r="C34" s="616"/>
      <c r="D34" s="114">
        <v>70900</v>
      </c>
      <c r="E34" s="115">
        <v>62200</v>
      </c>
      <c r="F34" s="115">
        <v>55200</v>
      </c>
      <c r="G34" s="115">
        <v>45300</v>
      </c>
      <c r="H34" s="115">
        <v>35600</v>
      </c>
      <c r="I34" s="114">
        <v>31600</v>
      </c>
      <c r="J34" s="137" t="s">
        <v>41</v>
      </c>
      <c r="K34" s="619"/>
      <c r="L34" s="620"/>
    </row>
    <row r="35" spans="1:24" s="150" customFormat="1" ht="22.5" customHeight="1" thickTop="1">
      <c r="A35" s="144" t="s">
        <v>65</v>
      </c>
      <c r="B35" s="621" t="s">
        <v>66</v>
      </c>
      <c r="C35" s="622"/>
      <c r="D35" s="145"/>
      <c r="E35" s="146"/>
      <c r="F35" s="146">
        <f t="shared" ref="F35:I35" si="0">SUM(F36:F41)</f>
        <v>4</v>
      </c>
      <c r="G35" s="146">
        <f t="shared" si="0"/>
        <v>1</v>
      </c>
      <c r="H35" s="146">
        <f t="shared" si="0"/>
        <v>7.5</v>
      </c>
      <c r="I35" s="146">
        <f t="shared" si="0"/>
        <v>2</v>
      </c>
      <c r="J35" s="147">
        <f t="shared" ref="J35:J47" si="1">+$D$34*D35+$E$34*E35+$F$34*F35+$G$34*G35+$H$34*H35+$I$34*I35</f>
        <v>596300</v>
      </c>
      <c r="K35" s="689"/>
      <c r="L35" s="690"/>
      <c r="M35" s="291">
        <f>+$D$34*D35+$E$34*E35+$F$34*F35+$G$34*G35+$H$34*H35+$I$34*I35</f>
        <v>596300</v>
      </c>
      <c r="N35" s="148"/>
      <c r="O35" s="149"/>
    </row>
    <row r="36" spans="1:24" s="15" customFormat="1" ht="22.5" customHeight="1">
      <c r="A36" s="70"/>
      <c r="B36" s="625" t="s">
        <v>69</v>
      </c>
      <c r="C36" s="626"/>
      <c r="D36" s="289"/>
      <c r="E36" s="345"/>
      <c r="F36" s="345">
        <f t="shared" ref="F36:H36" si="2">F37+F38</f>
        <v>1.5</v>
      </c>
      <c r="G36" s="345"/>
      <c r="H36" s="345">
        <f t="shared" si="2"/>
        <v>2</v>
      </c>
      <c r="I36" s="345"/>
      <c r="J36" s="290">
        <f t="shared" si="1"/>
        <v>154000</v>
      </c>
      <c r="K36" s="635"/>
      <c r="L36" s="636"/>
      <c r="M36" s="291">
        <f t="shared" ref="M36:M79" si="3">+$D$34*D36+$E$34*E36+$F$34*F36+$G$34*G36+$H$34*H36+$I$34*I36</f>
        <v>154000</v>
      </c>
      <c r="N36" s="68"/>
      <c r="O36" s="595"/>
      <c r="P36" s="595"/>
    </row>
    <row r="37" spans="1:24" s="15" customFormat="1" ht="16.5" customHeight="1">
      <c r="A37" s="70"/>
      <c r="B37" s="699" t="s">
        <v>222</v>
      </c>
      <c r="C37" s="700"/>
      <c r="D37" s="289"/>
      <c r="E37" s="323"/>
      <c r="F37" s="323">
        <v>1</v>
      </c>
      <c r="G37" s="323"/>
      <c r="H37" s="323">
        <v>1</v>
      </c>
      <c r="I37" s="323"/>
      <c r="J37" s="342">
        <f t="shared" si="1"/>
        <v>90800</v>
      </c>
      <c r="K37" s="635"/>
      <c r="L37" s="636"/>
      <c r="M37" s="291"/>
      <c r="N37" s="68"/>
      <c r="O37" s="71"/>
      <c r="P37" s="71"/>
    </row>
    <row r="38" spans="1:24" s="15" customFormat="1" ht="15.6" customHeight="1">
      <c r="A38" s="70"/>
      <c r="B38" s="699" t="s">
        <v>223</v>
      </c>
      <c r="C38" s="700"/>
      <c r="D38" s="289"/>
      <c r="E38" s="323"/>
      <c r="F38" s="323">
        <v>0.5</v>
      </c>
      <c r="G38" s="323"/>
      <c r="H38" s="323">
        <v>1</v>
      </c>
      <c r="I38" s="323"/>
      <c r="J38" s="342">
        <f t="shared" si="1"/>
        <v>63200</v>
      </c>
      <c r="K38" s="635"/>
      <c r="L38" s="636"/>
      <c r="M38" s="291"/>
      <c r="N38" s="68"/>
      <c r="O38" s="71"/>
      <c r="P38" s="71"/>
    </row>
    <row r="39" spans="1:24" s="15" customFormat="1" ht="22.5" customHeight="1">
      <c r="A39" s="70"/>
      <c r="B39" s="625" t="s">
        <v>71</v>
      </c>
      <c r="C39" s="626"/>
      <c r="D39" s="289"/>
      <c r="E39" s="345"/>
      <c r="F39" s="345"/>
      <c r="G39" s="345">
        <v>0.5</v>
      </c>
      <c r="H39" s="345">
        <v>1</v>
      </c>
      <c r="I39" s="345">
        <v>1</v>
      </c>
      <c r="J39" s="290">
        <f t="shared" si="1"/>
        <v>89850</v>
      </c>
      <c r="K39" s="627" t="s">
        <v>70</v>
      </c>
      <c r="L39" s="628"/>
      <c r="M39" s="291">
        <f t="shared" si="3"/>
        <v>89850</v>
      </c>
      <c r="N39" s="68"/>
      <c r="O39" s="71"/>
      <c r="P39" s="71"/>
    </row>
    <row r="40" spans="1:24" s="15" customFormat="1" ht="22.5" customHeight="1">
      <c r="A40" s="70"/>
      <c r="B40" s="625" t="s">
        <v>72</v>
      </c>
      <c r="C40" s="626"/>
      <c r="D40" s="289"/>
      <c r="E40" s="345"/>
      <c r="F40" s="345"/>
      <c r="G40" s="345">
        <v>0.5</v>
      </c>
      <c r="H40" s="345">
        <v>1</v>
      </c>
      <c r="I40" s="345">
        <v>1</v>
      </c>
      <c r="J40" s="290">
        <f t="shared" si="1"/>
        <v>89850</v>
      </c>
      <c r="K40" s="635"/>
      <c r="L40" s="636"/>
      <c r="M40" s="291">
        <f t="shared" si="3"/>
        <v>89850</v>
      </c>
      <c r="N40" s="68"/>
      <c r="O40" s="71"/>
      <c r="P40" s="71"/>
    </row>
    <row r="41" spans="1:24" s="15" customFormat="1" ht="22.5" customHeight="1">
      <c r="A41" s="70"/>
      <c r="B41" s="625" t="s">
        <v>73</v>
      </c>
      <c r="C41" s="626"/>
      <c r="D41" s="289"/>
      <c r="E41" s="345"/>
      <c r="F41" s="345">
        <v>1</v>
      </c>
      <c r="G41" s="345"/>
      <c r="H41" s="345">
        <v>1.5</v>
      </c>
      <c r="I41" s="345"/>
      <c r="J41" s="290">
        <f t="shared" si="1"/>
        <v>108600</v>
      </c>
      <c r="K41" s="627" t="s">
        <v>209</v>
      </c>
      <c r="L41" s="628"/>
      <c r="M41" s="291">
        <f t="shared" si="3"/>
        <v>108600</v>
      </c>
      <c r="N41" s="68"/>
      <c r="O41" s="69"/>
    </row>
    <row r="42" spans="1:24" s="150" customFormat="1" ht="22.5" customHeight="1">
      <c r="A42" s="151" t="s">
        <v>68</v>
      </c>
      <c r="B42" s="621" t="s">
        <v>67</v>
      </c>
      <c r="C42" s="622"/>
      <c r="D42" s="152"/>
      <c r="E42" s="152">
        <f>E43+E48+E59+E60+E64+E65</f>
        <v>3.5</v>
      </c>
      <c r="F42" s="152">
        <f t="shared" ref="F42:H42" si="4">F43+F48+F59+F60+F64+F65</f>
        <v>6.5</v>
      </c>
      <c r="G42" s="152">
        <f t="shared" si="4"/>
        <v>17.5</v>
      </c>
      <c r="H42" s="152">
        <f t="shared" si="4"/>
        <v>271.68999999999994</v>
      </c>
      <c r="I42" s="152"/>
      <c r="J42" s="346">
        <f t="shared" si="1"/>
        <v>11041413.999999998</v>
      </c>
      <c r="K42" s="691"/>
      <c r="L42" s="692"/>
      <c r="M42" s="291">
        <f t="shared" si="3"/>
        <v>11041413.999999998</v>
      </c>
      <c r="N42" s="148"/>
      <c r="O42" s="149"/>
    </row>
    <row r="43" spans="1:24" s="15" customFormat="1" ht="22.5" customHeight="1">
      <c r="A43" s="70"/>
      <c r="B43" s="631" t="s">
        <v>74</v>
      </c>
      <c r="C43" s="632"/>
      <c r="D43" s="289"/>
      <c r="E43" s="345">
        <f>SUM(E44:E47)</f>
        <v>0.5</v>
      </c>
      <c r="F43" s="345">
        <f t="shared" ref="F43:H43" si="5">SUM(F44:F47)</f>
        <v>2.5</v>
      </c>
      <c r="G43" s="345">
        <f t="shared" si="5"/>
        <v>4</v>
      </c>
      <c r="H43" s="345">
        <f t="shared" si="5"/>
        <v>3</v>
      </c>
      <c r="I43" s="345"/>
      <c r="J43" s="290">
        <f t="shared" si="1"/>
        <v>457100</v>
      </c>
      <c r="K43" s="635"/>
      <c r="L43" s="636"/>
      <c r="M43" s="291">
        <f t="shared" si="3"/>
        <v>457100</v>
      </c>
      <c r="N43" s="68"/>
      <c r="O43" s="595"/>
      <c r="P43" s="595"/>
      <c r="Q43" s="595"/>
    </row>
    <row r="44" spans="1:24" s="15" customFormat="1" ht="22.5" customHeight="1">
      <c r="A44" s="70"/>
      <c r="B44" s="704" t="s">
        <v>75</v>
      </c>
      <c r="C44" s="705"/>
      <c r="D44" s="289"/>
      <c r="E44" s="323"/>
      <c r="F44" s="323">
        <v>0.5</v>
      </c>
      <c r="G44" s="323">
        <v>1</v>
      </c>
      <c r="H44" s="323">
        <v>1</v>
      </c>
      <c r="I44" s="323"/>
      <c r="J44" s="347">
        <f t="shared" si="1"/>
        <v>108500</v>
      </c>
      <c r="K44" s="635"/>
      <c r="L44" s="636"/>
      <c r="M44" s="291">
        <f t="shared" si="3"/>
        <v>108500</v>
      </c>
      <c r="N44" s="68"/>
      <c r="O44" s="71"/>
      <c r="P44" s="71"/>
      <c r="Q44" s="71"/>
    </row>
    <row r="45" spans="1:24" s="15" customFormat="1" ht="22.5" customHeight="1">
      <c r="A45" s="70"/>
      <c r="B45" s="704" t="s">
        <v>76</v>
      </c>
      <c r="C45" s="705"/>
      <c r="D45" s="289"/>
      <c r="E45" s="323"/>
      <c r="F45" s="323">
        <v>0.5</v>
      </c>
      <c r="G45" s="323">
        <v>1</v>
      </c>
      <c r="H45" s="323">
        <v>1</v>
      </c>
      <c r="I45" s="323"/>
      <c r="J45" s="347">
        <f t="shared" si="1"/>
        <v>108500</v>
      </c>
      <c r="K45" s="635"/>
      <c r="L45" s="636"/>
      <c r="M45" s="291">
        <f t="shared" si="3"/>
        <v>108500</v>
      </c>
      <c r="N45" s="68"/>
      <c r="O45" s="71"/>
      <c r="P45" s="71"/>
      <c r="Q45" s="71"/>
    </row>
    <row r="46" spans="1:24" s="15" customFormat="1" ht="22.5" customHeight="1">
      <c r="A46" s="70"/>
      <c r="B46" s="704" t="s">
        <v>77</v>
      </c>
      <c r="C46" s="705"/>
      <c r="D46" s="289"/>
      <c r="E46" s="323"/>
      <c r="F46" s="323">
        <v>0.5</v>
      </c>
      <c r="G46" s="323">
        <v>1</v>
      </c>
      <c r="H46" s="323">
        <v>1</v>
      </c>
      <c r="I46" s="323"/>
      <c r="J46" s="347">
        <f t="shared" si="1"/>
        <v>108500</v>
      </c>
      <c r="K46" s="635"/>
      <c r="L46" s="636"/>
      <c r="M46" s="291">
        <f t="shared" si="3"/>
        <v>108500</v>
      </c>
      <c r="N46" s="116"/>
      <c r="O46" s="69"/>
    </row>
    <row r="47" spans="1:24" s="15" customFormat="1" ht="22.5" customHeight="1">
      <c r="A47" s="72"/>
      <c r="B47" s="639" t="s">
        <v>78</v>
      </c>
      <c r="C47" s="706"/>
      <c r="D47" s="289"/>
      <c r="E47" s="323">
        <v>0.5</v>
      </c>
      <c r="F47" s="323">
        <v>1</v>
      </c>
      <c r="G47" s="323">
        <v>1</v>
      </c>
      <c r="H47" s="323"/>
      <c r="I47" s="323"/>
      <c r="J47" s="347">
        <f t="shared" si="1"/>
        <v>131600</v>
      </c>
      <c r="K47" s="635"/>
      <c r="L47" s="636"/>
      <c r="M47" s="291">
        <f t="shared" si="3"/>
        <v>131600</v>
      </c>
      <c r="N47" s="116"/>
      <c r="O47" s="703"/>
      <c r="P47" s="703"/>
      <c r="Q47" s="703"/>
      <c r="R47" s="703"/>
    </row>
    <row r="48" spans="1:24" s="15" customFormat="1" ht="22.5" customHeight="1">
      <c r="A48" s="70"/>
      <c r="B48" s="625" t="s">
        <v>85</v>
      </c>
      <c r="C48" s="626"/>
      <c r="D48" s="289"/>
      <c r="E48" s="345">
        <f>SUM(E49:E54)</f>
        <v>1.5</v>
      </c>
      <c r="F48" s="345">
        <f t="shared" ref="F48:G48" si="6">SUM(F49:F54)</f>
        <v>2</v>
      </c>
      <c r="G48" s="345">
        <f t="shared" si="6"/>
        <v>6</v>
      </c>
      <c r="H48" s="345">
        <f>SUM(H49:H54)</f>
        <v>257.68999999999994</v>
      </c>
      <c r="I48" s="345"/>
      <c r="J48" s="290">
        <f t="shared" ref="J48:J79" si="7">+$D$34*D48+$E$34*E48+$F$34*F48+$G$34*G48+$H$34*H48+$I$34*I48</f>
        <v>9649263.9999999981</v>
      </c>
      <c r="K48" s="635"/>
      <c r="L48" s="636"/>
      <c r="M48" s="291">
        <f t="shared" si="3"/>
        <v>9649263.9999999981</v>
      </c>
      <c r="N48" s="117"/>
      <c r="O48" s="69"/>
    </row>
    <row r="49" spans="1:15" s="15" customFormat="1" ht="22.5" customHeight="1">
      <c r="A49" s="70"/>
      <c r="B49" s="639" t="s">
        <v>79</v>
      </c>
      <c r="C49" s="640"/>
      <c r="D49" s="289"/>
      <c r="E49" s="323">
        <v>0.5</v>
      </c>
      <c r="F49" s="323">
        <v>1</v>
      </c>
      <c r="G49" s="323">
        <v>2</v>
      </c>
      <c r="H49" s="323">
        <v>4</v>
      </c>
      <c r="I49" s="323"/>
      <c r="J49" s="347">
        <f t="shared" si="7"/>
        <v>319300</v>
      </c>
      <c r="K49" s="635"/>
      <c r="L49" s="636"/>
      <c r="M49" s="291">
        <f t="shared" si="3"/>
        <v>319300</v>
      </c>
      <c r="N49" s="117"/>
      <c r="O49" s="69"/>
    </row>
    <row r="50" spans="1:15" s="15" customFormat="1" ht="22.5" customHeight="1">
      <c r="A50" s="70"/>
      <c r="B50" s="639" t="s">
        <v>80</v>
      </c>
      <c r="C50" s="640"/>
      <c r="D50" s="289"/>
      <c r="E50" s="323"/>
      <c r="F50" s="323">
        <v>0.5</v>
      </c>
      <c r="G50" s="323">
        <v>1</v>
      </c>
      <c r="H50" s="323">
        <v>1</v>
      </c>
      <c r="I50" s="323"/>
      <c r="J50" s="347">
        <f t="shared" si="7"/>
        <v>108500</v>
      </c>
      <c r="K50" s="635"/>
      <c r="L50" s="636"/>
      <c r="M50" s="291">
        <f t="shared" si="3"/>
        <v>108500</v>
      </c>
      <c r="N50" s="117"/>
      <c r="O50" s="69"/>
    </row>
    <row r="51" spans="1:15" s="15" customFormat="1" ht="22.5" customHeight="1">
      <c r="A51" s="70"/>
      <c r="B51" s="639" t="s">
        <v>81</v>
      </c>
      <c r="C51" s="640"/>
      <c r="D51" s="289"/>
      <c r="E51" s="323"/>
      <c r="F51" s="323">
        <v>0.5</v>
      </c>
      <c r="G51" s="323">
        <v>1</v>
      </c>
      <c r="H51" s="323">
        <v>1</v>
      </c>
      <c r="I51" s="323"/>
      <c r="J51" s="347">
        <f t="shared" si="7"/>
        <v>108500</v>
      </c>
      <c r="K51" s="635"/>
      <c r="L51" s="636"/>
      <c r="M51" s="291">
        <f t="shared" si="3"/>
        <v>108500</v>
      </c>
      <c r="N51" s="117"/>
      <c r="O51" s="69"/>
    </row>
    <row r="52" spans="1:15" s="15" customFormat="1" ht="22.5" customHeight="1">
      <c r="A52" s="70"/>
      <c r="B52" s="639" t="s">
        <v>82</v>
      </c>
      <c r="C52" s="640"/>
      <c r="D52" s="289"/>
      <c r="E52" s="323">
        <v>0.5</v>
      </c>
      <c r="F52" s="323"/>
      <c r="G52" s="323">
        <v>1</v>
      </c>
      <c r="H52" s="323">
        <v>2</v>
      </c>
      <c r="I52" s="323"/>
      <c r="J52" s="347">
        <f t="shared" si="7"/>
        <v>147600</v>
      </c>
      <c r="K52" s="635"/>
      <c r="L52" s="636"/>
      <c r="M52" s="291">
        <f t="shared" si="3"/>
        <v>147600</v>
      </c>
      <c r="N52" s="117"/>
      <c r="O52" s="69"/>
    </row>
    <row r="53" spans="1:15" s="15" customFormat="1" ht="22.5" customHeight="1">
      <c r="A53" s="70"/>
      <c r="B53" s="639" t="s">
        <v>83</v>
      </c>
      <c r="C53" s="640"/>
      <c r="D53" s="289"/>
      <c r="E53" s="323">
        <v>0.5</v>
      </c>
      <c r="F53" s="323"/>
      <c r="G53" s="323">
        <v>1</v>
      </c>
      <c r="H53" s="323">
        <v>2</v>
      </c>
      <c r="I53" s="323"/>
      <c r="J53" s="347">
        <f t="shared" si="7"/>
        <v>147600</v>
      </c>
      <c r="K53" s="635"/>
      <c r="L53" s="636"/>
      <c r="M53" s="291">
        <f t="shared" si="3"/>
        <v>147600</v>
      </c>
      <c r="N53" s="117"/>
      <c r="O53" s="69"/>
    </row>
    <row r="54" spans="1:15" s="15" customFormat="1" ht="22.5" customHeight="1">
      <c r="A54" s="70"/>
      <c r="B54" s="639" t="s">
        <v>84</v>
      </c>
      <c r="C54" s="640"/>
      <c r="D54" s="289"/>
      <c r="E54" s="344"/>
      <c r="F54" s="344"/>
      <c r="G54" s="344"/>
      <c r="H54" s="323">
        <f>SUM(H55:H58)</f>
        <v>247.68999999999997</v>
      </c>
      <c r="I54" s="344"/>
      <c r="J54" s="347">
        <f t="shared" si="7"/>
        <v>8817763.9999999981</v>
      </c>
      <c r="K54" s="635"/>
      <c r="L54" s="636"/>
      <c r="M54" s="291">
        <f t="shared" si="3"/>
        <v>8817763.9999999981</v>
      </c>
      <c r="N54" s="117"/>
      <c r="O54" s="69"/>
    </row>
    <row r="55" spans="1:15" s="15" customFormat="1" ht="22.5" customHeight="1">
      <c r="A55" s="70"/>
      <c r="B55" s="639" t="s">
        <v>213</v>
      </c>
      <c r="C55" s="640"/>
      <c r="D55" s="289"/>
      <c r="E55" s="323"/>
      <c r="F55" s="323"/>
      <c r="G55" s="323"/>
      <c r="H55" s="323">
        <f>32.9/2</f>
        <v>16.45</v>
      </c>
      <c r="I55" s="323"/>
      <c r="J55" s="343">
        <f t="shared" si="7"/>
        <v>585620</v>
      </c>
      <c r="K55" s="635"/>
      <c r="L55" s="636"/>
      <c r="M55" s="291">
        <f t="shared" si="3"/>
        <v>585620</v>
      </c>
      <c r="N55" s="117"/>
      <c r="O55" s="69"/>
    </row>
    <row r="56" spans="1:15" s="15" customFormat="1" ht="22.5" customHeight="1">
      <c r="A56" s="70"/>
      <c r="B56" s="639" t="s">
        <v>214</v>
      </c>
      <c r="C56" s="640"/>
      <c r="D56" s="289"/>
      <c r="E56" s="323"/>
      <c r="F56" s="323"/>
      <c r="G56" s="323"/>
      <c r="H56" s="323">
        <f>(282.7/10)*7</f>
        <v>197.89</v>
      </c>
      <c r="I56" s="323"/>
      <c r="J56" s="343">
        <f t="shared" si="7"/>
        <v>7044883.9999999991</v>
      </c>
      <c r="K56" s="635"/>
      <c r="L56" s="636"/>
      <c r="M56" s="291">
        <f t="shared" si="3"/>
        <v>7044883.9999999991</v>
      </c>
      <c r="N56" s="117"/>
      <c r="O56" s="69"/>
    </row>
    <row r="57" spans="1:15" s="15" customFormat="1" ht="22.5" customHeight="1">
      <c r="A57" s="70"/>
      <c r="B57" s="639" t="s">
        <v>216</v>
      </c>
      <c r="C57" s="640"/>
      <c r="D57" s="289"/>
      <c r="E57" s="323"/>
      <c r="F57" s="323"/>
      <c r="G57" s="323"/>
      <c r="H57" s="323">
        <f>34.3/2</f>
        <v>17.149999999999999</v>
      </c>
      <c r="I57" s="323"/>
      <c r="J57" s="343">
        <f t="shared" si="7"/>
        <v>610540</v>
      </c>
      <c r="K57" s="635"/>
      <c r="L57" s="636"/>
      <c r="M57" s="291">
        <f t="shared" si="3"/>
        <v>610540</v>
      </c>
      <c r="N57" s="117"/>
      <c r="O57" s="69"/>
    </row>
    <row r="58" spans="1:15" s="15" customFormat="1" ht="22.5" customHeight="1">
      <c r="A58" s="70"/>
      <c r="B58" s="639" t="s">
        <v>217</v>
      </c>
      <c r="C58" s="640"/>
      <c r="D58" s="289"/>
      <c r="E58" s="323"/>
      <c r="F58" s="323"/>
      <c r="G58" s="323"/>
      <c r="H58" s="323">
        <f>32.4/2</f>
        <v>16.2</v>
      </c>
      <c r="I58" s="323"/>
      <c r="J58" s="343">
        <f t="shared" si="7"/>
        <v>576720</v>
      </c>
      <c r="K58" s="635"/>
      <c r="L58" s="636"/>
      <c r="M58" s="291">
        <f t="shared" si="3"/>
        <v>576720</v>
      </c>
      <c r="N58" s="117"/>
      <c r="O58" s="69"/>
    </row>
    <row r="59" spans="1:15" s="15" customFormat="1" ht="24.95" customHeight="1">
      <c r="A59" s="70"/>
      <c r="B59" s="631" t="s">
        <v>86</v>
      </c>
      <c r="C59" s="643"/>
      <c r="D59" s="289"/>
      <c r="E59" s="345">
        <v>0.5</v>
      </c>
      <c r="F59" s="345"/>
      <c r="G59" s="345">
        <v>1</v>
      </c>
      <c r="H59" s="345">
        <v>2</v>
      </c>
      <c r="I59" s="345"/>
      <c r="J59" s="290">
        <f t="shared" si="7"/>
        <v>147600</v>
      </c>
      <c r="K59" s="644"/>
      <c r="L59" s="645"/>
      <c r="M59" s="291">
        <f t="shared" si="3"/>
        <v>147600</v>
      </c>
      <c r="N59" s="117"/>
      <c r="O59" s="69"/>
    </row>
    <row r="60" spans="1:15" s="15" customFormat="1" ht="24.95" customHeight="1">
      <c r="A60" s="70"/>
      <c r="B60" s="639" t="s">
        <v>87</v>
      </c>
      <c r="C60" s="640"/>
      <c r="D60" s="289"/>
      <c r="E60" s="345">
        <f>SUM(E61:E63)</f>
        <v>0.5</v>
      </c>
      <c r="F60" s="345">
        <f t="shared" ref="F60:H60" si="8">SUM(F61:F63)</f>
        <v>1</v>
      </c>
      <c r="G60" s="345">
        <f t="shared" si="8"/>
        <v>4.5</v>
      </c>
      <c r="H60" s="345">
        <f t="shared" si="8"/>
        <v>6</v>
      </c>
      <c r="I60" s="345"/>
      <c r="J60" s="290">
        <f t="shared" si="7"/>
        <v>503750</v>
      </c>
      <c r="K60" s="635"/>
      <c r="L60" s="636"/>
      <c r="M60" s="291">
        <f t="shared" si="3"/>
        <v>503750</v>
      </c>
      <c r="N60" s="117"/>
      <c r="O60" s="69"/>
    </row>
    <row r="61" spans="1:15" s="15" customFormat="1" ht="22.5" customHeight="1">
      <c r="A61" s="70"/>
      <c r="B61" s="639" t="s">
        <v>88</v>
      </c>
      <c r="C61" s="640"/>
      <c r="D61" s="289"/>
      <c r="E61" s="323">
        <v>0.5</v>
      </c>
      <c r="F61" s="323"/>
      <c r="G61" s="323">
        <v>1.5</v>
      </c>
      <c r="H61" s="323">
        <v>3</v>
      </c>
      <c r="I61" s="323"/>
      <c r="J61" s="347">
        <f t="shared" si="7"/>
        <v>205850</v>
      </c>
      <c r="K61" s="826" t="s">
        <v>224</v>
      </c>
      <c r="L61" s="827"/>
      <c r="M61" s="291">
        <f t="shared" si="3"/>
        <v>205850</v>
      </c>
      <c r="N61" s="117"/>
      <c r="O61" s="69"/>
    </row>
    <row r="62" spans="1:15" s="15" customFormat="1" ht="22.5" customHeight="1">
      <c r="A62" s="70"/>
      <c r="B62" s="639" t="s">
        <v>89</v>
      </c>
      <c r="C62" s="640"/>
      <c r="D62" s="289"/>
      <c r="E62" s="323"/>
      <c r="F62" s="323">
        <v>0.5</v>
      </c>
      <c r="G62" s="323">
        <v>1.5</v>
      </c>
      <c r="H62" s="323">
        <v>1.5</v>
      </c>
      <c r="I62" s="323"/>
      <c r="J62" s="347">
        <f t="shared" si="7"/>
        <v>148950</v>
      </c>
      <c r="K62" s="635"/>
      <c r="L62" s="636"/>
      <c r="M62" s="291">
        <f t="shared" si="3"/>
        <v>148950</v>
      </c>
      <c r="N62" s="117"/>
      <c r="O62" s="69"/>
    </row>
    <row r="63" spans="1:15" s="15" customFormat="1" ht="22.5" customHeight="1">
      <c r="A63" s="70"/>
      <c r="B63" s="639" t="s">
        <v>90</v>
      </c>
      <c r="C63" s="640"/>
      <c r="D63" s="289"/>
      <c r="E63" s="323"/>
      <c r="F63" s="323">
        <v>0.5</v>
      </c>
      <c r="G63" s="323">
        <v>1.5</v>
      </c>
      <c r="H63" s="323">
        <v>1.5</v>
      </c>
      <c r="I63" s="323"/>
      <c r="J63" s="347">
        <f t="shared" si="7"/>
        <v>148950</v>
      </c>
      <c r="K63" s="635"/>
      <c r="L63" s="636"/>
      <c r="M63" s="291">
        <f t="shared" si="3"/>
        <v>148950</v>
      </c>
      <c r="N63" s="117"/>
      <c r="O63" s="69"/>
    </row>
    <row r="64" spans="1:15" s="15" customFormat="1" ht="22.5" customHeight="1">
      <c r="A64" s="70"/>
      <c r="B64" s="639" t="s">
        <v>91</v>
      </c>
      <c r="C64" s="640"/>
      <c r="D64" s="289"/>
      <c r="E64" s="345">
        <v>0.5</v>
      </c>
      <c r="F64" s="345">
        <v>1</v>
      </c>
      <c r="G64" s="345">
        <v>1.5</v>
      </c>
      <c r="H64" s="345">
        <v>2</v>
      </c>
      <c r="I64" s="345"/>
      <c r="J64" s="290">
        <f t="shared" si="7"/>
        <v>225450</v>
      </c>
      <c r="K64" s="635"/>
      <c r="L64" s="636"/>
      <c r="M64" s="291">
        <f t="shared" si="3"/>
        <v>225450</v>
      </c>
      <c r="N64" s="117"/>
      <c r="O64" s="69"/>
    </row>
    <row r="65" spans="1:15" s="15" customFormat="1" ht="22.5" customHeight="1">
      <c r="A65" s="70"/>
      <c r="B65" s="639" t="s">
        <v>92</v>
      </c>
      <c r="C65" s="640"/>
      <c r="D65" s="289"/>
      <c r="E65" s="345"/>
      <c r="F65" s="345"/>
      <c r="G65" s="345">
        <v>0.5</v>
      </c>
      <c r="H65" s="345">
        <v>1</v>
      </c>
      <c r="I65" s="345"/>
      <c r="J65" s="290">
        <f t="shared" si="7"/>
        <v>58250</v>
      </c>
      <c r="K65" s="635"/>
      <c r="L65" s="636"/>
      <c r="M65" s="291">
        <f t="shared" si="3"/>
        <v>58250</v>
      </c>
      <c r="N65" s="117"/>
      <c r="O65" s="69"/>
    </row>
    <row r="66" spans="1:15" s="150" customFormat="1" ht="22.5" customHeight="1">
      <c r="A66" s="151" t="s">
        <v>93</v>
      </c>
      <c r="B66" s="646" t="s">
        <v>94</v>
      </c>
      <c r="C66" s="647"/>
      <c r="D66" s="152"/>
      <c r="E66" s="154">
        <f>SUM(E67:E70)</f>
        <v>0.5</v>
      </c>
      <c r="F66" s="154">
        <f t="shared" ref="F66:I66" si="9">SUM(F67:F70)</f>
        <v>0</v>
      </c>
      <c r="G66" s="154">
        <f t="shared" si="9"/>
        <v>28</v>
      </c>
      <c r="H66" s="154">
        <f t="shared" si="9"/>
        <v>18</v>
      </c>
      <c r="I66" s="154">
        <f t="shared" si="9"/>
        <v>2</v>
      </c>
      <c r="J66" s="153">
        <f t="shared" si="7"/>
        <v>2003500</v>
      </c>
      <c r="K66" s="691"/>
      <c r="L66" s="692"/>
      <c r="M66" s="291">
        <f t="shared" si="3"/>
        <v>2003500</v>
      </c>
      <c r="N66" s="155"/>
      <c r="O66" s="149"/>
    </row>
    <row r="67" spans="1:15" s="15" customFormat="1" ht="22.5" customHeight="1">
      <c r="A67" s="70"/>
      <c r="B67" s="639" t="s">
        <v>95</v>
      </c>
      <c r="C67" s="640"/>
      <c r="D67" s="289"/>
      <c r="E67" s="345"/>
      <c r="F67" s="345"/>
      <c r="G67" s="345">
        <v>1</v>
      </c>
      <c r="H67" s="345">
        <v>3</v>
      </c>
      <c r="I67" s="345"/>
      <c r="J67" s="290">
        <f t="shared" si="7"/>
        <v>152100</v>
      </c>
      <c r="K67" s="635"/>
      <c r="L67" s="636"/>
      <c r="M67" s="291">
        <f t="shared" si="3"/>
        <v>152100</v>
      </c>
      <c r="N67" s="117"/>
      <c r="O67" s="69"/>
    </row>
    <row r="68" spans="1:15" s="15" customFormat="1" ht="22.5" customHeight="1">
      <c r="A68" s="70"/>
      <c r="B68" s="639" t="s">
        <v>96</v>
      </c>
      <c r="C68" s="640"/>
      <c r="D68" s="289"/>
      <c r="E68" s="345">
        <v>0.5</v>
      </c>
      <c r="F68" s="345"/>
      <c r="G68" s="345">
        <v>1</v>
      </c>
      <c r="H68" s="345">
        <v>2</v>
      </c>
      <c r="I68" s="345">
        <v>2</v>
      </c>
      <c r="J68" s="290">
        <f t="shared" si="7"/>
        <v>210800</v>
      </c>
      <c r="K68" s="627" t="s">
        <v>97</v>
      </c>
      <c r="L68" s="628"/>
      <c r="M68" s="291">
        <f t="shared" si="3"/>
        <v>210800</v>
      </c>
      <c r="N68" s="117"/>
      <c r="O68" s="69"/>
    </row>
    <row r="69" spans="1:15" s="15" customFormat="1" ht="22.5" customHeight="1">
      <c r="A69" s="70"/>
      <c r="B69" s="639" t="s">
        <v>98</v>
      </c>
      <c r="C69" s="640"/>
      <c r="D69" s="289"/>
      <c r="E69" s="345"/>
      <c r="F69" s="345"/>
      <c r="G69" s="345">
        <v>20</v>
      </c>
      <c r="H69" s="345">
        <v>10</v>
      </c>
      <c r="I69" s="345"/>
      <c r="J69" s="290">
        <f t="shared" si="7"/>
        <v>1262000</v>
      </c>
      <c r="K69" s="627" t="s">
        <v>99</v>
      </c>
      <c r="L69" s="628"/>
      <c r="M69" s="291">
        <f t="shared" si="3"/>
        <v>1262000</v>
      </c>
      <c r="N69" s="117"/>
      <c r="O69" s="69"/>
    </row>
    <row r="70" spans="1:15" s="15" customFormat="1" ht="22.5" customHeight="1">
      <c r="A70" s="70"/>
      <c r="B70" s="639" t="s">
        <v>100</v>
      </c>
      <c r="C70" s="640"/>
      <c r="D70" s="289"/>
      <c r="E70" s="345"/>
      <c r="F70" s="345"/>
      <c r="G70" s="345">
        <v>6</v>
      </c>
      <c r="H70" s="345">
        <v>3</v>
      </c>
      <c r="I70" s="345"/>
      <c r="J70" s="290">
        <f t="shared" si="7"/>
        <v>378600</v>
      </c>
      <c r="K70" s="650" t="s">
        <v>221</v>
      </c>
      <c r="L70" s="634"/>
      <c r="M70" s="291">
        <f t="shared" si="3"/>
        <v>378600</v>
      </c>
      <c r="N70" s="117"/>
      <c r="O70" s="69"/>
    </row>
    <row r="71" spans="1:15" s="150" customFormat="1" ht="22.5" customHeight="1">
      <c r="A71" s="151" t="s">
        <v>101</v>
      </c>
      <c r="B71" s="646" t="s">
        <v>102</v>
      </c>
      <c r="C71" s="647"/>
      <c r="D71" s="152"/>
      <c r="E71" s="154"/>
      <c r="F71" s="154">
        <f>SUM(F72:F73)</f>
        <v>2</v>
      </c>
      <c r="G71" s="154">
        <f t="shared" ref="G71:I71" si="10">SUM(G72:G73)</f>
        <v>4</v>
      </c>
      <c r="H71" s="154">
        <f t="shared" si="10"/>
        <v>8</v>
      </c>
      <c r="I71" s="154">
        <f t="shared" si="10"/>
        <v>8</v>
      </c>
      <c r="J71" s="153">
        <f t="shared" si="7"/>
        <v>829200</v>
      </c>
      <c r="K71" s="691"/>
      <c r="L71" s="692"/>
      <c r="M71" s="291">
        <f t="shared" si="3"/>
        <v>829200</v>
      </c>
      <c r="N71" s="155"/>
      <c r="O71" s="149"/>
    </row>
    <row r="72" spans="1:15" s="150" customFormat="1" ht="17.100000000000001" customHeight="1">
      <c r="A72" s="348"/>
      <c r="B72" s="699" t="s">
        <v>225</v>
      </c>
      <c r="C72" s="700"/>
      <c r="D72" s="349"/>
      <c r="E72" s="350"/>
      <c r="F72" s="323">
        <f>0.5*2</f>
        <v>1</v>
      </c>
      <c r="G72" s="323"/>
      <c r="H72" s="323">
        <f>1*2</f>
        <v>2</v>
      </c>
      <c r="I72" s="323"/>
      <c r="J72" s="342">
        <f t="shared" si="7"/>
        <v>126400</v>
      </c>
      <c r="K72" s="650" t="s">
        <v>226</v>
      </c>
      <c r="L72" s="634"/>
      <c r="M72" s="351"/>
      <c r="N72" s="155"/>
      <c r="O72" s="149"/>
    </row>
    <row r="73" spans="1:15" s="150" customFormat="1" ht="17.100000000000001" customHeight="1">
      <c r="A73" s="348"/>
      <c r="B73" s="699" t="s">
        <v>102</v>
      </c>
      <c r="C73" s="700"/>
      <c r="D73" s="349"/>
      <c r="E73" s="350"/>
      <c r="F73" s="323">
        <v>1</v>
      </c>
      <c r="G73" s="323">
        <f>2+2</f>
        <v>4</v>
      </c>
      <c r="H73" s="323">
        <f>4+2</f>
        <v>6</v>
      </c>
      <c r="I73" s="323">
        <f>4+4</f>
        <v>8</v>
      </c>
      <c r="J73" s="342">
        <f t="shared" si="7"/>
        <v>702800</v>
      </c>
      <c r="K73" s="710"/>
      <c r="L73" s="711"/>
      <c r="M73" s="351"/>
      <c r="N73" s="155"/>
      <c r="O73" s="149"/>
    </row>
    <row r="74" spans="1:15" s="150" customFormat="1" ht="22.5" customHeight="1">
      <c r="A74" s="151" t="s">
        <v>103</v>
      </c>
      <c r="B74" s="646" t="s">
        <v>104</v>
      </c>
      <c r="C74" s="647"/>
      <c r="D74" s="152"/>
      <c r="E74" s="154">
        <v>0.5</v>
      </c>
      <c r="F74" s="154">
        <v>1</v>
      </c>
      <c r="G74" s="154">
        <v>2</v>
      </c>
      <c r="H74" s="154">
        <v>4</v>
      </c>
      <c r="I74" s="154">
        <v>4</v>
      </c>
      <c r="J74" s="153">
        <f t="shared" si="7"/>
        <v>445700</v>
      </c>
      <c r="K74" s="691"/>
      <c r="L74" s="692"/>
      <c r="M74" s="291">
        <f t="shared" si="3"/>
        <v>445700</v>
      </c>
      <c r="N74" s="155"/>
      <c r="O74" s="149"/>
    </row>
    <row r="75" spans="1:15" s="150" customFormat="1" ht="22.5" customHeight="1">
      <c r="A75" s="151" t="s">
        <v>105</v>
      </c>
      <c r="B75" s="646" t="s">
        <v>106</v>
      </c>
      <c r="C75" s="647"/>
      <c r="D75" s="152"/>
      <c r="E75" s="154">
        <f>SUM(E76:E78)</f>
        <v>1</v>
      </c>
      <c r="F75" s="154">
        <f t="shared" ref="F75:H75" si="11">SUM(F76:F78)</f>
        <v>6</v>
      </c>
      <c r="G75" s="154">
        <f t="shared" si="11"/>
        <v>6</v>
      </c>
      <c r="H75" s="154">
        <f t="shared" si="11"/>
        <v>5</v>
      </c>
      <c r="I75" s="154"/>
      <c r="J75" s="153">
        <f t="shared" si="7"/>
        <v>843200</v>
      </c>
      <c r="K75" s="691"/>
      <c r="L75" s="692"/>
      <c r="M75" s="291">
        <f t="shared" si="3"/>
        <v>843200</v>
      </c>
      <c r="N75" s="155"/>
      <c r="O75" s="149"/>
    </row>
    <row r="76" spans="1:15" s="15" customFormat="1" ht="22.5" customHeight="1">
      <c r="A76" s="70"/>
      <c r="B76" s="639" t="s">
        <v>109</v>
      </c>
      <c r="C76" s="640"/>
      <c r="D76" s="73"/>
      <c r="E76" s="345">
        <v>0.5</v>
      </c>
      <c r="F76" s="345">
        <v>0.5</v>
      </c>
      <c r="G76" s="345">
        <v>0.5</v>
      </c>
      <c r="H76" s="345"/>
      <c r="I76" s="345"/>
      <c r="J76" s="290">
        <f t="shared" si="7"/>
        <v>81350</v>
      </c>
      <c r="K76" s="635"/>
      <c r="L76" s="636"/>
      <c r="M76" s="291">
        <f t="shared" si="3"/>
        <v>81350</v>
      </c>
      <c r="N76" s="116"/>
      <c r="O76" s="69"/>
    </row>
    <row r="77" spans="1:15" s="15" customFormat="1" ht="22.5" customHeight="1">
      <c r="A77" s="70"/>
      <c r="B77" s="639" t="s">
        <v>110</v>
      </c>
      <c r="C77" s="640"/>
      <c r="D77" s="74"/>
      <c r="E77" s="345"/>
      <c r="F77" s="345">
        <v>5</v>
      </c>
      <c r="G77" s="345">
        <v>5</v>
      </c>
      <c r="H77" s="345">
        <v>5</v>
      </c>
      <c r="I77" s="345"/>
      <c r="J77" s="290">
        <f t="shared" si="7"/>
        <v>680500</v>
      </c>
      <c r="K77" s="627" t="s">
        <v>178</v>
      </c>
      <c r="L77" s="628"/>
      <c r="M77" s="291">
        <f t="shared" si="3"/>
        <v>680500</v>
      </c>
      <c r="N77" s="68"/>
      <c r="O77" s="69"/>
    </row>
    <row r="78" spans="1:15" s="15" customFormat="1" ht="22.5" customHeight="1">
      <c r="A78" s="70"/>
      <c r="B78" s="639" t="s">
        <v>111</v>
      </c>
      <c r="C78" s="640"/>
      <c r="D78" s="74"/>
      <c r="E78" s="345">
        <v>0.5</v>
      </c>
      <c r="F78" s="345">
        <v>0.5</v>
      </c>
      <c r="G78" s="345">
        <v>0.5</v>
      </c>
      <c r="H78" s="345"/>
      <c r="I78" s="345"/>
      <c r="J78" s="290">
        <f t="shared" si="7"/>
        <v>81350</v>
      </c>
      <c r="K78" s="635"/>
      <c r="L78" s="636"/>
      <c r="M78" s="291">
        <f t="shared" si="3"/>
        <v>81350</v>
      </c>
      <c r="N78" s="68"/>
      <c r="O78" s="69"/>
    </row>
    <row r="79" spans="1:15" s="150" customFormat="1" ht="22.5" customHeight="1" thickBot="1">
      <c r="A79" s="156" t="s">
        <v>107</v>
      </c>
      <c r="B79" s="665" t="s">
        <v>108</v>
      </c>
      <c r="C79" s="666"/>
      <c r="D79" s="157"/>
      <c r="E79" s="158"/>
      <c r="F79" s="158">
        <v>0.5</v>
      </c>
      <c r="G79" s="158"/>
      <c r="H79" s="158">
        <v>1</v>
      </c>
      <c r="I79" s="158"/>
      <c r="J79" s="153">
        <f t="shared" si="7"/>
        <v>63200</v>
      </c>
      <c r="K79" s="691"/>
      <c r="L79" s="692"/>
      <c r="M79" s="291">
        <f t="shared" si="3"/>
        <v>63200</v>
      </c>
      <c r="N79" s="148"/>
      <c r="O79" s="149"/>
    </row>
    <row r="80" spans="1:15" ht="22.5" customHeight="1">
      <c r="A80" s="77"/>
      <c r="B80" s="78" t="s">
        <v>40</v>
      </c>
      <c r="C80" s="79" t="s">
        <v>42</v>
      </c>
      <c r="D80" s="80">
        <f>D35+D42+D66+D71+D74+D75+D79</f>
        <v>0</v>
      </c>
      <c r="E80" s="80">
        <f>E35+E42+E66+E71+E74+E75+E79</f>
        <v>5.5</v>
      </c>
      <c r="F80" s="80">
        <f t="shared" ref="F80:I80" si="12">F35+F42+F66+F71+F74+F75+F79</f>
        <v>20</v>
      </c>
      <c r="G80" s="80">
        <f t="shared" si="12"/>
        <v>58.5</v>
      </c>
      <c r="H80" s="80">
        <f t="shared" si="12"/>
        <v>315.18999999999994</v>
      </c>
      <c r="I80" s="80">
        <f t="shared" si="12"/>
        <v>16</v>
      </c>
      <c r="J80" s="81">
        <f>SUM(D80:I80)</f>
        <v>415.18999999999994</v>
      </c>
      <c r="K80" s="651" t="s">
        <v>43</v>
      </c>
      <c r="L80" s="652"/>
      <c r="M80" s="82"/>
      <c r="N80" s="83"/>
      <c r="O80" s="84"/>
    </row>
    <row r="81" spans="1:15" ht="22.5" customHeight="1" thickBot="1">
      <c r="A81" s="85"/>
      <c r="B81" s="86"/>
      <c r="C81" s="87" t="s">
        <v>44</v>
      </c>
      <c r="D81" s="118">
        <f>D80*D34</f>
        <v>0</v>
      </c>
      <c r="E81" s="118">
        <f t="shared" ref="E81:I81" si="13">E80*E34</f>
        <v>342100</v>
      </c>
      <c r="F81" s="118">
        <f t="shared" si="13"/>
        <v>1104000</v>
      </c>
      <c r="G81" s="118">
        <f t="shared" si="13"/>
        <v>2650050</v>
      </c>
      <c r="H81" s="118">
        <f t="shared" si="13"/>
        <v>11220763.999999998</v>
      </c>
      <c r="I81" s="118">
        <f t="shared" si="13"/>
        <v>505600</v>
      </c>
      <c r="J81" s="341">
        <f>+D34*D80+E34*E80+F34*F80+G34*G80+H34*H80+I34*I80</f>
        <v>15822513.999999998</v>
      </c>
      <c r="K81" s="653" t="s">
        <v>45</v>
      </c>
      <c r="L81" s="654"/>
      <c r="M81" s="88"/>
      <c r="N81" s="5"/>
      <c r="O81" s="84"/>
    </row>
    <row r="82" spans="1:15" ht="18.95" customHeight="1">
      <c r="A82" s="89"/>
      <c r="B82" s="90"/>
      <c r="C82" s="90"/>
      <c r="D82" s="90"/>
      <c r="E82" s="91"/>
      <c r="F82" s="91"/>
      <c r="G82" s="91"/>
      <c r="H82" s="91"/>
      <c r="I82" s="91"/>
      <c r="J82" s="91"/>
      <c r="K82" s="91"/>
      <c r="L82" s="91"/>
      <c r="M82" s="88"/>
      <c r="N82" s="5"/>
      <c r="O82" s="92"/>
    </row>
    <row r="83" spans="1:15" ht="22.5" customHeight="1" thickBot="1">
      <c r="A83" s="93" t="s">
        <v>54</v>
      </c>
      <c r="B83" s="94"/>
      <c r="C83" s="94"/>
      <c r="D83" s="94"/>
      <c r="E83" s="95"/>
      <c r="F83" s="95"/>
      <c r="G83" s="95"/>
      <c r="H83" s="95"/>
      <c r="I83" s="95"/>
      <c r="J83" s="95"/>
      <c r="K83" s="95"/>
      <c r="L83" s="95"/>
      <c r="M83" s="5"/>
      <c r="N83" s="5"/>
    </row>
    <row r="84" spans="1:15" ht="22.5" customHeight="1" thickBot="1">
      <c r="A84" s="655" t="s">
        <v>46</v>
      </c>
      <c r="B84" s="656"/>
      <c r="C84" s="657"/>
      <c r="D84" s="17" t="s">
        <v>47</v>
      </c>
      <c r="E84" s="96" t="s">
        <v>48</v>
      </c>
      <c r="F84" s="17" t="s">
        <v>49</v>
      </c>
      <c r="G84" s="658" t="s">
        <v>13</v>
      </c>
      <c r="H84" s="657"/>
      <c r="I84" s="658" t="s">
        <v>14</v>
      </c>
      <c r="J84" s="656"/>
      <c r="K84" s="656"/>
      <c r="L84" s="659"/>
    </row>
    <row r="85" spans="1:15" ht="22.5" customHeight="1" thickTop="1">
      <c r="A85" s="67" t="s">
        <v>65</v>
      </c>
      <c r="B85" s="97" t="s">
        <v>112</v>
      </c>
      <c r="C85" s="98"/>
      <c r="D85" s="99" t="s">
        <v>183</v>
      </c>
      <c r="E85" s="100">
        <v>1</v>
      </c>
      <c r="F85" s="119"/>
      <c r="G85" s="660">
        <f>+E85*F85</f>
        <v>0</v>
      </c>
      <c r="H85" s="661"/>
      <c r="I85" s="662"/>
      <c r="J85" s="663"/>
      <c r="K85" s="663"/>
      <c r="L85" s="664"/>
    </row>
    <row r="86" spans="1:15" ht="22.5" customHeight="1">
      <c r="A86" s="139"/>
      <c r="B86" s="140" t="s">
        <v>180</v>
      </c>
      <c r="C86" s="141"/>
      <c r="D86" s="142" t="s">
        <v>179</v>
      </c>
      <c r="E86" s="143">
        <v>3</v>
      </c>
      <c r="F86" s="143"/>
      <c r="G86" s="679">
        <f>+E86*F86</f>
        <v>0</v>
      </c>
      <c r="H86" s="680"/>
      <c r="I86" s="669" t="s">
        <v>219</v>
      </c>
      <c r="J86" s="670"/>
      <c r="K86" s="670"/>
      <c r="L86" s="671"/>
    </row>
    <row r="87" spans="1:15" ht="22.5" customHeight="1">
      <c r="A87" s="139"/>
      <c r="B87" s="140" t="s">
        <v>113</v>
      </c>
      <c r="C87" s="141"/>
      <c r="D87" s="321" t="s">
        <v>179</v>
      </c>
      <c r="E87" s="322">
        <v>36</v>
      </c>
      <c r="F87" s="143"/>
      <c r="G87" s="679">
        <f>+E87*F87</f>
        <v>0</v>
      </c>
      <c r="H87" s="680"/>
      <c r="I87" s="669" t="s">
        <v>218</v>
      </c>
      <c r="J87" s="670"/>
      <c r="K87" s="670"/>
      <c r="L87" s="671"/>
    </row>
    <row r="88" spans="1:15" ht="22.5" customHeight="1">
      <c r="A88" s="70" t="s">
        <v>68</v>
      </c>
      <c r="B88" s="101" t="s">
        <v>114</v>
      </c>
      <c r="C88" s="102"/>
      <c r="D88" s="142" t="s">
        <v>183</v>
      </c>
      <c r="E88" s="320">
        <v>1</v>
      </c>
      <c r="F88" s="103"/>
      <c r="G88" s="679">
        <f>SUM(G89:H90)</f>
        <v>30000</v>
      </c>
      <c r="H88" s="680"/>
      <c r="I88" s="669"/>
      <c r="J88" s="670"/>
      <c r="K88" s="670"/>
      <c r="L88" s="671"/>
    </row>
    <row r="89" spans="1:15" ht="22.5" customHeight="1">
      <c r="A89" s="160"/>
      <c r="B89" s="161" t="s">
        <v>115</v>
      </c>
      <c r="C89" s="162"/>
      <c r="D89" s="163" t="s">
        <v>183</v>
      </c>
      <c r="E89" s="164">
        <v>1</v>
      </c>
      <c r="F89" s="165"/>
      <c r="G89" s="667">
        <v>25000</v>
      </c>
      <c r="H89" s="668"/>
      <c r="I89" s="669" t="s">
        <v>117</v>
      </c>
      <c r="J89" s="670"/>
      <c r="K89" s="670"/>
      <c r="L89" s="671"/>
    </row>
    <row r="90" spans="1:15" ht="22.5" customHeight="1" thickBot="1">
      <c r="A90" s="75"/>
      <c r="B90" s="334" t="s">
        <v>116</v>
      </c>
      <c r="C90" s="335"/>
      <c r="D90" s="104" t="s">
        <v>183</v>
      </c>
      <c r="E90" s="76">
        <v>1</v>
      </c>
      <c r="F90" s="105"/>
      <c r="G90" s="672">
        <v>5000</v>
      </c>
      <c r="H90" s="673"/>
      <c r="I90" s="674" t="s">
        <v>181</v>
      </c>
      <c r="J90" s="675"/>
      <c r="K90" s="675"/>
      <c r="L90" s="676"/>
    </row>
    <row r="91" spans="1:15" ht="22.5" customHeight="1" thickBot="1">
      <c r="A91" s="106"/>
      <c r="B91" s="95" t="s">
        <v>40</v>
      </c>
      <c r="C91" s="107"/>
      <c r="D91" s="108"/>
      <c r="E91" s="109"/>
      <c r="F91" s="110"/>
      <c r="G91" s="677">
        <f>G85+G88</f>
        <v>30000</v>
      </c>
      <c r="H91" s="678"/>
      <c r="I91" s="111"/>
      <c r="J91" s="111"/>
      <c r="K91" s="111"/>
      <c r="L91" s="112"/>
      <c r="O91" s="84"/>
    </row>
    <row r="92" spans="1:15" ht="22.5" customHeight="1"/>
  </sheetData>
  <mergeCells count="154">
    <mergeCell ref="B58:C58"/>
    <mergeCell ref="A1:L1"/>
    <mergeCell ref="A3:C4"/>
    <mergeCell ref="A10:B10"/>
    <mergeCell ref="I14:L14"/>
    <mergeCell ref="I15:L15"/>
    <mergeCell ref="I16:L16"/>
    <mergeCell ref="I18:L18"/>
    <mergeCell ref="J4:K4"/>
    <mergeCell ref="J3:K3"/>
    <mergeCell ref="J5:K5"/>
    <mergeCell ref="E6:F6"/>
    <mergeCell ref="C8:G8"/>
    <mergeCell ref="J7:K8"/>
    <mergeCell ref="J6:K6"/>
    <mergeCell ref="I13:L13"/>
    <mergeCell ref="A20:D20"/>
    <mergeCell ref="E20:F20"/>
    <mergeCell ref="G20:L20"/>
    <mergeCell ref="K55:L55"/>
    <mergeCell ref="K56:L56"/>
    <mergeCell ref="K57:L57"/>
    <mergeCell ref="K58:L58"/>
    <mergeCell ref="K53:L53"/>
    <mergeCell ref="M20:N20"/>
    <mergeCell ref="E21:F21"/>
    <mergeCell ref="M21:N21"/>
    <mergeCell ref="E22:F22"/>
    <mergeCell ref="K48:L48"/>
    <mergeCell ref="K65:L65"/>
    <mergeCell ref="A33:C34"/>
    <mergeCell ref="B35:C35"/>
    <mergeCell ref="B50:C50"/>
    <mergeCell ref="E25:F25"/>
    <mergeCell ref="M25:N25"/>
    <mergeCell ref="E26:F26"/>
    <mergeCell ref="M26:N26"/>
    <mergeCell ref="E27:F27"/>
    <mergeCell ref="M27:N27"/>
    <mergeCell ref="E28:F28"/>
    <mergeCell ref="M22:N22"/>
    <mergeCell ref="E23:F23"/>
    <mergeCell ref="M23:N23"/>
    <mergeCell ref="E24:F24"/>
    <mergeCell ref="M24:N24"/>
    <mergeCell ref="B43:C43"/>
    <mergeCell ref="B51:C51"/>
    <mergeCell ref="B57:C57"/>
    <mergeCell ref="B55:C55"/>
    <mergeCell ref="B56:C56"/>
    <mergeCell ref="B53:C53"/>
    <mergeCell ref="K49:L49"/>
    <mergeCell ref="K50:L50"/>
    <mergeCell ref="K51:L51"/>
    <mergeCell ref="K52:L52"/>
    <mergeCell ref="K43:L43"/>
    <mergeCell ref="K44:L44"/>
    <mergeCell ref="K45:L45"/>
    <mergeCell ref="B54:C54"/>
    <mergeCell ref="B44:C44"/>
    <mergeCell ref="B45:C45"/>
    <mergeCell ref="B46:C46"/>
    <mergeCell ref="B47:C47"/>
    <mergeCell ref="B41:C41"/>
    <mergeCell ref="B36:C36"/>
    <mergeCell ref="B39:C39"/>
    <mergeCell ref="B40:C40"/>
    <mergeCell ref="K40:L40"/>
    <mergeCell ref="K41:L41"/>
    <mergeCell ref="K42:L42"/>
    <mergeCell ref="B38:C38"/>
    <mergeCell ref="M28:N28"/>
    <mergeCell ref="E29:F29"/>
    <mergeCell ref="M29:N29"/>
    <mergeCell ref="E30:F30"/>
    <mergeCell ref="M30:N30"/>
    <mergeCell ref="K33:L34"/>
    <mergeCell ref="K37:L37"/>
    <mergeCell ref="K38:L38"/>
    <mergeCell ref="B37:C37"/>
    <mergeCell ref="B42:C42"/>
    <mergeCell ref="O36:P36"/>
    <mergeCell ref="K35:L35"/>
    <mergeCell ref="K36:L36"/>
    <mergeCell ref="K39:L39"/>
    <mergeCell ref="O43:Q43"/>
    <mergeCell ref="K76:L76"/>
    <mergeCell ref="K63:L63"/>
    <mergeCell ref="O47:R47"/>
    <mergeCell ref="K46:L46"/>
    <mergeCell ref="K47:L47"/>
    <mergeCell ref="K59:L59"/>
    <mergeCell ref="K60:L60"/>
    <mergeCell ref="K61:L61"/>
    <mergeCell ref="K62:L62"/>
    <mergeCell ref="K72:L72"/>
    <mergeCell ref="K73:L73"/>
    <mergeCell ref="K64:L64"/>
    <mergeCell ref="K54:L54"/>
    <mergeCell ref="G91:H91"/>
    <mergeCell ref="A9:B9"/>
    <mergeCell ref="B13:G16"/>
    <mergeCell ref="B49:C49"/>
    <mergeCell ref="B52:C52"/>
    <mergeCell ref="A84:C84"/>
    <mergeCell ref="G84:H84"/>
    <mergeCell ref="I84:L84"/>
    <mergeCell ref="G85:H85"/>
    <mergeCell ref="I85:L85"/>
    <mergeCell ref="G88:H88"/>
    <mergeCell ref="B79:C79"/>
    <mergeCell ref="B48:C48"/>
    <mergeCell ref="B65:C65"/>
    <mergeCell ref="B76:C76"/>
    <mergeCell ref="B77:C77"/>
    <mergeCell ref="B78:C78"/>
    <mergeCell ref="G90:H90"/>
    <mergeCell ref="I89:L89"/>
    <mergeCell ref="K77:L77"/>
    <mergeCell ref="K78:L78"/>
    <mergeCell ref="G89:H89"/>
    <mergeCell ref="K80:L80"/>
    <mergeCell ref="K81:L81"/>
    <mergeCell ref="I90:L90"/>
    <mergeCell ref="K79:L79"/>
    <mergeCell ref="G86:H86"/>
    <mergeCell ref="G87:H87"/>
    <mergeCell ref="I86:L86"/>
    <mergeCell ref="I87:L87"/>
    <mergeCell ref="I88:L88"/>
    <mergeCell ref="K74:L74"/>
    <mergeCell ref="B72:C72"/>
    <mergeCell ref="B73:C73"/>
    <mergeCell ref="B75:C75"/>
    <mergeCell ref="B74:C74"/>
    <mergeCell ref="B67:C67"/>
    <mergeCell ref="B68:C68"/>
    <mergeCell ref="B69:C69"/>
    <mergeCell ref="B66:C66"/>
    <mergeCell ref="K66:L66"/>
    <mergeCell ref="K67:L67"/>
    <mergeCell ref="K75:L75"/>
    <mergeCell ref="B70:C70"/>
    <mergeCell ref="B59:C59"/>
    <mergeCell ref="K68:L68"/>
    <mergeCell ref="K69:L69"/>
    <mergeCell ref="K70:L70"/>
    <mergeCell ref="K71:L71"/>
    <mergeCell ref="B60:C60"/>
    <mergeCell ref="B61:C61"/>
    <mergeCell ref="B62:C62"/>
    <mergeCell ref="B63:C63"/>
    <mergeCell ref="B64:C64"/>
    <mergeCell ref="B71:C71"/>
  </mergeCells>
  <phoneticPr fontId="2"/>
  <printOptions horizontalCentered="1"/>
  <pageMargins left="0.39370078740157483" right="0.39370078740157483" top="0.39370078740157483" bottom="0.39370078740157483" header="0.39370078740157483" footer="0.39370078740157483"/>
  <pageSetup paperSize="9" scale="40" orientation="portrait" r:id="rId1"/>
  <headerFooter alignWithMargins="0">
    <oddFooter>&amp;R&amp;"ＭＳ ゴシック,標準"&amp;10株式会社プレック研究所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14</vt:i4>
      </vt:variant>
    </vt:vector>
  </HeadingPairs>
  <TitlesOfParts>
    <vt:vector size="33" baseType="lpstr">
      <vt:lpstr>参考見積書（鑑）_0202</vt:lpstr>
      <vt:lpstr>参考見積書（建築）_0202</vt:lpstr>
      <vt:lpstr>参考見積書（造園）_0202</vt:lpstr>
      <vt:lpstr>鏡_0205</vt:lpstr>
      <vt:lpstr>※修正不要  横浜市様式 (造園)_0205</vt:lpstr>
      <vt:lpstr>※修正不要  横浜市様式 (建築)_0205</vt:lpstr>
      <vt:lpstr>鏡</vt:lpstr>
      <vt:lpstr>※修正不要  横浜市様式 (建築)</vt:lpstr>
      <vt:lpstr>※修正不要  横浜市様式 (造園)</vt:lpstr>
      <vt:lpstr>参考見積書（鑑）_0205</vt:lpstr>
      <vt:lpstr>参考見積書（建築）_0205</vt:lpstr>
      <vt:lpstr>参考見積書（造園）_0205</vt:lpstr>
      <vt:lpstr>参考見積書（鑑）</vt:lpstr>
      <vt:lpstr>参考見積書（建築）</vt:lpstr>
      <vt:lpstr>参考見積書（造園）変更箇所反映</vt:lpstr>
      <vt:lpstr>CLA→</vt:lpstr>
      <vt:lpstr>造園基本計画</vt:lpstr>
      <vt:lpstr>造園基本計画_別表</vt:lpstr>
      <vt:lpstr>参考御見積書➀</vt:lpstr>
      <vt:lpstr>鏡!Print_Area</vt:lpstr>
      <vt:lpstr>鏡_0205!Print_Area</vt:lpstr>
      <vt:lpstr>'参考見積書（鑑）'!Print_Area</vt:lpstr>
      <vt:lpstr>'参考見積書（鑑）_0202'!Print_Area</vt:lpstr>
      <vt:lpstr>'参考見積書（鑑）_0205'!Print_Area</vt:lpstr>
      <vt:lpstr>'参考見積書（建築）'!Print_Area</vt:lpstr>
      <vt:lpstr>'参考見積書（建築）_0202'!Print_Area</vt:lpstr>
      <vt:lpstr>'参考見積書（建築）_0205'!Print_Area</vt:lpstr>
      <vt:lpstr>'参考見積書（造園）_0202'!Print_Area</vt:lpstr>
      <vt:lpstr>'参考見積書（造園）_0205'!Print_Area</vt:lpstr>
      <vt:lpstr>'参考見積書（造園）変更箇所反映'!Print_Area</vt:lpstr>
      <vt:lpstr>参考御見積書➀!Print_Area</vt:lpstr>
      <vt:lpstr>造園基本計画!Print_Area</vt:lpstr>
      <vt:lpstr>造園基本計画_別表!Print_Area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山田芽衣</dc:creator>
  <cp:lastModifiedBy>本田志保</cp:lastModifiedBy>
  <cp:lastPrinted>2024-02-05T04:18:59Z</cp:lastPrinted>
  <dcterms:created xsi:type="dcterms:W3CDTF">2024-01-18T00:29:17Z</dcterms:created>
  <dcterms:modified xsi:type="dcterms:W3CDTF">2024-04-08T09:15:27Z</dcterms:modified>
</cp:coreProperties>
</file>