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aetstgallen-my.sharepoint.com/personal/yannik_biebert_student_unisg_ch/Documents/Dokumente/OneDrive Dokumente/05 Privates/Programmieren/Streamlit/"/>
    </mc:Choice>
  </mc:AlternateContent>
  <xr:revisionPtr revIDLastSave="616" documentId="13_ncr:1_{950DF684-B6F3-4E18-BE7B-90326DE5115D}" xr6:coauthVersionLast="47" xr6:coauthVersionMax="47" xr10:uidLastSave="{6E6C324D-056B-4A09-921D-5F031EC41FEB}"/>
  <bookViews>
    <workbookView xWindow="2652" yWindow="2652" windowWidth="17280" windowHeight="8880" activeTab="1" xr2:uid="{7ACA361D-0AD4-EB4D-8C4F-48EEE2ECCC07}"/>
  </bookViews>
  <sheets>
    <sheet name="Cover" sheetId="20" r:id="rId1"/>
    <sheet name="Inputfaktoren" sheetId="14" r:id="rId2"/>
    <sheet name="Kosten ohne TD" sheetId="9" r:id="rId3"/>
    <sheet name="Kosten mit TD" sheetId="15" r:id="rId4"/>
    <sheet name="Einsparungen" sheetId="16" r:id="rId5"/>
    <sheet name="Dashboard" sheetId="19" r:id="rId6"/>
  </sheets>
  <externalReferences>
    <externalReference r:id="rId7"/>
  </externalReferences>
  <definedNames>
    <definedName name="Abzahlungsbetrag_Leasingdarlehen" localSheetId="0">'[1]Kosten mit TD'!$C$47</definedName>
    <definedName name="Abzahlungsbetrag_Leasingdarlehen" localSheetId="5">'[1]Kosten mit TD'!$C$47</definedName>
    <definedName name="Abzahlungsbetrag_Leasingdarlehen">'Kosten mit TD'!$C$47</definedName>
    <definedName name="Anzahl_Zerspanungsapparate" localSheetId="0">[1]Inputfaktoren!$C$6</definedName>
    <definedName name="Anzahl_Zerspanungsapparate" localSheetId="5">[1]Inputfaktoren!$C$6</definedName>
    <definedName name="Anzahl_Zerspanungsapparate">Inputfaktoren!$C$6</definedName>
    <definedName name="Anzahl_Zerspanungswerkzeuge" localSheetId="0">[1]Inputfaktoren!$C$7</definedName>
    <definedName name="Anzahl_Zerspanungswerkzeuge" localSheetId="5">[1]Inputfaktoren!$C$7</definedName>
    <definedName name="Anzahl_Zerspanungswerkzeuge">Inputfaktoren!$C$7</definedName>
    <definedName name="Ausschusskosten">[1]Inputfaktoren!$C$12</definedName>
    <definedName name="Grundpreis_Abo">[1]Inputfaktoren!$C$32</definedName>
    <definedName name="Grundpreis_Abomodell">Inputfaktoren!$G$7</definedName>
    <definedName name="Hardwarekosten_pro_Kamera">[1]Inputfaktoren!$C$31</definedName>
    <definedName name="Hardwarekosten_total" localSheetId="0">[1]Inputfaktoren!$D$31</definedName>
    <definedName name="Hardwarekosten_total" localSheetId="5">[1]Inputfaktoren!$D$31</definedName>
    <definedName name="Hardwarekosten_total">Inputfaktoren!$H$6</definedName>
    <definedName name="Implementierungskosten_Software">[1]Inputfaktoren!$C$35</definedName>
    <definedName name="Implementierungskosten_Software_total">Inputfaktoren!$G$10</definedName>
    <definedName name="KostenTD_1Jahr_Abo_mit_Kameraeinkauf" localSheetId="0">'[1]Kosten mit TD'!$C$26</definedName>
    <definedName name="KostenTD_1Jahr_Abo_mit_Kameraeinkauf" localSheetId="5">'[1]Kosten mit TD'!$C$26</definedName>
    <definedName name="KostenTD_1Jahr_Abo_mit_Kameraeinkauf">'Kosten mit TD'!$C$26</definedName>
    <definedName name="KostenTD_1Jahr_Abo_mit_Kameraleasing" localSheetId="0">'[1]Kosten mit TD'!$C$56</definedName>
    <definedName name="KostenTD_1Jahr_Abo_mit_Kameraleasing" localSheetId="5">'[1]Kosten mit TD'!$C$56</definedName>
    <definedName name="KostenTD_1Jahr_Abo_mit_Kameraleasing">'Kosten mit TD'!$C$56</definedName>
    <definedName name="KostenTD_1Jahr_Abo_ohne_Kameraeinkauf">'Kosten mit TD'!$C$141</definedName>
    <definedName name="KostenTD_1Jahr_Einmalzahlung_mit_Kameraeinkauf" localSheetId="0">'[1]Kosten mit TD'!$C$84</definedName>
    <definedName name="KostenTD_1Jahr_Einmalzahlung_mit_Kameraeinkauf" localSheetId="5">'[1]Kosten mit TD'!$C$84</definedName>
    <definedName name="KostenTD_1Jahr_Einmalzahlung_mit_Kameraeinkauf">'Kosten mit TD'!$C$84</definedName>
    <definedName name="KostenTD_1Jahr_Einmalzahlung_mit_Kameraleasing" localSheetId="0">'[1]Kosten mit TD'!$C$114</definedName>
    <definedName name="KostenTD_1Jahr_Einmalzahlung_mit_Kameraleasing" localSheetId="5">'[1]Kosten mit TD'!$C$114</definedName>
    <definedName name="KostenTD_1Jahr_Einmalzahlung_mit_Kameraleasing">'Kosten mit TD'!$C$114</definedName>
    <definedName name="KostenTD_24m_Abo_mit_Kameraeinkauf" localSheetId="0">'[1]Kosten mit TD'!$C$28</definedName>
    <definedName name="KostenTD_24m_Abo_mit_Kameraeinkauf" localSheetId="5">'[1]Kosten mit TD'!$C$28</definedName>
    <definedName name="KostenTD_24m_Abo_mit_Kameraeinkauf">'Kosten mit TD'!$C$28</definedName>
    <definedName name="KostenTD_24m_Abo_mit_Kameraleasing" localSheetId="0">'[1]Kosten mit TD'!$C$58</definedName>
    <definedName name="KostenTD_24m_Abo_mit_Kameraleasing" localSheetId="5">'[1]Kosten mit TD'!$C$58</definedName>
    <definedName name="KostenTD_24m_Abo_mit_Kameraleasing">'Kosten mit TD'!$C$58</definedName>
    <definedName name="KostenTD_24m_Abo_ohne_Kameraeinkauf">'Kosten mit TD'!$C$143</definedName>
    <definedName name="KostenTD_24m_Einmalzahlung_mit_Kameraeinkauf" localSheetId="0">'[1]Kosten mit TD'!$C$86</definedName>
    <definedName name="KostenTD_24m_Einmalzahlung_mit_Kameraeinkauf" localSheetId="5">'[1]Kosten mit TD'!$C$86</definedName>
    <definedName name="KostenTD_24m_Einmalzahlung_mit_Kameraeinkauf">'Kosten mit TD'!$C$86</definedName>
    <definedName name="KostenTD_24m_Einmalzahlung_mit_Kameraleasing" localSheetId="0">'[1]Kosten mit TD'!$C$116</definedName>
    <definedName name="KostenTD_24m_Einmalzahlung_mit_Kameraleasing" localSheetId="5">'[1]Kosten mit TD'!$C$116</definedName>
    <definedName name="KostenTD_24m_Einmalzahlung_mit_Kameraleasing">'Kosten mit TD'!$C$116</definedName>
    <definedName name="KostenTD_2Jahr_Abo_mit_Kameraeinkauf" localSheetId="0">'[1]Kosten mit TD'!$C$27</definedName>
    <definedName name="KostenTD_2Jahr_Abo_mit_Kameraeinkauf" localSheetId="5">'[1]Kosten mit TD'!$C$27</definedName>
    <definedName name="KostenTD_2Jahr_Abo_mit_Kameraeinkauf">'Kosten mit TD'!$C$27</definedName>
    <definedName name="KostenTD_2Jahr_Abo_mit_Kameraleasing" localSheetId="0">'[1]Kosten mit TD'!$C$57</definedName>
    <definedName name="KostenTD_2Jahr_Abo_mit_Kameraleasing" localSheetId="5">'[1]Kosten mit TD'!$C$57</definedName>
    <definedName name="KostenTD_2Jahr_Abo_mit_Kameraleasing">'Kosten mit TD'!$C$57</definedName>
    <definedName name="KostenTD_2Jahr_Abo_ohne_Kameraeinkauf">'Kosten mit TD'!$C$142</definedName>
    <definedName name="KostenTD_2Jahr_Einmalzahlung_mit_Kameraeinkauf" localSheetId="0">'[1]Kosten mit TD'!$C$85</definedName>
    <definedName name="KostenTD_2Jahr_Einmalzahlung_mit_Kameraeinkauf" localSheetId="5">'[1]Kosten mit TD'!$C$85</definedName>
    <definedName name="KostenTD_2Jahr_Einmalzahlung_mit_Kameraeinkauf">'Kosten mit TD'!$C$85</definedName>
    <definedName name="KostenTD_2Jahr_Einmalzahlung_mit_Kameraleasing" localSheetId="0">'[1]Kosten mit TD'!$C$115</definedName>
    <definedName name="KostenTD_2Jahr_Einmalzahlung_mit_Kameraleasing" localSheetId="5">'[1]Kosten mit TD'!$C$115</definedName>
    <definedName name="KostenTD_2Jahr_Einmalzahlung_mit_Kameraleasing">'Kosten mit TD'!$C$115</definedName>
    <definedName name="Leasinglaufzeit_in_Monaten" localSheetId="0">[1]Inputfaktoren!$C$40</definedName>
    <definedName name="Leasinglaufzeit_in_Monaten" localSheetId="5">[1]Inputfaktoren!$C$40</definedName>
    <definedName name="Leasinglaufzeit_in_Monaten">Inputfaktoren!$G$15</definedName>
    <definedName name="Leasingzins" localSheetId="0">[1]Inputfaktoren!$C$45</definedName>
    <definedName name="Leasingzins" localSheetId="5">[1]Inputfaktoren!$C$45</definedName>
    <definedName name="Leasingzins">Inputfaktoren!$G$20</definedName>
    <definedName name="Lizenzgebühr_an_Frauenhofer" localSheetId="0">[1]Inputfaktoren!$C$46</definedName>
    <definedName name="Lizenzgebühr_an_Frauenhofer" localSheetId="5">[1]Inputfaktoren!$C$46</definedName>
    <definedName name="Lizenzgebühr_an_Frauenhofer">Inputfaktoren!$G$21</definedName>
    <definedName name="Materialaufwand_Ausschussteile_pro_Monat">Inputfaktoren!$C$11</definedName>
    <definedName name="Materialaufwand_für_Zerspanungswerkzeuge_pro_Monat">Inputfaktoren!$D$12</definedName>
    <definedName name="Materialaufwand_pro_Zerspanungswerkzeug_pro_Monat">[1]Inputfaktoren!$D$13</definedName>
    <definedName name="Monate_für_Bestimmung_Einmalzahlung" localSheetId="0">[1]Inputfaktoren!$C$39</definedName>
    <definedName name="Monate_für_Bestimmung_Einmalzahlung" localSheetId="5">[1]Inputfaktoren!$C$39</definedName>
    <definedName name="Monate_für_Bestimmung_Einmalzahlung">Inputfaktoren!$G$14</definedName>
    <definedName name="Preisaufschlag_Abo">[1]Inputfaktoren!$C$33</definedName>
    <definedName name="Preisaufschlag_pro_Zerspanungsapparat_Abomodell">Inputfaktoren!$G$8</definedName>
    <definedName name="Preissteigerung_Materialaufwand">[1]Inputfaktoren!$C$24</definedName>
    <definedName name="Preissteigerung_Materialaufwand_für_Zerspanungswerkzeuge">Inputfaktoren!$C$21</definedName>
    <definedName name="Stundenaufwand_pro_Monat_pro_Zerspanungsapparat_für_Nacharbeit" localSheetId="0">[1]Inputfaktoren!$C$18</definedName>
    <definedName name="Stundenaufwand_pro_Monat_pro_Zerspanungsapparat_für_Nacharbeit" localSheetId="5">[1]Inputfaktoren!$C$18</definedName>
    <definedName name="Stundenaufwand_pro_Monat_pro_Zerspanungsapparat_für_Nacharbeit">Inputfaktoren!$C$16</definedName>
    <definedName name="Stundenaufwand_pro_Monat_pro_Zerspanungswerkzeug_für_manuelle_Werkzeugkontrolle" localSheetId="0">[1]Inputfaktoren!$C$17</definedName>
    <definedName name="Stundenaufwand_pro_Monat_pro_Zerspanungswerkzeug_für_manuelle_Werkzeugkontrolle" localSheetId="5">[1]Inputfaktoren!$C$17</definedName>
    <definedName name="Stundenaufwand_pro_Monat_pro_Zerspanungswerkzeug_für_manuelle_Werkzeugkontrolle">Inputfaktoren!$C$15</definedName>
    <definedName name="Stundenaufwand_pro_Monat_pro_Zerspanungswerkzeug_für_Werkzeugqualitfizierung" localSheetId="0">[1]Inputfaktoren!$C$19</definedName>
    <definedName name="Stundenaufwand_pro_Monat_pro_Zerspanungswerkzeug_für_Werkzeugqualitfizierung" localSheetId="5">[1]Inputfaktoren!$C$19</definedName>
    <definedName name="Stundenaufwand_pro_Monat_pro_Zerspanungswerkzeug_für_Werkzeugqualitfizierung">Inputfaktoren!$C$17</definedName>
    <definedName name="Stundenlohn_pro_Mitarbeiter" localSheetId="0">[1]Inputfaktoren!$C$11</definedName>
    <definedName name="Stundenlohn_pro_Mitarbeiter" localSheetId="5">[1]Inputfaktoren!$C$11</definedName>
    <definedName name="Stundenlohn_pro_Mitarbeiter">Inputfaktoren!$C$10</definedName>
    <definedName name="Totale_Kosten_exkl._Lohnkosten">'[1]Kosten ohne TD'!$C$20</definedName>
    <definedName name="Totale_Kosten_ohne_Lohnkosten">'Kosten ohne TD'!$C$20</definedName>
    <definedName name="Umstellungskosten_Software">[1]Inputfaktoren!$C$34</definedName>
    <definedName name="Umstellungskosten_Software_pro_Zerspanungsapparat">Inputfaktoren!$G$9</definedName>
    <definedName name="Verschleiss_vor_Entsorgung_mit_TD" localSheetId="0">[1]Inputfaktoren!$C$44</definedName>
    <definedName name="Verschleiss_vor_Entsorgung_mit_TD" localSheetId="5">[1]Inputfaktoren!$C$44</definedName>
    <definedName name="Verschleiss_vor_Entsorgung_mit_TD">Inputfaktoren!$G$19</definedName>
    <definedName name="Verschleiss_vor_Entsorgung_ohne_TD" localSheetId="0">[1]Inputfaktoren!$C$23</definedName>
    <definedName name="Verschleiss_vor_Entsorgung_ohne_TD" localSheetId="5">[1]Inputfaktoren!$C$23</definedName>
    <definedName name="Verschleiss_vor_Entsorgung_ohne_TD">Inputfaktoren!$C$20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1" i="16" l="1"/>
  <c r="F211" i="16" s="1"/>
  <c r="G211" i="16" s="1"/>
  <c r="H211" i="16" s="1"/>
  <c r="I211" i="16" s="1"/>
  <c r="J211" i="16" s="1"/>
  <c r="K211" i="16" s="1"/>
  <c r="L211" i="16" s="1"/>
  <c r="M211" i="16" s="1"/>
  <c r="N211" i="16" s="1"/>
  <c r="O211" i="16" s="1"/>
  <c r="P211" i="16" s="1"/>
  <c r="Q211" i="16" s="1"/>
  <c r="R211" i="16" s="1"/>
  <c r="S211" i="16" s="1"/>
  <c r="T211" i="16" s="1"/>
  <c r="U211" i="16" s="1"/>
  <c r="V211" i="16" s="1"/>
  <c r="W211" i="16" s="1"/>
  <c r="X211" i="16" s="1"/>
  <c r="Y211" i="16" s="1"/>
  <c r="Z211" i="16" s="1"/>
  <c r="D211" i="16"/>
  <c r="E189" i="16"/>
  <c r="F189" i="16" s="1"/>
  <c r="G189" i="16" s="1"/>
  <c r="H189" i="16" s="1"/>
  <c r="I189" i="16" s="1"/>
  <c r="J189" i="16" s="1"/>
  <c r="K189" i="16" s="1"/>
  <c r="L189" i="16" s="1"/>
  <c r="M189" i="16" s="1"/>
  <c r="N189" i="16" s="1"/>
  <c r="O189" i="16" s="1"/>
  <c r="P189" i="16" s="1"/>
  <c r="Q189" i="16" s="1"/>
  <c r="R189" i="16" s="1"/>
  <c r="S189" i="16" s="1"/>
  <c r="T189" i="16" s="1"/>
  <c r="U189" i="16" s="1"/>
  <c r="V189" i="16" s="1"/>
  <c r="W189" i="16" s="1"/>
  <c r="X189" i="16" s="1"/>
  <c r="Y189" i="16" s="1"/>
  <c r="Z189" i="16" s="1"/>
  <c r="D189" i="16"/>
  <c r="E167" i="16"/>
  <c r="F167" i="16" s="1"/>
  <c r="G167" i="16" s="1"/>
  <c r="H167" i="16" s="1"/>
  <c r="I167" i="16" s="1"/>
  <c r="J167" i="16" s="1"/>
  <c r="K167" i="16" s="1"/>
  <c r="L167" i="16" s="1"/>
  <c r="M167" i="16" s="1"/>
  <c r="N167" i="16" s="1"/>
  <c r="O167" i="16" s="1"/>
  <c r="P167" i="16" s="1"/>
  <c r="Q167" i="16" s="1"/>
  <c r="R167" i="16" s="1"/>
  <c r="S167" i="16" s="1"/>
  <c r="T167" i="16" s="1"/>
  <c r="U167" i="16" s="1"/>
  <c r="V167" i="16" s="1"/>
  <c r="W167" i="16" s="1"/>
  <c r="X167" i="16" s="1"/>
  <c r="Y167" i="16" s="1"/>
  <c r="Z167" i="16" s="1"/>
  <c r="D167" i="16"/>
  <c r="E145" i="16"/>
  <c r="F145" i="16" s="1"/>
  <c r="G145" i="16" s="1"/>
  <c r="H145" i="16" s="1"/>
  <c r="I145" i="16" s="1"/>
  <c r="J145" i="16" s="1"/>
  <c r="K145" i="16" s="1"/>
  <c r="L145" i="16" s="1"/>
  <c r="M145" i="16" s="1"/>
  <c r="N145" i="16" s="1"/>
  <c r="O145" i="16" s="1"/>
  <c r="P145" i="16" s="1"/>
  <c r="Q145" i="16" s="1"/>
  <c r="R145" i="16" s="1"/>
  <c r="S145" i="16" s="1"/>
  <c r="T145" i="16" s="1"/>
  <c r="U145" i="16" s="1"/>
  <c r="V145" i="16" s="1"/>
  <c r="W145" i="16" s="1"/>
  <c r="X145" i="16" s="1"/>
  <c r="Y145" i="16" s="1"/>
  <c r="Z145" i="16" s="1"/>
  <c r="D145" i="16"/>
  <c r="E123" i="16"/>
  <c r="F123" i="16" s="1"/>
  <c r="G123" i="16" s="1"/>
  <c r="H123" i="16" s="1"/>
  <c r="I123" i="16" s="1"/>
  <c r="J123" i="16" s="1"/>
  <c r="K123" i="16" s="1"/>
  <c r="L123" i="16" s="1"/>
  <c r="M123" i="16" s="1"/>
  <c r="N123" i="16" s="1"/>
  <c r="O123" i="16" s="1"/>
  <c r="P123" i="16" s="1"/>
  <c r="Q123" i="16" s="1"/>
  <c r="R123" i="16" s="1"/>
  <c r="S123" i="16" s="1"/>
  <c r="T123" i="16" s="1"/>
  <c r="U123" i="16" s="1"/>
  <c r="V123" i="16" s="1"/>
  <c r="W123" i="16" s="1"/>
  <c r="X123" i="16" s="1"/>
  <c r="Y123" i="16" s="1"/>
  <c r="Z123" i="16" s="1"/>
  <c r="D123" i="16"/>
  <c r="E96" i="16"/>
  <c r="F96" i="16" s="1"/>
  <c r="G96" i="16" s="1"/>
  <c r="H96" i="16" s="1"/>
  <c r="I96" i="16" s="1"/>
  <c r="J96" i="16" s="1"/>
  <c r="K96" i="16" s="1"/>
  <c r="L96" i="16" s="1"/>
  <c r="M96" i="16" s="1"/>
  <c r="N96" i="16" s="1"/>
  <c r="O96" i="16" s="1"/>
  <c r="P96" i="16" s="1"/>
  <c r="Q96" i="16" s="1"/>
  <c r="R96" i="16" s="1"/>
  <c r="S96" i="16" s="1"/>
  <c r="T96" i="16" s="1"/>
  <c r="U96" i="16" s="1"/>
  <c r="V96" i="16" s="1"/>
  <c r="W96" i="16" s="1"/>
  <c r="X96" i="16" s="1"/>
  <c r="Y96" i="16" s="1"/>
  <c r="Z96" i="16" s="1"/>
  <c r="D96" i="16"/>
  <c r="E74" i="16"/>
  <c r="F74" i="16" s="1"/>
  <c r="G74" i="16" s="1"/>
  <c r="H74" i="16" s="1"/>
  <c r="I74" i="16" s="1"/>
  <c r="J74" i="16" s="1"/>
  <c r="K74" i="16" s="1"/>
  <c r="L74" i="16" s="1"/>
  <c r="M74" i="16" s="1"/>
  <c r="N74" i="16" s="1"/>
  <c r="O74" i="16" s="1"/>
  <c r="P74" i="16" s="1"/>
  <c r="Q74" i="16" s="1"/>
  <c r="R74" i="16" s="1"/>
  <c r="S74" i="16" s="1"/>
  <c r="T74" i="16" s="1"/>
  <c r="U74" i="16" s="1"/>
  <c r="V74" i="16" s="1"/>
  <c r="W74" i="16" s="1"/>
  <c r="X74" i="16" s="1"/>
  <c r="Y74" i="16" s="1"/>
  <c r="Z74" i="16" s="1"/>
  <c r="D74" i="16"/>
  <c r="E52" i="16"/>
  <c r="F52" i="16" s="1"/>
  <c r="G52" i="16" s="1"/>
  <c r="H52" i="16" s="1"/>
  <c r="I52" i="16" s="1"/>
  <c r="J52" i="16" s="1"/>
  <c r="K52" i="16" s="1"/>
  <c r="L52" i="16" s="1"/>
  <c r="M52" i="16" s="1"/>
  <c r="N52" i="16" s="1"/>
  <c r="O52" i="16" s="1"/>
  <c r="P52" i="16" s="1"/>
  <c r="Q52" i="16" s="1"/>
  <c r="R52" i="16" s="1"/>
  <c r="S52" i="16" s="1"/>
  <c r="T52" i="16" s="1"/>
  <c r="U52" i="16" s="1"/>
  <c r="V52" i="16" s="1"/>
  <c r="W52" i="16" s="1"/>
  <c r="X52" i="16" s="1"/>
  <c r="Y52" i="16" s="1"/>
  <c r="Z52" i="16" s="1"/>
  <c r="D52" i="16"/>
  <c r="E29" i="16"/>
  <c r="F29" i="16" s="1"/>
  <c r="G29" i="16" s="1"/>
  <c r="H29" i="16" s="1"/>
  <c r="I29" i="16" s="1"/>
  <c r="J29" i="16" s="1"/>
  <c r="K29" i="16" s="1"/>
  <c r="L29" i="16" s="1"/>
  <c r="M29" i="16" s="1"/>
  <c r="N29" i="16" s="1"/>
  <c r="O29" i="16" s="1"/>
  <c r="P29" i="16" s="1"/>
  <c r="Q29" i="16" s="1"/>
  <c r="R29" i="16" s="1"/>
  <c r="S29" i="16" s="1"/>
  <c r="T29" i="16" s="1"/>
  <c r="U29" i="16" s="1"/>
  <c r="V29" i="16" s="1"/>
  <c r="W29" i="16" s="1"/>
  <c r="X29" i="16" s="1"/>
  <c r="Y29" i="16" s="1"/>
  <c r="Z29" i="16" s="1"/>
  <c r="D29" i="16"/>
  <c r="E6" i="16"/>
  <c r="F6" i="16" s="1"/>
  <c r="G6" i="16" s="1"/>
  <c r="H6" i="16" s="1"/>
  <c r="I6" i="16" s="1"/>
  <c r="J6" i="16" s="1"/>
  <c r="K6" i="16" s="1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X6" i="16" s="1"/>
  <c r="Y6" i="16" s="1"/>
  <c r="Z6" i="16" s="1"/>
  <c r="D6" i="16"/>
  <c r="E5" i="9"/>
  <c r="F5" i="9" s="1"/>
  <c r="G5" i="9" s="1"/>
  <c r="H5" i="9" s="1"/>
  <c r="I5" i="9" s="1"/>
  <c r="J5" i="9" s="1"/>
  <c r="K5" i="9" s="1"/>
  <c r="L5" i="9" s="1"/>
  <c r="M5" i="9" s="1"/>
  <c r="N5" i="9" s="1"/>
  <c r="O5" i="9" s="1"/>
  <c r="P5" i="9" s="1"/>
  <c r="Q5" i="9" s="1"/>
  <c r="R5" i="9" s="1"/>
  <c r="S5" i="9" s="1"/>
  <c r="T5" i="9" s="1"/>
  <c r="U5" i="9" s="1"/>
  <c r="V5" i="9" s="1"/>
  <c r="W5" i="9" s="1"/>
  <c r="X5" i="9" s="1"/>
  <c r="Y5" i="9" s="1"/>
  <c r="Z5" i="9" s="1"/>
  <c r="D5" i="9"/>
  <c r="E120" i="15"/>
  <c r="F120" i="15" s="1"/>
  <c r="G120" i="15" s="1"/>
  <c r="H120" i="15" s="1"/>
  <c r="I120" i="15" s="1"/>
  <c r="J120" i="15" s="1"/>
  <c r="K120" i="15" s="1"/>
  <c r="L120" i="15" s="1"/>
  <c r="M120" i="15" s="1"/>
  <c r="N120" i="15" s="1"/>
  <c r="O120" i="15" s="1"/>
  <c r="P120" i="15" s="1"/>
  <c r="Q120" i="15" s="1"/>
  <c r="R120" i="15" s="1"/>
  <c r="S120" i="15" s="1"/>
  <c r="T120" i="15" s="1"/>
  <c r="U120" i="15" s="1"/>
  <c r="V120" i="15" s="1"/>
  <c r="W120" i="15" s="1"/>
  <c r="X120" i="15" s="1"/>
  <c r="Y120" i="15" s="1"/>
  <c r="Z120" i="15" s="1"/>
  <c r="D120" i="15"/>
  <c r="E91" i="15"/>
  <c r="F91" i="15" s="1"/>
  <c r="G91" i="15" s="1"/>
  <c r="H91" i="15" s="1"/>
  <c r="I91" i="15" s="1"/>
  <c r="J91" i="15" s="1"/>
  <c r="K91" i="15" s="1"/>
  <c r="L91" i="15" s="1"/>
  <c r="M91" i="15" s="1"/>
  <c r="N91" i="15" s="1"/>
  <c r="O91" i="15" s="1"/>
  <c r="P91" i="15" s="1"/>
  <c r="Q91" i="15" s="1"/>
  <c r="R91" i="15" s="1"/>
  <c r="S91" i="15" s="1"/>
  <c r="T91" i="15" s="1"/>
  <c r="U91" i="15" s="1"/>
  <c r="V91" i="15" s="1"/>
  <c r="W91" i="15" s="1"/>
  <c r="X91" i="15" s="1"/>
  <c r="Y91" i="15" s="1"/>
  <c r="Z91" i="15" s="1"/>
  <c r="D91" i="15"/>
  <c r="E63" i="15"/>
  <c r="F63" i="15" s="1"/>
  <c r="G63" i="15" s="1"/>
  <c r="H63" i="15" s="1"/>
  <c r="I63" i="15" s="1"/>
  <c r="J63" i="15" s="1"/>
  <c r="K63" i="15" s="1"/>
  <c r="L63" i="15" s="1"/>
  <c r="M63" i="15" s="1"/>
  <c r="N63" i="15" s="1"/>
  <c r="O63" i="15" s="1"/>
  <c r="P63" i="15" s="1"/>
  <c r="Q63" i="15" s="1"/>
  <c r="R63" i="15" s="1"/>
  <c r="S63" i="15" s="1"/>
  <c r="T63" i="15" s="1"/>
  <c r="U63" i="15" s="1"/>
  <c r="V63" i="15" s="1"/>
  <c r="W63" i="15" s="1"/>
  <c r="X63" i="15" s="1"/>
  <c r="Y63" i="15" s="1"/>
  <c r="Z63" i="15" s="1"/>
  <c r="D63" i="15"/>
  <c r="E33" i="15"/>
  <c r="F33" i="15" s="1"/>
  <c r="G33" i="15" s="1"/>
  <c r="H33" i="15" s="1"/>
  <c r="I33" i="15" s="1"/>
  <c r="J33" i="15" s="1"/>
  <c r="K33" i="15" s="1"/>
  <c r="L33" i="15" s="1"/>
  <c r="M33" i="15" s="1"/>
  <c r="N33" i="15" s="1"/>
  <c r="O33" i="15" s="1"/>
  <c r="P33" i="15" s="1"/>
  <c r="Q33" i="15" s="1"/>
  <c r="R33" i="15" s="1"/>
  <c r="S33" i="15" s="1"/>
  <c r="T33" i="15" s="1"/>
  <c r="U33" i="15" s="1"/>
  <c r="V33" i="15" s="1"/>
  <c r="W33" i="15" s="1"/>
  <c r="X33" i="15" s="1"/>
  <c r="Y33" i="15" s="1"/>
  <c r="Z33" i="15" s="1"/>
  <c r="D33" i="15"/>
  <c r="E5" i="15"/>
  <c r="F5" i="15" s="1"/>
  <c r="G5" i="15" s="1"/>
  <c r="H5" i="15" s="1"/>
  <c r="I5" i="15" s="1"/>
  <c r="J5" i="15" s="1"/>
  <c r="K5" i="15" s="1"/>
  <c r="L5" i="15" s="1"/>
  <c r="M5" i="15" s="1"/>
  <c r="N5" i="15" s="1"/>
  <c r="O5" i="15" s="1"/>
  <c r="P5" i="15" s="1"/>
  <c r="Q5" i="15" s="1"/>
  <c r="R5" i="15" s="1"/>
  <c r="S5" i="15" s="1"/>
  <c r="T5" i="15" s="1"/>
  <c r="U5" i="15" s="1"/>
  <c r="V5" i="15" s="1"/>
  <c r="W5" i="15" s="1"/>
  <c r="X5" i="15" s="1"/>
  <c r="Y5" i="15" s="1"/>
  <c r="Z5" i="15" s="1"/>
  <c r="D5" i="15"/>
  <c r="H6" i="14"/>
  <c r="C104" i="15" s="1"/>
  <c r="D18" i="15"/>
  <c r="C125" i="15"/>
  <c r="C133" i="15"/>
  <c r="C132" i="15" s="1"/>
  <c r="D133" i="15"/>
  <c r="D132" i="15" s="1"/>
  <c r="E133" i="15"/>
  <c r="E132" i="15" s="1"/>
  <c r="F133" i="15"/>
  <c r="F132" i="15" s="1"/>
  <c r="G133" i="15"/>
  <c r="G132" i="15" s="1"/>
  <c r="H133" i="15"/>
  <c r="H132" i="15" s="1"/>
  <c r="I133" i="15"/>
  <c r="I132" i="15" s="1"/>
  <c r="J133" i="15"/>
  <c r="J132" i="15" s="1"/>
  <c r="K133" i="15"/>
  <c r="K132" i="15" s="1"/>
  <c r="L133" i="15"/>
  <c r="L132" i="15" s="1"/>
  <c r="M133" i="15"/>
  <c r="M132" i="15" s="1"/>
  <c r="N133" i="15"/>
  <c r="N132" i="15" s="1"/>
  <c r="O133" i="15"/>
  <c r="O132" i="15" s="1"/>
  <c r="P133" i="15"/>
  <c r="P132" i="15" s="1"/>
  <c r="Q133" i="15"/>
  <c r="Q132" i="15" s="1"/>
  <c r="R133" i="15"/>
  <c r="R132" i="15" s="1"/>
  <c r="S133" i="15"/>
  <c r="S132" i="15" s="1"/>
  <c r="T133" i="15"/>
  <c r="T132" i="15" s="1"/>
  <c r="U133" i="15"/>
  <c r="U132" i="15" s="1"/>
  <c r="V133" i="15"/>
  <c r="V132" i="15" s="1"/>
  <c r="W133" i="15"/>
  <c r="W132" i="15" s="1"/>
  <c r="X133" i="15"/>
  <c r="X132" i="15" s="1"/>
  <c r="Y133" i="15"/>
  <c r="Y132" i="15" s="1"/>
  <c r="Z133" i="15"/>
  <c r="Z132" i="15" s="1"/>
  <c r="C126" i="15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C11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C9" i="9"/>
  <c r="C128" i="15" l="1"/>
  <c r="C46" i="15"/>
  <c r="C67" i="15"/>
  <c r="C9" i="15"/>
  <c r="D12" i="14"/>
  <c r="C45" i="15"/>
  <c r="C44" i="15" s="1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I134" i="15" l="1"/>
  <c r="I136" i="15" s="1"/>
  <c r="I140" i="15" s="1"/>
  <c r="Q134" i="15"/>
  <c r="Q136" i="15" s="1"/>
  <c r="Q140" i="15" s="1"/>
  <c r="Y134" i="15"/>
  <c r="Y136" i="15" s="1"/>
  <c r="Y140" i="15" s="1"/>
  <c r="J134" i="15"/>
  <c r="J136" i="15" s="1"/>
  <c r="J140" i="15" s="1"/>
  <c r="T134" i="15"/>
  <c r="T136" i="15" s="1"/>
  <c r="T140" i="15" s="1"/>
  <c r="M134" i="15"/>
  <c r="M136" i="15" s="1"/>
  <c r="M140" i="15" s="1"/>
  <c r="F134" i="15"/>
  <c r="F136" i="15" s="1"/>
  <c r="F140" i="15" s="1"/>
  <c r="V134" i="15"/>
  <c r="V136" i="15" s="1"/>
  <c r="V140" i="15" s="1"/>
  <c r="R134" i="15"/>
  <c r="R136" i="15" s="1"/>
  <c r="R140" i="15" s="1"/>
  <c r="Z134" i="15"/>
  <c r="Z136" i="15" s="1"/>
  <c r="Z140" i="15" s="1"/>
  <c r="D134" i="15"/>
  <c r="D136" i="15" s="1"/>
  <c r="D140" i="15" s="1"/>
  <c r="N134" i="15"/>
  <c r="N136" i="15" s="1"/>
  <c r="N140" i="15" s="1"/>
  <c r="C134" i="15"/>
  <c r="C136" i="15" s="1"/>
  <c r="C140" i="15" s="1"/>
  <c r="C89" i="19" s="1"/>
  <c r="K134" i="15"/>
  <c r="K136" i="15" s="1"/>
  <c r="K140" i="15" s="1"/>
  <c r="S134" i="15"/>
  <c r="S136" i="15" s="1"/>
  <c r="S140" i="15" s="1"/>
  <c r="L134" i="15"/>
  <c r="L136" i="15" s="1"/>
  <c r="L140" i="15" s="1"/>
  <c r="E134" i="15"/>
  <c r="E136" i="15" s="1"/>
  <c r="E140" i="15" s="1"/>
  <c r="U134" i="15"/>
  <c r="U136" i="15" s="1"/>
  <c r="U140" i="15" s="1"/>
  <c r="G134" i="15"/>
  <c r="G136" i="15" s="1"/>
  <c r="G140" i="15" s="1"/>
  <c r="O134" i="15"/>
  <c r="O136" i="15" s="1"/>
  <c r="O140" i="15" s="1"/>
  <c r="W134" i="15"/>
  <c r="W136" i="15" s="1"/>
  <c r="W140" i="15" s="1"/>
  <c r="H134" i="15"/>
  <c r="H136" i="15" s="1"/>
  <c r="H140" i="15" s="1"/>
  <c r="P134" i="15"/>
  <c r="P136" i="15" s="1"/>
  <c r="P140" i="15" s="1"/>
  <c r="X134" i="15"/>
  <c r="X136" i="15" s="1"/>
  <c r="X140" i="15" s="1"/>
  <c r="C15" i="9"/>
  <c r="C20" i="9" s="1"/>
  <c r="C19" i="15"/>
  <c r="C71" i="15"/>
  <c r="C70" i="15" s="1"/>
  <c r="C18" i="15"/>
  <c r="C17" i="15" s="1"/>
  <c r="C10" i="15"/>
  <c r="T107" i="15"/>
  <c r="D17" i="15"/>
  <c r="D45" i="15"/>
  <c r="D44" i="15" s="1"/>
  <c r="E45" i="15"/>
  <c r="E44" i="15" s="1"/>
  <c r="F45" i="15"/>
  <c r="F44" i="15" s="1"/>
  <c r="G45" i="15"/>
  <c r="G44" i="15" s="1"/>
  <c r="H45" i="15"/>
  <c r="H44" i="15" s="1"/>
  <c r="I45" i="15"/>
  <c r="I44" i="15" s="1"/>
  <c r="J45" i="15"/>
  <c r="J44" i="15" s="1"/>
  <c r="K45" i="15"/>
  <c r="K44" i="15" s="1"/>
  <c r="L45" i="15"/>
  <c r="L44" i="15" s="1"/>
  <c r="M45" i="15"/>
  <c r="M44" i="15" s="1"/>
  <c r="N45" i="15"/>
  <c r="N44" i="15" s="1"/>
  <c r="C98" i="15"/>
  <c r="C97" i="15" s="1"/>
  <c r="C96" i="15"/>
  <c r="C95" i="15"/>
  <c r="P45" i="15"/>
  <c r="P44" i="15" s="1"/>
  <c r="X45" i="15"/>
  <c r="X44" i="15" s="1"/>
  <c r="Z45" i="15"/>
  <c r="Z44" i="15" s="1"/>
  <c r="O45" i="15"/>
  <c r="O44" i="15" s="1"/>
  <c r="Q45" i="15"/>
  <c r="Q44" i="15" s="1"/>
  <c r="R45" i="15"/>
  <c r="R44" i="15" s="1"/>
  <c r="S45" i="15"/>
  <c r="S44" i="15" s="1"/>
  <c r="T45" i="15"/>
  <c r="T44" i="15" s="1"/>
  <c r="U45" i="15"/>
  <c r="U44" i="15" s="1"/>
  <c r="V45" i="15"/>
  <c r="V44" i="15" s="1"/>
  <c r="W45" i="15"/>
  <c r="W44" i="15" s="1"/>
  <c r="Y45" i="15"/>
  <c r="Y44" i="15" s="1"/>
  <c r="C38" i="15"/>
  <c r="C37" i="15"/>
  <c r="C69" i="15"/>
  <c r="C68" i="15"/>
  <c r="E18" i="15"/>
  <c r="E17" i="15" s="1"/>
  <c r="F18" i="15"/>
  <c r="F17" i="15" s="1"/>
  <c r="G18" i="15"/>
  <c r="G17" i="15" s="1"/>
  <c r="H18" i="15"/>
  <c r="H17" i="15" s="1"/>
  <c r="I18" i="15"/>
  <c r="I17" i="15" s="1"/>
  <c r="J18" i="15"/>
  <c r="J17" i="15" s="1"/>
  <c r="K18" i="15"/>
  <c r="K17" i="15" s="1"/>
  <c r="L18" i="15"/>
  <c r="L17" i="15" s="1"/>
  <c r="M18" i="15"/>
  <c r="M17" i="15" s="1"/>
  <c r="N18" i="15"/>
  <c r="N17" i="15" s="1"/>
  <c r="O18" i="15"/>
  <c r="O17" i="15" s="1"/>
  <c r="P18" i="15"/>
  <c r="P17" i="15" s="1"/>
  <c r="Q18" i="15"/>
  <c r="Q17" i="15" s="1"/>
  <c r="R18" i="15"/>
  <c r="R17" i="15" s="1"/>
  <c r="S18" i="15"/>
  <c r="S17" i="15" s="1"/>
  <c r="T18" i="15"/>
  <c r="T17" i="15" s="1"/>
  <c r="U18" i="15"/>
  <c r="U17" i="15" s="1"/>
  <c r="V18" i="15"/>
  <c r="V17" i="15" s="1"/>
  <c r="W18" i="15"/>
  <c r="W17" i="15" s="1"/>
  <c r="X18" i="15"/>
  <c r="X17" i="15" s="1"/>
  <c r="Y18" i="15"/>
  <c r="Y17" i="15" s="1"/>
  <c r="Z18" i="15"/>
  <c r="Z17" i="15" s="1"/>
  <c r="C11" i="15"/>
  <c r="E37" i="15"/>
  <c r="F37" i="15" s="1"/>
  <c r="G37" i="15" s="1"/>
  <c r="H37" i="15" s="1"/>
  <c r="I37" i="15" s="1"/>
  <c r="J37" i="15" s="1"/>
  <c r="K37" i="15" s="1"/>
  <c r="L37" i="15" s="1"/>
  <c r="M37" i="15" s="1"/>
  <c r="N37" i="15" s="1"/>
  <c r="O37" i="15" s="1"/>
  <c r="P37" i="15" s="1"/>
  <c r="Q37" i="15" s="1"/>
  <c r="R37" i="15" s="1"/>
  <c r="S37" i="15" s="1"/>
  <c r="T37" i="15" s="1"/>
  <c r="U37" i="15" s="1"/>
  <c r="V37" i="15" s="1"/>
  <c r="W37" i="15" s="1"/>
  <c r="X37" i="15" s="1"/>
  <c r="Y37" i="15" s="1"/>
  <c r="Z37" i="15" s="1"/>
  <c r="E95" i="15"/>
  <c r="F95" i="15" s="1"/>
  <c r="G95" i="15" s="1"/>
  <c r="H95" i="15" s="1"/>
  <c r="I95" i="15" s="1"/>
  <c r="J95" i="15" s="1"/>
  <c r="K95" i="15" s="1"/>
  <c r="L95" i="15" s="1"/>
  <c r="M95" i="15" s="1"/>
  <c r="N95" i="15" s="1"/>
  <c r="O95" i="15" s="1"/>
  <c r="P95" i="15" s="1"/>
  <c r="Q95" i="15" s="1"/>
  <c r="R95" i="15" s="1"/>
  <c r="S95" i="15" s="1"/>
  <c r="T95" i="15" s="1"/>
  <c r="U95" i="15" s="1"/>
  <c r="V95" i="15" s="1"/>
  <c r="W95" i="15" s="1"/>
  <c r="X95" i="15" s="1"/>
  <c r="Y95" i="15" s="1"/>
  <c r="Z95" i="15" s="1"/>
  <c r="E97" i="15"/>
  <c r="F97" i="15" s="1"/>
  <c r="G97" i="15" s="1"/>
  <c r="H97" i="15" s="1"/>
  <c r="I97" i="15" s="1"/>
  <c r="J97" i="15" s="1"/>
  <c r="K97" i="15" s="1"/>
  <c r="L97" i="15" s="1"/>
  <c r="M97" i="15" s="1"/>
  <c r="N97" i="15" s="1"/>
  <c r="O97" i="15" s="1"/>
  <c r="P97" i="15" s="1"/>
  <c r="Q97" i="15" s="1"/>
  <c r="R97" i="15" s="1"/>
  <c r="S97" i="15" s="1"/>
  <c r="T97" i="15" s="1"/>
  <c r="U97" i="15" s="1"/>
  <c r="V97" i="15" s="1"/>
  <c r="W97" i="15" s="1"/>
  <c r="X97" i="15" s="1"/>
  <c r="Y97" i="15" s="1"/>
  <c r="Z97" i="15" s="1"/>
  <c r="E98" i="15"/>
  <c r="F98" i="15" s="1"/>
  <c r="G98" i="15" s="1"/>
  <c r="H98" i="15" s="1"/>
  <c r="I98" i="15" s="1"/>
  <c r="J98" i="15" s="1"/>
  <c r="K98" i="15" s="1"/>
  <c r="L98" i="15" s="1"/>
  <c r="M98" i="15" s="1"/>
  <c r="N98" i="15" s="1"/>
  <c r="O98" i="15" s="1"/>
  <c r="P98" i="15" s="1"/>
  <c r="Q98" i="15" s="1"/>
  <c r="R98" i="15" s="1"/>
  <c r="S98" i="15" s="1"/>
  <c r="T98" i="15" s="1"/>
  <c r="U98" i="15" s="1"/>
  <c r="V98" i="15" s="1"/>
  <c r="W98" i="15" s="1"/>
  <c r="X98" i="15" s="1"/>
  <c r="Y98" i="15" s="1"/>
  <c r="Z98" i="15" s="1"/>
  <c r="E38" i="15"/>
  <c r="F38" i="15" s="1"/>
  <c r="G38" i="15" s="1"/>
  <c r="H38" i="15" s="1"/>
  <c r="I38" i="15" s="1"/>
  <c r="J38" i="15" s="1"/>
  <c r="K38" i="15" s="1"/>
  <c r="L38" i="15" s="1"/>
  <c r="M38" i="15" s="1"/>
  <c r="N38" i="15" s="1"/>
  <c r="O38" i="15" s="1"/>
  <c r="P38" i="15" s="1"/>
  <c r="Q38" i="15" s="1"/>
  <c r="R38" i="15" s="1"/>
  <c r="S38" i="15" s="1"/>
  <c r="T38" i="15" s="1"/>
  <c r="U38" i="15" s="1"/>
  <c r="V38" i="15" s="1"/>
  <c r="W38" i="15" s="1"/>
  <c r="X38" i="15" s="1"/>
  <c r="Y38" i="15" s="1"/>
  <c r="Z38" i="15" s="1"/>
  <c r="E70" i="15"/>
  <c r="F70" i="15" s="1"/>
  <c r="G70" i="15" s="1"/>
  <c r="H70" i="15" s="1"/>
  <c r="I70" i="15" s="1"/>
  <c r="J70" i="15" s="1"/>
  <c r="K70" i="15" s="1"/>
  <c r="L70" i="15" s="1"/>
  <c r="M70" i="15" s="1"/>
  <c r="N70" i="15" s="1"/>
  <c r="O70" i="15" s="1"/>
  <c r="P70" i="15" s="1"/>
  <c r="Q70" i="15" s="1"/>
  <c r="R70" i="15" s="1"/>
  <c r="S70" i="15" s="1"/>
  <c r="T70" i="15" s="1"/>
  <c r="U70" i="15" s="1"/>
  <c r="V70" i="15" s="1"/>
  <c r="W70" i="15" s="1"/>
  <c r="X70" i="15" s="1"/>
  <c r="Y70" i="15" s="1"/>
  <c r="Z70" i="15" s="1"/>
  <c r="E71" i="15"/>
  <c r="F71" i="15" s="1"/>
  <c r="G71" i="15" s="1"/>
  <c r="H71" i="15" s="1"/>
  <c r="I71" i="15" s="1"/>
  <c r="J71" i="15" s="1"/>
  <c r="K71" i="15" s="1"/>
  <c r="L71" i="15" s="1"/>
  <c r="M71" i="15" s="1"/>
  <c r="N71" i="15" s="1"/>
  <c r="O71" i="15" s="1"/>
  <c r="P71" i="15" s="1"/>
  <c r="Q71" i="15" s="1"/>
  <c r="R71" i="15" s="1"/>
  <c r="S71" i="15" s="1"/>
  <c r="T71" i="15" s="1"/>
  <c r="U71" i="15" s="1"/>
  <c r="V71" i="15" s="1"/>
  <c r="W71" i="15" s="1"/>
  <c r="X71" i="15" s="1"/>
  <c r="Y71" i="15" s="1"/>
  <c r="Z71" i="15" s="1"/>
  <c r="E69" i="15"/>
  <c r="F69" i="15" s="1"/>
  <c r="G69" i="15" s="1"/>
  <c r="H69" i="15" s="1"/>
  <c r="I69" i="15" s="1"/>
  <c r="J69" i="15" s="1"/>
  <c r="K69" i="15" s="1"/>
  <c r="L69" i="15" s="1"/>
  <c r="M69" i="15" s="1"/>
  <c r="N69" i="15" s="1"/>
  <c r="O69" i="15" s="1"/>
  <c r="P69" i="15" s="1"/>
  <c r="Q69" i="15" s="1"/>
  <c r="R69" i="15" s="1"/>
  <c r="S69" i="15" s="1"/>
  <c r="T69" i="15" s="1"/>
  <c r="U69" i="15" s="1"/>
  <c r="V69" i="15" s="1"/>
  <c r="W69" i="15" s="1"/>
  <c r="X69" i="15" s="1"/>
  <c r="Y69" i="15" s="1"/>
  <c r="Z69" i="15" s="1"/>
  <c r="E67" i="15"/>
  <c r="F67" i="15" s="1"/>
  <c r="G67" i="15" s="1"/>
  <c r="H67" i="15" s="1"/>
  <c r="I67" i="15" s="1"/>
  <c r="J67" i="15" s="1"/>
  <c r="K67" i="15" s="1"/>
  <c r="E68" i="15"/>
  <c r="F68" i="15" s="1"/>
  <c r="G68" i="15" s="1"/>
  <c r="C21" i="15" l="1"/>
  <c r="D89" i="19"/>
  <c r="E89" i="19" s="1"/>
  <c r="F89" i="19" s="1"/>
  <c r="G89" i="19" s="1"/>
  <c r="H89" i="19" s="1"/>
  <c r="I89" i="19" s="1"/>
  <c r="J89" i="19" s="1"/>
  <c r="K89" i="19" s="1"/>
  <c r="L89" i="19" s="1"/>
  <c r="M89" i="19" s="1"/>
  <c r="N89" i="19" s="1"/>
  <c r="O89" i="19" s="1"/>
  <c r="P89" i="19" s="1"/>
  <c r="Q89" i="19" s="1"/>
  <c r="R89" i="19" s="1"/>
  <c r="S89" i="19" s="1"/>
  <c r="T89" i="19" s="1"/>
  <c r="U89" i="19" s="1"/>
  <c r="V89" i="19" s="1"/>
  <c r="W89" i="19" s="1"/>
  <c r="X89" i="19" s="1"/>
  <c r="Y89" i="19" s="1"/>
  <c r="Z89" i="19" s="1"/>
  <c r="C171" i="16"/>
  <c r="C83" i="19"/>
  <c r="C21" i="9"/>
  <c r="X101" i="16"/>
  <c r="X216" i="16"/>
  <c r="L101" i="16"/>
  <c r="L216" i="16"/>
  <c r="V101" i="16"/>
  <c r="V216" i="16"/>
  <c r="P101" i="16"/>
  <c r="P216" i="16"/>
  <c r="S216" i="16"/>
  <c r="S101" i="16"/>
  <c r="F101" i="16"/>
  <c r="F216" i="16"/>
  <c r="H101" i="16"/>
  <c r="H216" i="16"/>
  <c r="W101" i="16"/>
  <c r="W216" i="16"/>
  <c r="J216" i="16"/>
  <c r="J101" i="16"/>
  <c r="G101" i="16"/>
  <c r="G216" i="16"/>
  <c r="D101" i="16"/>
  <c r="D216" i="16"/>
  <c r="Y101" i="16"/>
  <c r="Y216" i="16"/>
  <c r="M101" i="16"/>
  <c r="M216" i="16"/>
  <c r="C216" i="16"/>
  <c r="C101" i="16"/>
  <c r="C141" i="15"/>
  <c r="N101" i="16"/>
  <c r="N216" i="16"/>
  <c r="U101" i="16"/>
  <c r="U216" i="16"/>
  <c r="Z216" i="16"/>
  <c r="Z101" i="16"/>
  <c r="Q101" i="16"/>
  <c r="Q216" i="16"/>
  <c r="K216" i="16"/>
  <c r="K101" i="16"/>
  <c r="T101" i="16"/>
  <c r="T216" i="16"/>
  <c r="O101" i="16"/>
  <c r="O216" i="16"/>
  <c r="C142" i="15"/>
  <c r="K215" i="16"/>
  <c r="S215" i="16"/>
  <c r="C215" i="16"/>
  <c r="I127" i="16"/>
  <c r="Q127" i="16"/>
  <c r="Y127" i="16"/>
  <c r="G215" i="16"/>
  <c r="M127" i="16"/>
  <c r="H215" i="16"/>
  <c r="F127" i="16"/>
  <c r="N127" i="16"/>
  <c r="V127" i="16"/>
  <c r="D215" i="16"/>
  <c r="L215" i="16"/>
  <c r="T215" i="16"/>
  <c r="J127" i="16"/>
  <c r="R127" i="16"/>
  <c r="Z127" i="16"/>
  <c r="W215" i="16"/>
  <c r="U127" i="16"/>
  <c r="X215" i="16"/>
  <c r="E215" i="16"/>
  <c r="M215" i="16"/>
  <c r="U215" i="16"/>
  <c r="C127" i="16"/>
  <c r="K127" i="16"/>
  <c r="S127" i="16"/>
  <c r="F215" i="16"/>
  <c r="N215" i="16"/>
  <c r="V215" i="16"/>
  <c r="D127" i="16"/>
  <c r="L127" i="16"/>
  <c r="T127" i="16"/>
  <c r="O215" i="16"/>
  <c r="E127" i="16"/>
  <c r="P215" i="16"/>
  <c r="I215" i="16"/>
  <c r="Q215" i="16"/>
  <c r="Y215" i="16"/>
  <c r="G127" i="16"/>
  <c r="O127" i="16"/>
  <c r="W127" i="16"/>
  <c r="J215" i="16"/>
  <c r="R215" i="16"/>
  <c r="Z215" i="16"/>
  <c r="H127" i="16"/>
  <c r="P127" i="16"/>
  <c r="X127" i="16"/>
  <c r="E101" i="16"/>
  <c r="E216" i="16"/>
  <c r="R216" i="16"/>
  <c r="R101" i="16"/>
  <c r="I101" i="16"/>
  <c r="I216" i="16"/>
  <c r="C100" i="15"/>
  <c r="E105" i="15"/>
  <c r="C47" i="15"/>
  <c r="C73" i="15"/>
  <c r="C40" i="15"/>
  <c r="P47" i="15"/>
  <c r="C13" i="15"/>
  <c r="H47" i="15"/>
  <c r="F105" i="15"/>
  <c r="U105" i="15"/>
  <c r="M105" i="15"/>
  <c r="X47" i="15"/>
  <c r="H15" i="9"/>
  <c r="Z77" i="15"/>
  <c r="Z79" i="15" s="1"/>
  <c r="Z83" i="15" s="1"/>
  <c r="Z57" i="16" s="1"/>
  <c r="R107" i="15"/>
  <c r="M15" i="9"/>
  <c r="Q77" i="15"/>
  <c r="Q79" i="15" s="1"/>
  <c r="Q83" i="15" s="1"/>
  <c r="Q57" i="16" s="1"/>
  <c r="S49" i="15"/>
  <c r="I15" i="9"/>
  <c r="Z15" i="9"/>
  <c r="T15" i="9"/>
  <c r="I19" i="15"/>
  <c r="X19" i="15"/>
  <c r="X21" i="15" s="1"/>
  <c r="X25" i="15" s="1"/>
  <c r="X128" i="16" s="1"/>
  <c r="P19" i="15"/>
  <c r="P21" i="15" s="1"/>
  <c r="P25" i="15" s="1"/>
  <c r="P128" i="16" s="1"/>
  <c r="K77" i="15"/>
  <c r="K79" i="15" s="1"/>
  <c r="K83" i="15" s="1"/>
  <c r="K57" i="16" s="1"/>
  <c r="O19" i="15"/>
  <c r="O21" i="15" s="1"/>
  <c r="O25" i="15" s="1"/>
  <c r="O128" i="16" s="1"/>
  <c r="S77" i="15"/>
  <c r="S79" i="15" s="1"/>
  <c r="S83" i="15" s="1"/>
  <c r="S57" i="16" s="1"/>
  <c r="L49" i="15"/>
  <c r="D49" i="15"/>
  <c r="U49" i="15"/>
  <c r="K107" i="15"/>
  <c r="O107" i="15"/>
  <c r="S107" i="15"/>
  <c r="T49" i="15"/>
  <c r="R15" i="9"/>
  <c r="Q107" i="15"/>
  <c r="L15" i="9"/>
  <c r="F15" i="9"/>
  <c r="W15" i="9"/>
  <c r="Q15" i="9"/>
  <c r="N19" i="15"/>
  <c r="N21" i="15" s="1"/>
  <c r="N25" i="15" s="1"/>
  <c r="N128" i="16" s="1"/>
  <c r="F19" i="15"/>
  <c r="U19" i="15"/>
  <c r="H77" i="15"/>
  <c r="H79" i="15" s="1"/>
  <c r="H83" i="15" s="1"/>
  <c r="H57" i="16" s="1"/>
  <c r="X77" i="15"/>
  <c r="X79" i="15" s="1"/>
  <c r="X83" i="15" s="1"/>
  <c r="X57" i="16" s="1"/>
  <c r="P77" i="15"/>
  <c r="P79" i="15" s="1"/>
  <c r="P83" i="15" s="1"/>
  <c r="P57" i="16" s="1"/>
  <c r="I49" i="15"/>
  <c r="Z49" i="15"/>
  <c r="R49" i="15"/>
  <c r="H107" i="15"/>
  <c r="X107" i="15"/>
  <c r="P107" i="15"/>
  <c r="S15" i="9"/>
  <c r="J77" i="15"/>
  <c r="J79" i="15" s="1"/>
  <c r="J83" i="15" s="1"/>
  <c r="J57" i="16" s="1"/>
  <c r="J107" i="15"/>
  <c r="X15" i="9"/>
  <c r="G19" i="15"/>
  <c r="G21" i="15" s="1"/>
  <c r="G25" i="15" s="1"/>
  <c r="G128" i="16" s="1"/>
  <c r="Y107" i="15"/>
  <c r="E15" i="9"/>
  <c r="P15" i="9"/>
  <c r="M19" i="15"/>
  <c r="E19" i="15"/>
  <c r="E21" i="15" s="1"/>
  <c r="E25" i="15" s="1"/>
  <c r="E128" i="16" s="1"/>
  <c r="T19" i="15"/>
  <c r="T21" i="15" s="1"/>
  <c r="T25" i="15" s="1"/>
  <c r="T128" i="16" s="1"/>
  <c r="C77" i="15"/>
  <c r="C79" i="15" s="1"/>
  <c r="G77" i="15"/>
  <c r="W77" i="15"/>
  <c r="W79" i="15" s="1"/>
  <c r="W83" i="15" s="1"/>
  <c r="W57" i="16" s="1"/>
  <c r="H49" i="15"/>
  <c r="Y49" i="15"/>
  <c r="Q49" i="15"/>
  <c r="C107" i="15"/>
  <c r="G107" i="15"/>
  <c r="W107" i="15"/>
  <c r="Y15" i="9"/>
  <c r="W19" i="15"/>
  <c r="W21" i="15" s="1"/>
  <c r="W25" i="15" s="1"/>
  <c r="W128" i="16" s="1"/>
  <c r="R77" i="15"/>
  <c r="R79" i="15" s="1"/>
  <c r="R83" i="15" s="1"/>
  <c r="R57" i="16" s="1"/>
  <c r="Z107" i="15"/>
  <c r="G15" i="9"/>
  <c r="V19" i="15"/>
  <c r="V21" i="15" s="1"/>
  <c r="V25" i="15" s="1"/>
  <c r="V128" i="16" s="1"/>
  <c r="O49" i="15"/>
  <c r="K15" i="9"/>
  <c r="D15" i="9"/>
  <c r="V15" i="9"/>
  <c r="L19" i="15"/>
  <c r="D19" i="15"/>
  <c r="D21" i="15" s="1"/>
  <c r="D25" i="15" s="1"/>
  <c r="D128" i="16" s="1"/>
  <c r="S19" i="15"/>
  <c r="S21" i="15" s="1"/>
  <c r="S25" i="15" s="1"/>
  <c r="S128" i="16" s="1"/>
  <c r="N77" i="15"/>
  <c r="N79" i="15" s="1"/>
  <c r="N83" i="15" s="1"/>
  <c r="N57" i="16" s="1"/>
  <c r="F77" i="15"/>
  <c r="V77" i="15"/>
  <c r="V79" i="15" s="1"/>
  <c r="V83" i="15" s="1"/>
  <c r="V57" i="16" s="1"/>
  <c r="C49" i="15"/>
  <c r="G49" i="15"/>
  <c r="X49" i="15"/>
  <c r="P49" i="15"/>
  <c r="N107" i="15"/>
  <c r="F107" i="15"/>
  <c r="V107" i="15"/>
  <c r="O77" i="15"/>
  <c r="O79" i="15" s="1"/>
  <c r="O83" i="15" s="1"/>
  <c r="O57" i="16" s="1"/>
  <c r="I77" i="15"/>
  <c r="I79" i="15" s="1"/>
  <c r="I83" i="15" s="1"/>
  <c r="I57" i="16" s="1"/>
  <c r="J49" i="15"/>
  <c r="K19" i="15"/>
  <c r="K21" i="15" s="1"/>
  <c r="K25" i="15" s="1"/>
  <c r="K128" i="16" s="1"/>
  <c r="Z19" i="15"/>
  <c r="Z21" i="15" s="1"/>
  <c r="Z25" i="15" s="1"/>
  <c r="Z128" i="16" s="1"/>
  <c r="R19" i="15"/>
  <c r="R21" i="15" s="1"/>
  <c r="R25" i="15" s="1"/>
  <c r="R128" i="16" s="1"/>
  <c r="M77" i="15"/>
  <c r="M79" i="15" s="1"/>
  <c r="M83" i="15" s="1"/>
  <c r="M57" i="16" s="1"/>
  <c r="E77" i="15"/>
  <c r="U77" i="15"/>
  <c r="U79" i="15" s="1"/>
  <c r="U83" i="15" s="1"/>
  <c r="U57" i="16" s="1"/>
  <c r="N49" i="15"/>
  <c r="F49" i="15"/>
  <c r="W49" i="15"/>
  <c r="M107" i="15"/>
  <c r="E107" i="15"/>
  <c r="U107" i="15"/>
  <c r="N15" i="9"/>
  <c r="H19" i="15"/>
  <c r="H21" i="15" s="1"/>
  <c r="H25" i="15" s="1"/>
  <c r="H128" i="16" s="1"/>
  <c r="H132" i="16" s="1"/>
  <c r="K49" i="15"/>
  <c r="Y77" i="15"/>
  <c r="Y79" i="15" s="1"/>
  <c r="Y83" i="15" s="1"/>
  <c r="Y57" i="16" s="1"/>
  <c r="I107" i="15"/>
  <c r="J15" i="9"/>
  <c r="O15" i="9"/>
  <c r="U15" i="9"/>
  <c r="J19" i="15"/>
  <c r="J21" i="15" s="1"/>
  <c r="J25" i="15" s="1"/>
  <c r="J128" i="16" s="1"/>
  <c r="Y19" i="15"/>
  <c r="Y21" i="15" s="1"/>
  <c r="Y25" i="15" s="1"/>
  <c r="Y128" i="16" s="1"/>
  <c r="Y132" i="16" s="1"/>
  <c r="Q19" i="15"/>
  <c r="Q21" i="15" s="1"/>
  <c r="Q25" i="15" s="1"/>
  <c r="Q128" i="16" s="1"/>
  <c r="L77" i="15"/>
  <c r="L79" i="15" s="1"/>
  <c r="L83" i="15" s="1"/>
  <c r="L57" i="16" s="1"/>
  <c r="D77" i="15"/>
  <c r="T77" i="15"/>
  <c r="T79" i="15" s="1"/>
  <c r="T83" i="15" s="1"/>
  <c r="T57" i="16" s="1"/>
  <c r="M49" i="15"/>
  <c r="E49" i="15"/>
  <c r="V49" i="15"/>
  <c r="L107" i="15"/>
  <c r="D107" i="15"/>
  <c r="W47" i="15"/>
  <c r="O47" i="15"/>
  <c r="G47" i="15"/>
  <c r="T105" i="15"/>
  <c r="L105" i="15"/>
  <c r="D105" i="15"/>
  <c r="V47" i="15"/>
  <c r="N47" i="15"/>
  <c r="F47" i="15"/>
  <c r="C105" i="15"/>
  <c r="S105" i="15"/>
  <c r="K105" i="15"/>
  <c r="U47" i="15"/>
  <c r="M47" i="15"/>
  <c r="E47" i="15"/>
  <c r="Z105" i="15"/>
  <c r="R105" i="15"/>
  <c r="J105" i="15"/>
  <c r="T47" i="15"/>
  <c r="Q105" i="15"/>
  <c r="X105" i="15"/>
  <c r="Z47" i="15"/>
  <c r="R47" i="15"/>
  <c r="J47" i="15"/>
  <c r="W105" i="15"/>
  <c r="O105" i="15"/>
  <c r="G105" i="15"/>
  <c r="L47" i="15"/>
  <c r="D47" i="15"/>
  <c r="Y105" i="15"/>
  <c r="I105" i="15"/>
  <c r="S47" i="15"/>
  <c r="K47" i="15"/>
  <c r="P105" i="15"/>
  <c r="H105" i="15"/>
  <c r="Y47" i="15"/>
  <c r="Q47" i="15"/>
  <c r="I47" i="15"/>
  <c r="V105" i="15"/>
  <c r="N105" i="15"/>
  <c r="H68" i="15"/>
  <c r="L67" i="15"/>
  <c r="C109" i="15" l="1"/>
  <c r="C113" i="15" s="1"/>
  <c r="Q132" i="16"/>
  <c r="C100" i="16"/>
  <c r="C105" i="16" s="1"/>
  <c r="C81" i="19"/>
  <c r="E220" i="16"/>
  <c r="D220" i="16"/>
  <c r="V220" i="16"/>
  <c r="J220" i="16"/>
  <c r="D132" i="16"/>
  <c r="N220" i="16"/>
  <c r="K132" i="16"/>
  <c r="G132" i="16"/>
  <c r="C48" i="15"/>
  <c r="D48" i="15" s="1"/>
  <c r="E48" i="15" s="1"/>
  <c r="Q220" i="16"/>
  <c r="P132" i="16"/>
  <c r="I220" i="16"/>
  <c r="L220" i="16"/>
  <c r="K220" i="16"/>
  <c r="C222" i="16"/>
  <c r="C229" i="16" s="1"/>
  <c r="G220" i="16"/>
  <c r="N132" i="16"/>
  <c r="Y220" i="16"/>
  <c r="H220" i="16"/>
  <c r="W132" i="16"/>
  <c r="V132" i="16"/>
  <c r="Z132" i="16"/>
  <c r="R220" i="16"/>
  <c r="W220" i="16"/>
  <c r="P220" i="16"/>
  <c r="C221" i="16"/>
  <c r="C228" i="16" s="1"/>
  <c r="C143" i="15"/>
  <c r="F220" i="16"/>
  <c r="J132" i="16"/>
  <c r="T132" i="16"/>
  <c r="X132" i="16"/>
  <c r="O220" i="16"/>
  <c r="C220" i="16"/>
  <c r="E132" i="16"/>
  <c r="Z220" i="16"/>
  <c r="M220" i="16"/>
  <c r="X220" i="16"/>
  <c r="R132" i="16"/>
  <c r="S132" i="16"/>
  <c r="T220" i="16"/>
  <c r="U220" i="16"/>
  <c r="S220" i="16"/>
  <c r="O132" i="16"/>
  <c r="Z20" i="9"/>
  <c r="Z21" i="9"/>
  <c r="Z100" i="16" s="1"/>
  <c r="Z105" i="16" s="1"/>
  <c r="V20" i="9"/>
  <c r="V21" i="9"/>
  <c r="V100" i="16" s="1"/>
  <c r="V105" i="16" s="1"/>
  <c r="U20" i="9"/>
  <c r="U21" i="9"/>
  <c r="U100" i="16" s="1"/>
  <c r="U105" i="16" s="1"/>
  <c r="Y20" i="9"/>
  <c r="Y21" i="9"/>
  <c r="Y100" i="16" s="1"/>
  <c r="Y105" i="16" s="1"/>
  <c r="W20" i="9"/>
  <c r="W21" i="9"/>
  <c r="W100" i="16" s="1"/>
  <c r="W105" i="16" s="1"/>
  <c r="X20" i="9"/>
  <c r="X21" i="9"/>
  <c r="X100" i="16" s="1"/>
  <c r="X105" i="16" s="1"/>
  <c r="N20" i="9"/>
  <c r="N21" i="9"/>
  <c r="N100" i="16" s="1"/>
  <c r="N105" i="16" s="1"/>
  <c r="H20" i="9"/>
  <c r="H21" i="9"/>
  <c r="H100" i="16" s="1"/>
  <c r="H105" i="16" s="1"/>
  <c r="J20" i="9"/>
  <c r="J21" i="9"/>
  <c r="J100" i="16" s="1"/>
  <c r="J105" i="16" s="1"/>
  <c r="P20" i="9"/>
  <c r="P21" i="9"/>
  <c r="P100" i="16" s="1"/>
  <c r="P105" i="16" s="1"/>
  <c r="F20" i="9"/>
  <c r="F21" i="9"/>
  <c r="F100" i="16" s="1"/>
  <c r="F105" i="16" s="1"/>
  <c r="G20" i="9"/>
  <c r="G21" i="9"/>
  <c r="G100" i="16" s="1"/>
  <c r="G105" i="16" s="1"/>
  <c r="S20" i="9"/>
  <c r="S21" i="9"/>
  <c r="S100" i="16" s="1"/>
  <c r="S105" i="16" s="1"/>
  <c r="L20" i="9"/>
  <c r="L21" i="9"/>
  <c r="L100" i="16" s="1"/>
  <c r="L105" i="16" s="1"/>
  <c r="T20" i="9"/>
  <c r="T21" i="9"/>
  <c r="T100" i="16" s="1"/>
  <c r="T105" i="16" s="1"/>
  <c r="E20" i="9"/>
  <c r="E21" i="9"/>
  <c r="E100" i="16" s="1"/>
  <c r="E105" i="16" s="1"/>
  <c r="R20" i="9"/>
  <c r="R21" i="9"/>
  <c r="R100" i="16" s="1"/>
  <c r="R105" i="16" s="1"/>
  <c r="I20" i="9"/>
  <c r="I21" i="9"/>
  <c r="I100" i="16" s="1"/>
  <c r="I105" i="16" s="1"/>
  <c r="O20" i="9"/>
  <c r="O21" i="9"/>
  <c r="O100" i="16" s="1"/>
  <c r="D20" i="9"/>
  <c r="D83" i="19" s="1"/>
  <c r="D21" i="9"/>
  <c r="D100" i="16" s="1"/>
  <c r="K20" i="9"/>
  <c r="K21" i="9"/>
  <c r="K100" i="16" s="1"/>
  <c r="K105" i="16" s="1"/>
  <c r="Q20" i="9"/>
  <c r="Q21" i="9"/>
  <c r="Q100" i="16" s="1"/>
  <c r="Q105" i="16" s="1"/>
  <c r="M20" i="9"/>
  <c r="M21" i="9"/>
  <c r="M100" i="16" s="1"/>
  <c r="M105" i="16" s="1"/>
  <c r="C51" i="15"/>
  <c r="C55" i="15" s="1"/>
  <c r="C86" i="19" s="1"/>
  <c r="C106" i="15"/>
  <c r="D104" i="15" s="1"/>
  <c r="C85" i="15"/>
  <c r="C83" i="15"/>
  <c r="C87" i="19" s="1"/>
  <c r="G79" i="15"/>
  <c r="G83" i="15" s="1"/>
  <c r="E79" i="15"/>
  <c r="E83" i="15" s="1"/>
  <c r="F79" i="15"/>
  <c r="F83" i="15" s="1"/>
  <c r="F57" i="16" s="1"/>
  <c r="D79" i="15"/>
  <c r="D83" i="15" s="1"/>
  <c r="U21" i="15"/>
  <c r="U25" i="15" s="1"/>
  <c r="U128" i="16" s="1"/>
  <c r="U132" i="16" s="1"/>
  <c r="F21" i="15"/>
  <c r="F25" i="15" s="1"/>
  <c r="F128" i="16" s="1"/>
  <c r="F132" i="16" s="1"/>
  <c r="C25" i="15"/>
  <c r="C85" i="19" s="1"/>
  <c r="D85" i="19" s="1"/>
  <c r="E85" i="19" s="1"/>
  <c r="I21" i="15"/>
  <c r="I25" i="15" s="1"/>
  <c r="I128" i="16" s="1"/>
  <c r="I132" i="16" s="1"/>
  <c r="L21" i="15"/>
  <c r="L25" i="15" s="1"/>
  <c r="L128" i="16" s="1"/>
  <c r="L132" i="16" s="1"/>
  <c r="M21" i="15"/>
  <c r="M25" i="15" s="1"/>
  <c r="M128" i="16" s="1"/>
  <c r="M132" i="16" s="1"/>
  <c r="D11" i="16"/>
  <c r="E11" i="16"/>
  <c r="J11" i="16"/>
  <c r="P11" i="16"/>
  <c r="J193" i="16"/>
  <c r="R193" i="16"/>
  <c r="Z193" i="16"/>
  <c r="K171" i="16"/>
  <c r="S171" i="16"/>
  <c r="K149" i="16"/>
  <c r="S149" i="16"/>
  <c r="C149" i="16"/>
  <c r="G193" i="16"/>
  <c r="P171" i="16"/>
  <c r="Q171" i="16"/>
  <c r="K193" i="16"/>
  <c r="S193" i="16"/>
  <c r="D171" i="16"/>
  <c r="L171" i="16"/>
  <c r="T171" i="16"/>
  <c r="D149" i="16"/>
  <c r="L149" i="16"/>
  <c r="T149" i="16"/>
  <c r="W193" i="16"/>
  <c r="H193" i="16"/>
  <c r="D193" i="16"/>
  <c r="L193" i="16"/>
  <c r="T193" i="16"/>
  <c r="E171" i="16"/>
  <c r="M171" i="16"/>
  <c r="U171" i="16"/>
  <c r="E149" i="16"/>
  <c r="M149" i="16"/>
  <c r="U149" i="16"/>
  <c r="O193" i="16"/>
  <c r="H149" i="16"/>
  <c r="Y171" i="16"/>
  <c r="Y149" i="16"/>
  <c r="E193" i="16"/>
  <c r="M193" i="16"/>
  <c r="U193" i="16"/>
  <c r="F171" i="16"/>
  <c r="N171" i="16"/>
  <c r="V171" i="16"/>
  <c r="F149" i="16"/>
  <c r="N149" i="16"/>
  <c r="V149" i="16"/>
  <c r="X171" i="16"/>
  <c r="X193" i="16"/>
  <c r="Q149" i="16"/>
  <c r="F193" i="16"/>
  <c r="N193" i="16"/>
  <c r="V193" i="16"/>
  <c r="G171" i="16"/>
  <c r="O171" i="16"/>
  <c r="W171" i="16"/>
  <c r="G149" i="16"/>
  <c r="O149" i="16"/>
  <c r="W149" i="16"/>
  <c r="H171" i="16"/>
  <c r="X149" i="16"/>
  <c r="I171" i="16"/>
  <c r="I193" i="16"/>
  <c r="Q193" i="16"/>
  <c r="Y193" i="16"/>
  <c r="J171" i="16"/>
  <c r="R171" i="16"/>
  <c r="Z171" i="16"/>
  <c r="J149" i="16"/>
  <c r="R149" i="16"/>
  <c r="Z149" i="16"/>
  <c r="C193" i="16"/>
  <c r="P149" i="16"/>
  <c r="P193" i="16"/>
  <c r="I149" i="16"/>
  <c r="Z11" i="16"/>
  <c r="O11" i="16"/>
  <c r="K11" i="16"/>
  <c r="R11" i="16"/>
  <c r="Q11" i="16"/>
  <c r="H11" i="16"/>
  <c r="S11" i="16"/>
  <c r="X11" i="16"/>
  <c r="T11" i="16"/>
  <c r="W11" i="16"/>
  <c r="N11" i="16"/>
  <c r="V11" i="16"/>
  <c r="I68" i="15"/>
  <c r="M67" i="15"/>
  <c r="G11" i="16"/>
  <c r="Y11" i="16"/>
  <c r="E83" i="19" l="1"/>
  <c r="F83" i="19" s="1"/>
  <c r="G83" i="19" s="1"/>
  <c r="H83" i="19" s="1"/>
  <c r="I83" i="19" s="1"/>
  <c r="J83" i="19" s="1"/>
  <c r="K83" i="19" s="1"/>
  <c r="L83" i="19" s="1"/>
  <c r="M83" i="19" s="1"/>
  <c r="N83" i="19" s="1"/>
  <c r="O83" i="19" s="1"/>
  <c r="P83" i="19" s="1"/>
  <c r="Q83" i="19" s="1"/>
  <c r="R83" i="19" s="1"/>
  <c r="S83" i="19" s="1"/>
  <c r="T83" i="19" s="1"/>
  <c r="U83" i="19" s="1"/>
  <c r="V83" i="19" s="1"/>
  <c r="W83" i="19" s="1"/>
  <c r="X83" i="19" s="1"/>
  <c r="Y83" i="19" s="1"/>
  <c r="Z83" i="19" s="1"/>
  <c r="D81" i="19"/>
  <c r="E81" i="19" s="1"/>
  <c r="F81" i="19" s="1"/>
  <c r="G81" i="19" s="1"/>
  <c r="H81" i="19" s="1"/>
  <c r="I81" i="19" s="1"/>
  <c r="J81" i="19" s="1"/>
  <c r="K81" i="19" s="1"/>
  <c r="L81" i="19" s="1"/>
  <c r="M81" i="19" s="1"/>
  <c r="N81" i="19" s="1"/>
  <c r="O81" i="19" s="1"/>
  <c r="P81" i="19" s="1"/>
  <c r="Q81" i="19" s="1"/>
  <c r="R81" i="19" s="1"/>
  <c r="S81" i="19" s="1"/>
  <c r="T81" i="19" s="1"/>
  <c r="U81" i="19" s="1"/>
  <c r="V81" i="19" s="1"/>
  <c r="W81" i="19" s="1"/>
  <c r="X81" i="19" s="1"/>
  <c r="Y81" i="19" s="1"/>
  <c r="Z81" i="19" s="1"/>
  <c r="F85" i="19"/>
  <c r="G85" i="19" s="1"/>
  <c r="H85" i="19" s="1"/>
  <c r="I85" i="19" s="1"/>
  <c r="J85" i="19" s="1"/>
  <c r="K85" i="19" s="1"/>
  <c r="L85" i="19" s="1"/>
  <c r="M85" i="19" s="1"/>
  <c r="N85" i="19" s="1"/>
  <c r="O85" i="19" s="1"/>
  <c r="P85" i="19" s="1"/>
  <c r="Q85" i="19" s="1"/>
  <c r="R85" i="19" s="1"/>
  <c r="S85" i="19" s="1"/>
  <c r="T85" i="19" s="1"/>
  <c r="U85" i="19" s="1"/>
  <c r="V85" i="19" s="1"/>
  <c r="W85" i="19" s="1"/>
  <c r="X85" i="19" s="1"/>
  <c r="Y85" i="19" s="1"/>
  <c r="Z85" i="19" s="1"/>
  <c r="D87" i="19"/>
  <c r="E87" i="19" s="1"/>
  <c r="F87" i="19" s="1"/>
  <c r="G87" i="19" s="1"/>
  <c r="H87" i="19" s="1"/>
  <c r="I87" i="19" s="1"/>
  <c r="J87" i="19" s="1"/>
  <c r="K87" i="19" s="1"/>
  <c r="L87" i="19" s="1"/>
  <c r="M87" i="19" s="1"/>
  <c r="N87" i="19" s="1"/>
  <c r="O87" i="19" s="1"/>
  <c r="P87" i="19" s="1"/>
  <c r="Q87" i="19" s="1"/>
  <c r="R87" i="19" s="1"/>
  <c r="S87" i="19" s="1"/>
  <c r="T87" i="19" s="1"/>
  <c r="U87" i="19" s="1"/>
  <c r="V87" i="19" s="1"/>
  <c r="W87" i="19" s="1"/>
  <c r="X87" i="19" s="1"/>
  <c r="Y87" i="19" s="1"/>
  <c r="Z87" i="19" s="1"/>
  <c r="C79" i="16"/>
  <c r="C88" i="19"/>
  <c r="E46" i="15"/>
  <c r="E51" i="15" s="1"/>
  <c r="E55" i="15" s="1"/>
  <c r="D46" i="15"/>
  <c r="D51" i="15" s="1"/>
  <c r="D55" i="15" s="1"/>
  <c r="D34" i="16" s="1"/>
  <c r="C223" i="16"/>
  <c r="C227" i="16" s="1"/>
  <c r="O105" i="16"/>
  <c r="C107" i="16"/>
  <c r="C114" i="16" s="1"/>
  <c r="D105" i="16"/>
  <c r="C106" i="16"/>
  <c r="C113" i="16" s="1"/>
  <c r="C134" i="16"/>
  <c r="C128" i="16"/>
  <c r="F48" i="15"/>
  <c r="G48" i="15" s="1"/>
  <c r="H48" i="15" s="1"/>
  <c r="I48" i="15" s="1"/>
  <c r="J48" i="15" s="1"/>
  <c r="K48" i="15" s="1"/>
  <c r="L48" i="15" s="1"/>
  <c r="M48" i="15" s="1"/>
  <c r="N48" i="15" s="1"/>
  <c r="O48" i="15" s="1"/>
  <c r="P48" i="15" s="1"/>
  <c r="Q48" i="15" s="1"/>
  <c r="R48" i="15" s="1"/>
  <c r="S48" i="15" s="1"/>
  <c r="T48" i="15" s="1"/>
  <c r="U48" i="15" s="1"/>
  <c r="V48" i="15" s="1"/>
  <c r="W48" i="15" s="1"/>
  <c r="X48" i="15" s="1"/>
  <c r="Y48" i="15" s="1"/>
  <c r="Z48" i="15" s="1"/>
  <c r="C23" i="9"/>
  <c r="D109" i="15"/>
  <c r="D113" i="15" s="1"/>
  <c r="C194" i="16"/>
  <c r="M11" i="16"/>
  <c r="D106" i="15"/>
  <c r="D172" i="16"/>
  <c r="D176" i="16" s="1"/>
  <c r="D57" i="16"/>
  <c r="G172" i="16"/>
  <c r="G176" i="16" s="1"/>
  <c r="G57" i="16"/>
  <c r="C172" i="16"/>
  <c r="C57" i="16"/>
  <c r="E172" i="16"/>
  <c r="E176" i="16" s="1"/>
  <c r="E57" i="16"/>
  <c r="C150" i="16"/>
  <c r="C34" i="16"/>
  <c r="F172" i="16"/>
  <c r="F176" i="16" s="1"/>
  <c r="C84" i="15"/>
  <c r="C86" i="15" s="1"/>
  <c r="F11" i="16"/>
  <c r="U11" i="16"/>
  <c r="L11" i="16"/>
  <c r="C27" i="15"/>
  <c r="I11" i="16"/>
  <c r="C26" i="15"/>
  <c r="C11" i="16"/>
  <c r="H172" i="16"/>
  <c r="H176" i="16" s="1"/>
  <c r="N67" i="15"/>
  <c r="J68" i="15"/>
  <c r="I172" i="16"/>
  <c r="I176" i="16" s="1"/>
  <c r="D150" i="16" l="1"/>
  <c r="D154" i="16" s="1"/>
  <c r="D86" i="19"/>
  <c r="E86" i="19" s="1"/>
  <c r="D88" i="19"/>
  <c r="C176" i="16"/>
  <c r="C108" i="16"/>
  <c r="C112" i="16" s="1"/>
  <c r="F46" i="15"/>
  <c r="F51" i="15" s="1"/>
  <c r="F55" i="15" s="1"/>
  <c r="F34" i="16" s="1"/>
  <c r="G46" i="15"/>
  <c r="G51" i="15" s="1"/>
  <c r="G55" i="15" s="1"/>
  <c r="H46" i="15"/>
  <c r="H51" i="15" s="1"/>
  <c r="H55" i="15" s="1"/>
  <c r="C132" i="16"/>
  <c r="C133" i="16"/>
  <c r="C135" i="16" s="1"/>
  <c r="C198" i="16"/>
  <c r="D79" i="16"/>
  <c r="D194" i="16"/>
  <c r="C154" i="16"/>
  <c r="E106" i="15"/>
  <c r="E104" i="15"/>
  <c r="E10" i="16"/>
  <c r="E15" i="16" s="1"/>
  <c r="E78" i="16"/>
  <c r="E33" i="16"/>
  <c r="E56" i="16"/>
  <c r="E61" i="16" s="1"/>
  <c r="P33" i="16"/>
  <c r="P56" i="16"/>
  <c r="P61" i="16" s="1"/>
  <c r="P10" i="16"/>
  <c r="P15" i="16" s="1"/>
  <c r="P78" i="16"/>
  <c r="O10" i="16"/>
  <c r="O15" i="16" s="1"/>
  <c r="O78" i="16"/>
  <c r="O33" i="16"/>
  <c r="O56" i="16"/>
  <c r="O61" i="16" s="1"/>
  <c r="N10" i="16"/>
  <c r="N15" i="16" s="1"/>
  <c r="N78" i="16"/>
  <c r="N33" i="16"/>
  <c r="N56" i="16"/>
  <c r="N61" i="16" s="1"/>
  <c r="D10" i="16"/>
  <c r="D15" i="16" s="1"/>
  <c r="D78" i="16"/>
  <c r="D33" i="16"/>
  <c r="D38" i="16" s="1"/>
  <c r="D56" i="16"/>
  <c r="D61" i="16" s="1"/>
  <c r="Y33" i="16"/>
  <c r="Y56" i="16"/>
  <c r="Y61" i="16" s="1"/>
  <c r="Y10" i="16"/>
  <c r="Y15" i="16" s="1"/>
  <c r="Y78" i="16"/>
  <c r="Q33" i="16"/>
  <c r="Q56" i="16"/>
  <c r="Q61" i="16" s="1"/>
  <c r="Q78" i="16"/>
  <c r="Q10" i="16"/>
  <c r="Q15" i="16" s="1"/>
  <c r="S78" i="16"/>
  <c r="S33" i="16"/>
  <c r="S56" i="16"/>
  <c r="S61" i="16" s="1"/>
  <c r="S10" i="16"/>
  <c r="S15" i="16" s="1"/>
  <c r="L10" i="16"/>
  <c r="L15" i="16" s="1"/>
  <c r="L78" i="16"/>
  <c r="L33" i="16"/>
  <c r="L56" i="16"/>
  <c r="L61" i="16" s="1"/>
  <c r="X56" i="16"/>
  <c r="X61" i="16" s="1"/>
  <c r="X33" i="16"/>
  <c r="X10" i="16"/>
  <c r="X15" i="16" s="1"/>
  <c r="X78" i="16"/>
  <c r="J78" i="16"/>
  <c r="J33" i="16"/>
  <c r="J56" i="16"/>
  <c r="J61" i="16" s="1"/>
  <c r="J10" i="16"/>
  <c r="J15" i="16" s="1"/>
  <c r="G10" i="16"/>
  <c r="G15" i="16" s="1"/>
  <c r="G78" i="16"/>
  <c r="G33" i="16"/>
  <c r="G56" i="16"/>
  <c r="G61" i="16" s="1"/>
  <c r="K78" i="16"/>
  <c r="K33" i="16"/>
  <c r="K56" i="16"/>
  <c r="K61" i="16" s="1"/>
  <c r="K10" i="16"/>
  <c r="K15" i="16" s="1"/>
  <c r="E150" i="16"/>
  <c r="E154" i="16" s="1"/>
  <c r="E34" i="16"/>
  <c r="U10" i="16"/>
  <c r="U15" i="16" s="1"/>
  <c r="U78" i="16"/>
  <c r="U33" i="16"/>
  <c r="U56" i="16"/>
  <c r="U61" i="16" s="1"/>
  <c r="T10" i="16"/>
  <c r="T15" i="16" s="1"/>
  <c r="T78" i="16"/>
  <c r="T33" i="16"/>
  <c r="T56" i="16"/>
  <c r="T61" i="16" s="1"/>
  <c r="W78" i="16"/>
  <c r="W10" i="16"/>
  <c r="W15" i="16" s="1"/>
  <c r="W33" i="16"/>
  <c r="W56" i="16"/>
  <c r="W61" i="16" s="1"/>
  <c r="F10" i="16"/>
  <c r="F15" i="16" s="1"/>
  <c r="F78" i="16"/>
  <c r="F33" i="16"/>
  <c r="F56" i="16"/>
  <c r="F61" i="16" s="1"/>
  <c r="H56" i="16"/>
  <c r="H61" i="16" s="1"/>
  <c r="H10" i="16"/>
  <c r="H15" i="16" s="1"/>
  <c r="H78" i="16"/>
  <c r="H33" i="16"/>
  <c r="V10" i="16"/>
  <c r="V15" i="16" s="1"/>
  <c r="V78" i="16"/>
  <c r="V33" i="16"/>
  <c r="V56" i="16"/>
  <c r="V61" i="16" s="1"/>
  <c r="M10" i="16"/>
  <c r="M15" i="16" s="1"/>
  <c r="M78" i="16"/>
  <c r="M33" i="16"/>
  <c r="M56" i="16"/>
  <c r="M61" i="16" s="1"/>
  <c r="Z78" i="16"/>
  <c r="Z33" i="16"/>
  <c r="Z56" i="16"/>
  <c r="Z61" i="16" s="1"/>
  <c r="Z10" i="16"/>
  <c r="Z15" i="16" s="1"/>
  <c r="C10" i="16"/>
  <c r="C78" i="16"/>
  <c r="C56" i="16"/>
  <c r="C33" i="16"/>
  <c r="I33" i="16"/>
  <c r="I56" i="16"/>
  <c r="I61" i="16" s="1"/>
  <c r="I10" i="16"/>
  <c r="I15" i="16" s="1"/>
  <c r="I78" i="16"/>
  <c r="R78" i="16"/>
  <c r="R33" i="16"/>
  <c r="R56" i="16"/>
  <c r="R61" i="16" s="1"/>
  <c r="R10" i="16"/>
  <c r="R15" i="16" s="1"/>
  <c r="C28" i="15"/>
  <c r="C141" i="16"/>
  <c r="C22" i="9"/>
  <c r="K68" i="15"/>
  <c r="O67" i="15"/>
  <c r="I46" i="15"/>
  <c r="I51" i="15" s="1"/>
  <c r="F86" i="19" l="1"/>
  <c r="G86" i="19" s="1"/>
  <c r="H86" i="19" s="1"/>
  <c r="C140" i="16"/>
  <c r="D83" i="16"/>
  <c r="C139" i="16"/>
  <c r="D198" i="16"/>
  <c r="E109" i="15"/>
  <c r="E113" i="15" s="1"/>
  <c r="E88" i="19" s="1"/>
  <c r="C15" i="16"/>
  <c r="F106" i="15"/>
  <c r="F104" i="15"/>
  <c r="H150" i="16"/>
  <c r="H154" i="16" s="1"/>
  <c r="H34" i="16"/>
  <c r="H38" i="16" s="1"/>
  <c r="G150" i="16"/>
  <c r="G154" i="16" s="1"/>
  <c r="G34" i="16"/>
  <c r="F38" i="16"/>
  <c r="C38" i="16"/>
  <c r="C61" i="16"/>
  <c r="C83" i="16"/>
  <c r="E38" i="16"/>
  <c r="I55" i="15"/>
  <c r="I34" i="16" s="1"/>
  <c r="I38" i="16" s="1"/>
  <c r="F150" i="16"/>
  <c r="F154" i="16" s="1"/>
  <c r="J172" i="16"/>
  <c r="L68" i="15"/>
  <c r="P67" i="15"/>
  <c r="J46" i="15"/>
  <c r="J51" i="15" s="1"/>
  <c r="C24" i="9"/>
  <c r="C17" i="16"/>
  <c r="C24" i="16" s="1"/>
  <c r="C16" i="16"/>
  <c r="I86" i="19" l="1"/>
  <c r="E194" i="16"/>
  <c r="E79" i="16"/>
  <c r="F109" i="15"/>
  <c r="F113" i="15" s="1"/>
  <c r="F88" i="19" s="1"/>
  <c r="G38" i="16"/>
  <c r="G106" i="15"/>
  <c r="G104" i="15"/>
  <c r="J55" i="15"/>
  <c r="I150" i="16"/>
  <c r="I154" i="16" s="1"/>
  <c r="C18" i="16"/>
  <c r="C22" i="16" s="1"/>
  <c r="K172" i="16"/>
  <c r="K176" i="16" s="1"/>
  <c r="J176" i="16"/>
  <c r="M68" i="15"/>
  <c r="Q67" i="15"/>
  <c r="K46" i="15"/>
  <c r="K51" i="15" s="1"/>
  <c r="C23" i="16"/>
  <c r="J86" i="19" l="1"/>
  <c r="E198" i="16"/>
  <c r="E83" i="16"/>
  <c r="F194" i="16"/>
  <c r="F198" i="16" s="1"/>
  <c r="F79" i="16"/>
  <c r="F83" i="16" s="1"/>
  <c r="G109" i="15"/>
  <c r="G113" i="15" s="1"/>
  <c r="G88" i="19" s="1"/>
  <c r="H106" i="15"/>
  <c r="H104" i="15"/>
  <c r="J150" i="16"/>
  <c r="J154" i="16" s="1"/>
  <c r="J34" i="16"/>
  <c r="K55" i="15"/>
  <c r="L172" i="16"/>
  <c r="N68" i="15"/>
  <c r="M172" i="16"/>
  <c r="M176" i="16" s="1"/>
  <c r="R67" i="15"/>
  <c r="L46" i="15"/>
  <c r="L51" i="15" s="1"/>
  <c r="K86" i="19" l="1"/>
  <c r="G79" i="16"/>
  <c r="G83" i="16" s="1"/>
  <c r="G194" i="16"/>
  <c r="G198" i="16" s="1"/>
  <c r="H109" i="15"/>
  <c r="H113" i="15" s="1"/>
  <c r="H88" i="19" s="1"/>
  <c r="I106" i="15"/>
  <c r="I104" i="15"/>
  <c r="K150" i="16"/>
  <c r="K34" i="16"/>
  <c r="K38" i="16" s="1"/>
  <c r="J38" i="16"/>
  <c r="L55" i="15"/>
  <c r="L176" i="16"/>
  <c r="S67" i="15"/>
  <c r="O68" i="15"/>
  <c r="M46" i="15"/>
  <c r="M51" i="15" s="1"/>
  <c r="L86" i="19" l="1"/>
  <c r="H79" i="16"/>
  <c r="H83" i="16" s="1"/>
  <c r="H194" i="16"/>
  <c r="H198" i="16" s="1"/>
  <c r="I109" i="15"/>
  <c r="I113" i="15" s="1"/>
  <c r="I88" i="19" s="1"/>
  <c r="K154" i="16"/>
  <c r="J106" i="15"/>
  <c r="J104" i="15"/>
  <c r="L150" i="16"/>
  <c r="L154" i="16" s="1"/>
  <c r="L34" i="16"/>
  <c r="L38" i="16" s="1"/>
  <c r="M55" i="15"/>
  <c r="N172" i="16"/>
  <c r="P68" i="15"/>
  <c r="O172" i="16"/>
  <c r="T67" i="15"/>
  <c r="N46" i="15"/>
  <c r="N51" i="15" s="1"/>
  <c r="M86" i="19" l="1"/>
  <c r="I79" i="16"/>
  <c r="I83" i="16" s="1"/>
  <c r="I194" i="16"/>
  <c r="I198" i="16" s="1"/>
  <c r="J109" i="15"/>
  <c r="J113" i="15" s="1"/>
  <c r="J88" i="19" s="1"/>
  <c r="K106" i="15"/>
  <c r="K104" i="15"/>
  <c r="M150" i="16"/>
  <c r="M34" i="16"/>
  <c r="M38" i="16" s="1"/>
  <c r="N55" i="15"/>
  <c r="C62" i="16"/>
  <c r="C69" i="16" s="1"/>
  <c r="N176" i="16"/>
  <c r="C177" i="16"/>
  <c r="C184" i="16" s="1"/>
  <c r="O176" i="16"/>
  <c r="Q68" i="15"/>
  <c r="U67" i="15"/>
  <c r="O46" i="15"/>
  <c r="O51" i="15" s="1"/>
  <c r="N86" i="19" l="1"/>
  <c r="J79" i="16"/>
  <c r="J83" i="16" s="1"/>
  <c r="J194" i="16"/>
  <c r="J198" i="16" s="1"/>
  <c r="K109" i="15"/>
  <c r="K113" i="15" s="1"/>
  <c r="K88" i="19" s="1"/>
  <c r="L106" i="15"/>
  <c r="L104" i="15"/>
  <c r="M154" i="16"/>
  <c r="C56" i="15"/>
  <c r="N34" i="16"/>
  <c r="N38" i="16" s="1"/>
  <c r="N150" i="16"/>
  <c r="O55" i="15"/>
  <c r="O34" i="16" s="1"/>
  <c r="O38" i="16" s="1"/>
  <c r="P172" i="16"/>
  <c r="V67" i="15"/>
  <c r="R68" i="15"/>
  <c r="P46" i="15"/>
  <c r="P51" i="15" s="1"/>
  <c r="O86" i="19" l="1"/>
  <c r="K79" i="16"/>
  <c r="K83" i="16" s="1"/>
  <c r="K194" i="16"/>
  <c r="K198" i="16" s="1"/>
  <c r="L109" i="15"/>
  <c r="L113" i="15" s="1"/>
  <c r="L88" i="19" s="1"/>
  <c r="M106" i="15"/>
  <c r="M104" i="15"/>
  <c r="C39" i="16"/>
  <c r="C46" i="16" s="1"/>
  <c r="P55" i="15"/>
  <c r="O150" i="16"/>
  <c r="O154" i="16" s="1"/>
  <c r="C155" i="16"/>
  <c r="C162" i="16" s="1"/>
  <c r="N154" i="16"/>
  <c r="Q172" i="16"/>
  <c r="Q176" i="16" s="1"/>
  <c r="P176" i="16"/>
  <c r="S68" i="15"/>
  <c r="R172" i="16"/>
  <c r="R176" i="16" s="1"/>
  <c r="W67" i="15"/>
  <c r="Q46" i="15"/>
  <c r="Q51" i="15" s="1"/>
  <c r="P86" i="19" l="1"/>
  <c r="L194" i="16"/>
  <c r="L79" i="16"/>
  <c r="L83" i="16" s="1"/>
  <c r="M109" i="15"/>
  <c r="M113" i="15" s="1"/>
  <c r="M88" i="19" s="1"/>
  <c r="N106" i="15"/>
  <c r="N104" i="15"/>
  <c r="P150" i="16"/>
  <c r="P154" i="16" s="1"/>
  <c r="P34" i="16"/>
  <c r="P38" i="16" s="1"/>
  <c r="Q55" i="15"/>
  <c r="X67" i="15"/>
  <c r="T68" i="15"/>
  <c r="R46" i="15"/>
  <c r="R51" i="15" s="1"/>
  <c r="Q86" i="19" l="1"/>
  <c r="L198" i="16"/>
  <c r="M79" i="16"/>
  <c r="M83" i="16" s="1"/>
  <c r="M194" i="16"/>
  <c r="M198" i="16" s="1"/>
  <c r="N109" i="15"/>
  <c r="N113" i="15" s="1"/>
  <c r="N88" i="19" s="1"/>
  <c r="O106" i="15"/>
  <c r="O104" i="15"/>
  <c r="Q150" i="16"/>
  <c r="Q34" i="16"/>
  <c r="Q38" i="16" s="1"/>
  <c r="R55" i="15"/>
  <c r="R34" i="16" s="1"/>
  <c r="R38" i="16" s="1"/>
  <c r="S172" i="16"/>
  <c r="U68" i="15"/>
  <c r="Y67" i="15"/>
  <c r="S46" i="15"/>
  <c r="S51" i="15" s="1"/>
  <c r="R86" i="19" l="1"/>
  <c r="N194" i="16"/>
  <c r="N79" i="16"/>
  <c r="N83" i="16" s="1"/>
  <c r="C114" i="15"/>
  <c r="O109" i="15"/>
  <c r="O113" i="15" s="1"/>
  <c r="O88" i="19" s="1"/>
  <c r="Q154" i="16"/>
  <c r="P106" i="15"/>
  <c r="P104" i="15"/>
  <c r="R150" i="16"/>
  <c r="S55" i="15"/>
  <c r="S34" i="16" s="1"/>
  <c r="S38" i="16" s="1"/>
  <c r="S176" i="16"/>
  <c r="T172" i="16"/>
  <c r="T176" i="16" s="1"/>
  <c r="V68" i="15"/>
  <c r="Z67" i="15"/>
  <c r="T46" i="15"/>
  <c r="T51" i="15" s="1"/>
  <c r="S86" i="19" l="1"/>
  <c r="C84" i="16"/>
  <c r="C91" i="16" s="1"/>
  <c r="C199" i="16"/>
  <c r="C206" i="16" s="1"/>
  <c r="N198" i="16"/>
  <c r="O194" i="16"/>
  <c r="O198" i="16" s="1"/>
  <c r="O79" i="16"/>
  <c r="O83" i="16" s="1"/>
  <c r="P109" i="15"/>
  <c r="P113" i="15" s="1"/>
  <c r="P88" i="19" s="1"/>
  <c r="Q106" i="15"/>
  <c r="Q104" i="15"/>
  <c r="S150" i="16"/>
  <c r="S154" i="16" s="1"/>
  <c r="T55" i="15"/>
  <c r="R154" i="16"/>
  <c r="U172" i="16"/>
  <c r="W68" i="15"/>
  <c r="U46" i="15"/>
  <c r="U51" i="15" s="1"/>
  <c r="T86" i="19" l="1"/>
  <c r="P79" i="16"/>
  <c r="P83" i="16" s="1"/>
  <c r="P194" i="16"/>
  <c r="P198" i="16" s="1"/>
  <c r="Q109" i="15"/>
  <c r="Q113" i="15" s="1"/>
  <c r="Q88" i="19" s="1"/>
  <c r="R106" i="15"/>
  <c r="R104" i="15"/>
  <c r="T150" i="16"/>
  <c r="T154" i="16" s="1"/>
  <c r="T34" i="16"/>
  <c r="T38" i="16" s="1"/>
  <c r="U55" i="15"/>
  <c r="V172" i="16"/>
  <c r="V176" i="16" s="1"/>
  <c r="U176" i="16"/>
  <c r="X68" i="15"/>
  <c r="V46" i="15"/>
  <c r="V51" i="15" s="1"/>
  <c r="U86" i="19" l="1"/>
  <c r="Q79" i="16"/>
  <c r="Q83" i="16" s="1"/>
  <c r="Q194" i="16"/>
  <c r="Q198" i="16" s="1"/>
  <c r="R109" i="15"/>
  <c r="R113" i="15" s="1"/>
  <c r="R88" i="19" s="1"/>
  <c r="S106" i="15"/>
  <c r="S104" i="15"/>
  <c r="U150" i="16"/>
  <c r="U154" i="16" s="1"/>
  <c r="U34" i="16"/>
  <c r="U38" i="16" s="1"/>
  <c r="V55" i="15"/>
  <c r="V34" i="16" s="1"/>
  <c r="V38" i="16" s="1"/>
  <c r="W172" i="16"/>
  <c r="W176" i="16" s="1"/>
  <c r="Y68" i="15"/>
  <c r="W46" i="15"/>
  <c r="W51" i="15" s="1"/>
  <c r="V86" i="19" l="1"/>
  <c r="R194" i="16"/>
  <c r="R198" i="16" s="1"/>
  <c r="R79" i="16"/>
  <c r="R83" i="16" s="1"/>
  <c r="S109" i="15"/>
  <c r="S113" i="15" s="1"/>
  <c r="S88" i="19" s="1"/>
  <c r="T106" i="15"/>
  <c r="T104" i="15"/>
  <c r="V150" i="16"/>
  <c r="V154" i="16" s="1"/>
  <c r="W55" i="15"/>
  <c r="X172" i="16"/>
  <c r="X176" i="16" s="1"/>
  <c r="Z68" i="15"/>
  <c r="Z172" i="16" s="1"/>
  <c r="X46" i="15"/>
  <c r="X51" i="15" s="1"/>
  <c r="W86" i="19" l="1"/>
  <c r="S79" i="16"/>
  <c r="S83" i="16" s="1"/>
  <c r="S194" i="16"/>
  <c r="S198" i="16" s="1"/>
  <c r="T109" i="15"/>
  <c r="T113" i="15" s="1"/>
  <c r="T88" i="19" s="1"/>
  <c r="U106" i="15"/>
  <c r="U104" i="15"/>
  <c r="W150" i="16"/>
  <c r="W154" i="16" s="1"/>
  <c r="W34" i="16"/>
  <c r="W38" i="16" s="1"/>
  <c r="X55" i="15"/>
  <c r="Y172" i="16"/>
  <c r="Y176" i="16" s="1"/>
  <c r="Z176" i="16"/>
  <c r="Y46" i="15"/>
  <c r="Y51" i="15" s="1"/>
  <c r="X86" i="19" l="1"/>
  <c r="T79" i="16"/>
  <c r="T83" i="16" s="1"/>
  <c r="T194" i="16"/>
  <c r="T198" i="16" s="1"/>
  <c r="U109" i="15"/>
  <c r="U113" i="15" s="1"/>
  <c r="U88" i="19" s="1"/>
  <c r="V106" i="15"/>
  <c r="V104" i="15"/>
  <c r="X150" i="16"/>
  <c r="X154" i="16" s="1"/>
  <c r="X34" i="16"/>
  <c r="X38" i="16" s="1"/>
  <c r="Y55" i="15"/>
  <c r="C178" i="16"/>
  <c r="C179" i="16" s="1"/>
  <c r="C183" i="16" s="1"/>
  <c r="C63" i="16"/>
  <c r="C70" i="16" s="1"/>
  <c r="Z46" i="15"/>
  <c r="Z51" i="15" s="1"/>
  <c r="Y86" i="19" l="1"/>
  <c r="U79" i="16"/>
  <c r="U83" i="16" s="1"/>
  <c r="U194" i="16"/>
  <c r="U198" i="16" s="1"/>
  <c r="V109" i="15"/>
  <c r="V113" i="15" s="1"/>
  <c r="V88" i="19" s="1"/>
  <c r="W106" i="15"/>
  <c r="W104" i="15"/>
  <c r="Y150" i="16"/>
  <c r="Y34" i="16"/>
  <c r="Y38" i="16" s="1"/>
  <c r="Z55" i="15"/>
  <c r="C185" i="16"/>
  <c r="C64" i="16"/>
  <c r="C68" i="16" s="1"/>
  <c r="Z86" i="19" l="1"/>
  <c r="V79" i="16"/>
  <c r="V83" i="16" s="1"/>
  <c r="V194" i="16"/>
  <c r="V198" i="16" s="1"/>
  <c r="W109" i="15"/>
  <c r="W113" i="15" s="1"/>
  <c r="W88" i="19" s="1"/>
  <c r="X106" i="15"/>
  <c r="X104" i="15"/>
  <c r="Y154" i="16"/>
  <c r="C57" i="15"/>
  <c r="C58" i="15" s="1"/>
  <c r="Z34" i="16"/>
  <c r="Z38" i="16" s="1"/>
  <c r="Z150" i="16"/>
  <c r="C156" i="16" s="1"/>
  <c r="W79" i="16" l="1"/>
  <c r="W83" i="16" s="1"/>
  <c r="W194" i="16"/>
  <c r="W198" i="16" s="1"/>
  <c r="X109" i="15"/>
  <c r="X113" i="15" s="1"/>
  <c r="X88" i="19" s="1"/>
  <c r="Y106" i="15"/>
  <c r="Y104" i="15"/>
  <c r="Z154" i="16"/>
  <c r="C163" i="16"/>
  <c r="C157" i="16"/>
  <c r="C161" i="16" s="1"/>
  <c r="C40" i="16"/>
  <c r="X79" i="16" l="1"/>
  <c r="X83" i="16" s="1"/>
  <c r="X194" i="16"/>
  <c r="X198" i="16" s="1"/>
  <c r="Y109" i="15"/>
  <c r="Y113" i="15" s="1"/>
  <c r="Y88" i="19" s="1"/>
  <c r="Z106" i="15"/>
  <c r="Z104" i="15"/>
  <c r="C47" i="16"/>
  <c r="C41" i="16"/>
  <c r="C45" i="16" s="1"/>
  <c r="Y79" i="16" l="1"/>
  <c r="Y194" i="16"/>
  <c r="Y198" i="16" s="1"/>
  <c r="Z109" i="15"/>
  <c r="Z113" i="15" s="1"/>
  <c r="Z88" i="19" s="1"/>
  <c r="Y83" i="16" l="1"/>
  <c r="C115" i="15"/>
  <c r="C116" i="15" s="1"/>
  <c r="Z79" i="16"/>
  <c r="Z83" i="16" s="1"/>
  <c r="Z194" i="16"/>
  <c r="Z198" i="16" s="1"/>
  <c r="C200" i="16" l="1"/>
  <c r="C207" i="16" s="1"/>
  <c r="C85" i="16"/>
  <c r="C92" i="16" s="1"/>
  <c r="C201" i="16" l="1"/>
  <c r="C205" i="16" s="1"/>
  <c r="C86" i="16"/>
  <c r="C90" i="16" s="1"/>
</calcChain>
</file>

<file path=xl/sharedStrings.xml><?xml version="1.0" encoding="utf-8"?>
<sst xmlns="http://schemas.openxmlformats.org/spreadsheetml/2006/main" count="293" uniqueCount="121">
  <si>
    <t>Wert</t>
  </si>
  <si>
    <t>Anzahl der Zerspanungsapparate</t>
  </si>
  <si>
    <t>Hardwarekosten pro Kamera</t>
  </si>
  <si>
    <t>Anzahl Zerspanungswerkzeuge welche Abnutzungskontrollen unterstehen</t>
  </si>
  <si>
    <t>Implementierungskosten für Software</t>
  </si>
  <si>
    <t xml:space="preserve">Monate für Bestimmung von Einmalzahlung </t>
  </si>
  <si>
    <t xml:space="preserve">Durchschnittlicher Verschleiss eines Zerspanungswerkzeugs vor Entsorgung </t>
  </si>
  <si>
    <t xml:space="preserve">Kameraleasinglaufzeit in Monaten </t>
  </si>
  <si>
    <t xml:space="preserve">Leasingzins in Prozent </t>
  </si>
  <si>
    <t xml:space="preserve">Lizenzgebühr an Frauenhofer in Prozent </t>
  </si>
  <si>
    <t>Totale Kosten pro Monat exkl. Lohnkosten</t>
  </si>
  <si>
    <t>Totale Kosten pro Monat</t>
  </si>
  <si>
    <t xml:space="preserve">Totale Kosten pro Jahr (1. Jahr) </t>
  </si>
  <si>
    <t xml:space="preserve">Totale Kosten pro Jahr (2.Jahr) </t>
  </si>
  <si>
    <t xml:space="preserve">Einmalkosten </t>
  </si>
  <si>
    <t xml:space="preserve">Beschaffung Hardware Total </t>
  </si>
  <si>
    <t xml:space="preserve">Umstellungskosten </t>
  </si>
  <si>
    <t>Implementierung Software</t>
  </si>
  <si>
    <t>Wiederkehrende Kosten</t>
  </si>
  <si>
    <t>Lizenzgebühren an Frauenhofer</t>
  </si>
  <si>
    <t>Preis für Softwareabo</t>
  </si>
  <si>
    <t>Monatlicher Abzahlungsbetrag des Leasings ohne Leasingzinsen</t>
  </si>
  <si>
    <t>Ausstehender Leasingbetrag am Monatsende</t>
  </si>
  <si>
    <t xml:space="preserve">Totale Kosten pro Monat </t>
  </si>
  <si>
    <t xml:space="preserve">Preis für Einmalzahlung </t>
  </si>
  <si>
    <t>Einsparungen inklusive Lohnkosten</t>
  </si>
  <si>
    <t>Totale Kosten pro Monat ohne TD</t>
  </si>
  <si>
    <t>Totale Kosten pro Monat mit TD</t>
  </si>
  <si>
    <t xml:space="preserve">Einsparungen pro Monat mit TD </t>
  </si>
  <si>
    <t xml:space="preserve">Einsparungen mit TD im 1. Jahr </t>
  </si>
  <si>
    <t xml:space="preserve">Einsparungen mit TD im 2. Jahr </t>
  </si>
  <si>
    <t>Einsparungen mit TD nach 24 Monaten ¨</t>
  </si>
  <si>
    <t>ROI mit TD nach 24 Monaten</t>
  </si>
  <si>
    <t>ROI mit TD im 1. Jahr</t>
  </si>
  <si>
    <t xml:space="preserve">ROI mit TD im 2. Jahr </t>
  </si>
  <si>
    <t>Einsparungen pro Monat mit TD</t>
  </si>
  <si>
    <t xml:space="preserve">Einsparungen mit TD nach 24 Monaten </t>
  </si>
  <si>
    <t xml:space="preserve">ROI mit TD nach 24 Monaten </t>
  </si>
  <si>
    <t xml:space="preserve">ROI mit TD im 1. Jahr </t>
  </si>
  <si>
    <t xml:space="preserve">Totale Kosten pro Monat mit TD </t>
  </si>
  <si>
    <t>Einsparungen exklusive Lohnkosten</t>
  </si>
  <si>
    <t>Totale Kosten pro Monat ohne TD exkl. Lohnkosten</t>
  </si>
  <si>
    <t xml:space="preserve">Business Case Tool Detective </t>
  </si>
  <si>
    <t xml:space="preserve">Ziel </t>
  </si>
  <si>
    <t>Methodik</t>
  </si>
  <si>
    <t>Vorgehensweise</t>
  </si>
  <si>
    <t xml:space="preserve">1. Definition von Inputfaktoren zu individuellen Kosten für Zerspanungswerkzeuge &amp; Produktion und Daten zu Softwarelösung von Tool Detective </t>
  </si>
  <si>
    <t xml:space="preserve">2. Berechnung von Kosten für Zerspanungswerkzeuge ohne die Nutzung von Tool Detective über 24 Monate durch Inputfaktoren (1x mit Lohnkosten; 1x ohne Lohnkosten) </t>
  </si>
  <si>
    <t xml:space="preserve">2. Nach der Fertigstellung von Schritt 1 berechnet das Modell alle Kosten und Einpsarungen selbst </t>
  </si>
  <si>
    <t>Inputfaktoren</t>
  </si>
  <si>
    <t>Kosten ohne die Nutzung von Tool Detective</t>
  </si>
  <si>
    <t xml:space="preserve">   Kosten für die Nutzung von Tool Detective </t>
  </si>
  <si>
    <t>Lohnkosten</t>
  </si>
  <si>
    <t>Restliche Kosten</t>
  </si>
  <si>
    <t>Totale Kosten</t>
  </si>
  <si>
    <t>Kostenaufstellung</t>
  </si>
  <si>
    <t>Szenario 1: Abomodell für Software von Tool Detective mit Kameraeinkauf</t>
  </si>
  <si>
    <t>Total wiederkehrende Kosten</t>
  </si>
  <si>
    <t>Totale Einmalkosten</t>
  </si>
  <si>
    <t>Szenario 3:  Einmalzahlung für Software von Tool Detective mit Kameraeinkauf</t>
  </si>
  <si>
    <t>Totale Wiederkehrende Kosten</t>
  </si>
  <si>
    <t>Einmalkosten total</t>
  </si>
  <si>
    <t>Totale wiederkehrende Kosten</t>
  </si>
  <si>
    <t>Totale  Kosten</t>
  </si>
  <si>
    <t>Alle Kosten werden in CHF angegeben</t>
  </si>
  <si>
    <t>Kosten</t>
  </si>
  <si>
    <t>Einsparungen</t>
  </si>
  <si>
    <t>ROI</t>
  </si>
  <si>
    <t>Alle Zahlen in CHF falls nicht angegeben</t>
  </si>
  <si>
    <t>Stückzahlen</t>
  </si>
  <si>
    <t>Monetäre Beträge</t>
  </si>
  <si>
    <t>Prozentangaben</t>
  </si>
  <si>
    <t>Zeitangaben in Monaten</t>
  </si>
  <si>
    <t>Szenario 5: Abomodell für Software von Tool Detective ohne Kameraaufwand</t>
  </si>
  <si>
    <t>Stundenlohn pro Mitarbeiter</t>
  </si>
  <si>
    <r>
      <t xml:space="preserve">Stundenaufwand </t>
    </r>
    <r>
      <rPr>
        <sz val="11"/>
        <color rgb="FFFF0000"/>
        <rFont val="Trebuchet MS"/>
        <family val="2"/>
      </rPr>
      <t>pro Monat und Zerspanungswerkzeug</t>
    </r>
    <r>
      <rPr>
        <sz val="11"/>
        <color theme="1"/>
        <rFont val="Trebuchet MS"/>
        <family val="2"/>
      </rPr>
      <t xml:space="preserve"> für manuelle Werkzeugkontrolle </t>
    </r>
  </si>
  <si>
    <r>
      <t xml:space="preserve">Stundenaufwand </t>
    </r>
    <r>
      <rPr>
        <sz val="11"/>
        <color rgb="FFFF0000"/>
        <rFont val="Trebuchet MS"/>
        <family val="2"/>
      </rPr>
      <t>pro Monat und Zerspanungswerkzeug</t>
    </r>
    <r>
      <rPr>
        <sz val="11"/>
        <color theme="1"/>
        <rFont val="Trebuchet MS"/>
        <family val="2"/>
      </rPr>
      <t xml:space="preserve"> für die Werkzeugqualifizierung von Zerspanungswerkzeugen</t>
    </r>
    <r>
      <rPr>
        <sz val="11"/>
        <color rgb="FFFF0000"/>
        <rFont val="Trebuchet MS"/>
        <family val="2"/>
      </rPr>
      <t xml:space="preserve"> </t>
    </r>
  </si>
  <si>
    <t xml:space="preserve">3. Berechnung von Kosten für Zerspanungswerkzeuge mit der Nutzung von Tool Detective über 24 Monate (inkl. 5 Preismodelle für Tool Detective) durch Inputfaktoren </t>
  </si>
  <si>
    <t xml:space="preserve">4. Berechnung von Einsparungen mit der Nutzung von Tool Detective im Vergleich zum Fall ohne die Nutzung von Tool Detective über 2 Jahre (inkl. 5 Preismodelle für Tool Detective) </t>
  </si>
  <si>
    <t xml:space="preserve">5. Graphische Darstellung der Lösung (1x mit Lohnkosten; 1x ohne Lohnkosten; inkl. 5 Preismodelle für Tool Detective) </t>
  </si>
  <si>
    <t xml:space="preserve">Wert </t>
  </si>
  <si>
    <t xml:space="preserve">Kosten durch zu geringe Abnutzung von Zerspanungswerkzeugen </t>
  </si>
  <si>
    <r>
      <t xml:space="preserve">Materialaufwand für Zerspanungswerkzeuge </t>
    </r>
    <r>
      <rPr>
        <sz val="11"/>
        <color rgb="FFFF0000"/>
        <rFont val="Trebuchet MS"/>
        <family val="2"/>
      </rPr>
      <t>pro Jahr</t>
    </r>
  </si>
  <si>
    <r>
      <t>Grundpreis Abo</t>
    </r>
    <r>
      <rPr>
        <sz val="12"/>
        <color rgb="FFFF0000"/>
        <rFont val="Calibri (Textkörper)"/>
      </rPr>
      <t xml:space="preserve"> pro Monat </t>
    </r>
  </si>
  <si>
    <r>
      <t xml:space="preserve">Preisaufschlag Abo </t>
    </r>
    <r>
      <rPr>
        <sz val="12"/>
        <color rgb="FFFF0000"/>
        <rFont val="Calibri (Textkörper)"/>
      </rPr>
      <t xml:space="preserve">pro Zerspanungsapparat </t>
    </r>
  </si>
  <si>
    <r>
      <t xml:space="preserve">Umstellungskosten </t>
    </r>
    <r>
      <rPr>
        <sz val="12"/>
        <color rgb="FFFF0000"/>
        <rFont val="Calibri (Textkörper)"/>
      </rPr>
      <t xml:space="preserve">pro Zerspanungsapparat </t>
    </r>
  </si>
  <si>
    <t xml:space="preserve">Kosten von Ausschussteilen durch abgenutzte Zerspanungswerkzeuge </t>
  </si>
  <si>
    <t xml:space="preserve">Szenario 2: Abomodell für Software von Tool Detective mit Kameraleasing  </t>
  </si>
  <si>
    <t>Kosten durch zu geringe Abnutzung von Zerspanungswerkzeugen</t>
  </si>
  <si>
    <t xml:space="preserve">Szenario 4: Einmalzahlung für Software von Tooldetective mit Kameraleasing  </t>
  </si>
  <si>
    <t xml:space="preserve">Szenario 2: Abomodell für Software von Tool Detective mit Kameraleasing    </t>
  </si>
  <si>
    <t xml:space="preserve">Szenario 2: Abomodell für Software von Tool Detective mit Kameraleasing </t>
  </si>
  <si>
    <t xml:space="preserve">Szenario 4: Einmalzahlung für Software von Tooldetective mit Kameraabo </t>
  </si>
  <si>
    <t xml:space="preserve">Szenario 2: Abomodell für Software von Tool Detective mit Kameraabo   </t>
  </si>
  <si>
    <t>Kosten ohne Tool Detective exklusive Lohnkosten</t>
  </si>
  <si>
    <t>Kosten ohne Tool Detective inklusive Lohnkosten</t>
  </si>
  <si>
    <t>Monat</t>
  </si>
  <si>
    <t>Berechnung zur grafischen Darstellung</t>
  </si>
  <si>
    <t>Grafische Darstellung der Kosten aller Szenarien gegenüber der Kosten ohne Tool Detective</t>
  </si>
  <si>
    <t xml:space="preserve">Modellierung von Einsparungen im Bereich von Zerspanungswerkzeugen durch die Nutzung einer Softwarelösung von Tool Detective </t>
  </si>
  <si>
    <t xml:space="preserve">6. Im Szenariomanager der Inputfaktoren befinden sich 3 Szenarios für unterschiedliche Unternehmensgrössen. Zusätzlich stehen basierend auf dem Werkzeugverschleis mit Tool Detective 3 unterschiedliche Sicherheitsmargen zur Auswahl welche die Einsparung mit Tool Detective beinflussen   </t>
  </si>
  <si>
    <r>
      <t xml:space="preserve">1. Man muss alle in </t>
    </r>
    <r>
      <rPr>
        <sz val="11"/>
        <color theme="4"/>
        <rFont val="Trebuchet MS"/>
        <family val="2"/>
      </rPr>
      <t>blau</t>
    </r>
    <r>
      <rPr>
        <sz val="11"/>
        <color theme="1"/>
        <rFont val="Trebuchet MS"/>
        <family val="2"/>
      </rPr>
      <t xml:space="preserve"> geschriebenen Zahlen im Blatt "Inputfaktoren" definieren (10 Inputfaktoren) </t>
    </r>
  </si>
  <si>
    <t>Durchschnittlicher Verschleiss eines Zerspanungswerkzeugs vor Entsorgung</t>
  </si>
  <si>
    <t>Durchschnittliche Preissteigerung für Material in Zerspanungswerkzeugen (2022 - 2024E)</t>
  </si>
  <si>
    <t>Lohnkosten für manuelle Werkzeugkontrolle aller Zerspanungswerkzeuge</t>
  </si>
  <si>
    <t>Lohnkosten für die Werkzeugqualifizierung aller Zerspanungswerkzeuge</t>
  </si>
  <si>
    <r>
      <t xml:space="preserve">Stundenaufwand </t>
    </r>
    <r>
      <rPr>
        <sz val="11"/>
        <color rgb="FFFF0000"/>
        <rFont val="Trebuchet MS"/>
        <family val="2"/>
      </rPr>
      <t>pro Monat und Zerspanungsapparat</t>
    </r>
    <r>
      <rPr>
        <sz val="11"/>
        <color theme="1"/>
        <rFont val="Trebuchet MS"/>
        <family val="2"/>
      </rPr>
      <t xml:space="preserve"> für Nacharbeit von Produktionserzeugnissen, </t>
    </r>
    <r>
      <rPr>
        <sz val="11"/>
        <color rgb="FFFF0000"/>
        <rFont val="Trebuchet MS"/>
        <family val="2"/>
      </rPr>
      <t>die aufgrund von abgenutzten Zerspanungswerkzeugen</t>
    </r>
    <r>
      <rPr>
        <sz val="11"/>
        <color theme="1"/>
        <rFont val="Trebuchet MS"/>
        <family val="2"/>
      </rPr>
      <t xml:space="preserve"> </t>
    </r>
    <r>
      <rPr>
        <sz val="11"/>
        <rFont val="Trebuchet MS"/>
        <family val="2"/>
      </rPr>
      <t>entstehen</t>
    </r>
  </si>
  <si>
    <t>Lohnkosten für Nacharbeit von allen Produktionserzeugnissen, die aufgrund von abgenutzten Zerspanungswerkzeugen entstehen</t>
  </si>
  <si>
    <r>
      <t xml:space="preserve">Kosten von Ausschussteilen </t>
    </r>
    <r>
      <rPr>
        <sz val="11"/>
        <color rgb="FFFF0000"/>
        <rFont val="Trebuchet MS"/>
        <family val="2"/>
      </rPr>
      <t>durch</t>
    </r>
    <r>
      <rPr>
        <sz val="11"/>
        <color theme="1"/>
        <rFont val="Trebuchet MS"/>
        <family val="2"/>
      </rPr>
      <t xml:space="preserve"> </t>
    </r>
    <r>
      <rPr>
        <sz val="11"/>
        <color rgb="FFFF0000"/>
        <rFont val="Trebuchet MS"/>
        <family val="2"/>
      </rPr>
      <t>abgenutzte</t>
    </r>
    <r>
      <rPr>
        <sz val="11"/>
        <color theme="1"/>
        <rFont val="Trebuchet MS"/>
        <family val="2"/>
      </rPr>
      <t xml:space="preserve"> </t>
    </r>
    <r>
      <rPr>
        <sz val="11"/>
        <color rgb="FFFF0000"/>
        <rFont val="Trebuchet MS"/>
        <family val="2"/>
      </rPr>
      <t>Zerspanungswerkzeuge</t>
    </r>
    <r>
      <rPr>
        <sz val="11"/>
        <color theme="1"/>
        <rFont val="Trebuchet MS"/>
        <family val="2"/>
      </rPr>
      <t xml:space="preserve"> </t>
    </r>
    <r>
      <rPr>
        <sz val="11"/>
        <color rgb="FFFF0000"/>
        <rFont val="Trebuchet MS"/>
        <family val="2"/>
      </rPr>
      <t>pro Monat</t>
    </r>
  </si>
  <si>
    <t xml:space="preserve">Leasingzinsen ohne Abzahlungsbetrag des Leasingdarlehens </t>
  </si>
  <si>
    <t>Inputs potenzieller Kunden</t>
  </si>
  <si>
    <t>Inputs Tool Detective</t>
  </si>
  <si>
    <t>Zeitangaben in Stunden pro Monat</t>
  </si>
  <si>
    <t xml:space="preserve">Prozentangaben </t>
  </si>
  <si>
    <t xml:space="preserve">Totale Kosten in 2 Jahren  </t>
  </si>
  <si>
    <t xml:space="preserve">Totale Kosten pro Jahr (2. Jahr)  </t>
  </si>
  <si>
    <t xml:space="preserve">Totale Kosten in 2 Jahren </t>
  </si>
  <si>
    <t xml:space="preserve">Totale Kosten pro Jahr (2. Jahr) </t>
  </si>
  <si>
    <t xml:space="preserve">Totale Kosten pro Jahr (1. Jahr)  </t>
  </si>
  <si>
    <t xml:space="preserve">Einsparungen mit TD pro Jahr (1. Jahr)  </t>
  </si>
  <si>
    <t xml:space="preserve">Einsparungen mit TD pro Jahr (2. Jahr)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</si>
</sst>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 * #,##0.00_ ;_ * \-#,##0.00_ ;_ * &quot;-&quot;??_ ;_ @_ "/>
    <numFmt numFmtId="165" formatCode="_-* #,##0.00\ &quot;CHF&quot;_-;\-* #,##0.00\ &quot;CHF&quot;_-;_-* &quot;-&quot;??\ &quot;CHF&quot;_-;_-@_-"/>
    <numFmt numFmtId="166" formatCode="#,##0.00\ &quot;CHF&quot;"/>
    <numFmt numFmtId="167" formatCode="_ * #,##0_ ;_ * \-#,##0_ ;_ * &quot;-&quot;??_ ;_ @_ "/>
    <numFmt numFmtId="168" formatCode="_-* #,##0.0\ &quot;CHF&quot;_-;\-* #,##0.0\ &quot;CHF&quot;_-;_-* &quot;-&quot;??\ &quot;CHF&quot;_-;_-@_-"/>
    <numFmt numFmtId="169" formatCode="_-* #,##0\ &quot;CHF&quot;_-;\-* #,##0\ &quot;CHF&quot;_-;_-* &quot;-&quot;??\ &quot;CHF&quot;_-;_-@_-"/>
    <numFmt numFmtId="170" formatCode="_ &quot;CHF&quot;\ * #,##0.0_ ;_ &quot;CHF&quot;\ * \-#,##0.0_ ;_ &quot;CHF&quot;\ * &quot;-&quot;??_ ;_ @_ "/>
    <numFmt numFmtId="171" formatCode="_ * #,##0.0_ ;_ * \-#,##0.0_ ;_ * &quot;-&quot;??_ ;_ @_ "/>
  </numFmts>
  <fonts count="30">
    <font>
      <sz val="12"/>
      <color theme="1"/>
      <name val="Calibri"/>
      <family val="2"/>
      <scheme val="minor"/>
    </font>
    <font>
      <sz val="11"/>
      <color theme="1"/>
      <name val="Trebuchet MS"/>
      <family val="2"/>
    </font>
    <font>
      <sz val="11"/>
      <color theme="1"/>
      <name val="Trebuchet MS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rebuchet MS"/>
      <family val="2"/>
    </font>
    <font>
      <b/>
      <sz val="11"/>
      <color theme="1"/>
      <name val="Trebuchet MS"/>
      <family val="2"/>
    </font>
    <font>
      <sz val="11"/>
      <color rgb="FFFF0000"/>
      <name val="Trebuchet MS"/>
      <family val="2"/>
    </font>
    <font>
      <sz val="11"/>
      <color theme="4"/>
      <name val="Trebuchet MS"/>
      <family val="2"/>
    </font>
    <font>
      <sz val="12"/>
      <color theme="4"/>
      <name val="Calibri"/>
      <family val="2"/>
      <scheme val="minor"/>
    </font>
    <font>
      <b/>
      <sz val="24"/>
      <color theme="1"/>
      <name val="Trebuchet MS"/>
      <family val="2"/>
    </font>
    <font>
      <sz val="11"/>
      <color theme="1"/>
      <name val="Trebuchet MS"/>
      <family val="2"/>
    </font>
    <font>
      <sz val="11"/>
      <color theme="0"/>
      <name val="Trebuchet MS"/>
      <family val="2"/>
    </font>
    <font>
      <b/>
      <sz val="11"/>
      <color theme="1"/>
      <name val="Trebuchet MS"/>
      <family val="2"/>
    </font>
    <font>
      <sz val="28"/>
      <color theme="0"/>
      <name val="Trebuchet MS"/>
      <family val="2"/>
    </font>
    <font>
      <sz val="36"/>
      <color theme="1"/>
      <name val="Trebuchet MS"/>
      <family val="2"/>
    </font>
    <font>
      <b/>
      <sz val="11"/>
      <color theme="0"/>
      <name val="Trebuchet MS"/>
      <family val="2"/>
    </font>
    <font>
      <sz val="2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6"/>
      <color theme="0"/>
      <name val="Trebuchet MS"/>
      <family val="2"/>
    </font>
    <font>
      <b/>
      <sz val="28"/>
      <color theme="0"/>
      <name val="Trebuchet MS"/>
      <family val="2"/>
    </font>
    <font>
      <sz val="8"/>
      <name val="Calibri"/>
      <family val="2"/>
      <scheme val="minor"/>
    </font>
    <font>
      <b/>
      <sz val="11"/>
      <name val="Trebuchet MS"/>
      <family val="2"/>
    </font>
    <font>
      <b/>
      <sz val="12"/>
      <name val="Calibri"/>
      <family val="2"/>
      <scheme val="minor"/>
    </font>
    <font>
      <sz val="12"/>
      <color rgb="FFFF0000"/>
      <name val="Calibri (Textkörper)"/>
    </font>
    <font>
      <sz val="12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1"/>
      <name val="Trebuchet MS"/>
      <family val="2"/>
    </font>
    <font>
      <b/>
      <sz val="14"/>
      <color theme="0"/>
      <name val="Trebuchet MS"/>
      <family val="2"/>
    </font>
    <font>
      <sz val="14"/>
      <color theme="1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157">
    <xf numFmtId="0" fontId="0" fillId="0" borderId="0" xfId="0"/>
    <xf numFmtId="0" fontId="4" fillId="0" borderId="0" xfId="0" applyFont="1" applyAlignment="1">
      <alignment wrapText="1"/>
    </xf>
    <xf numFmtId="0" fontId="5" fillId="0" borderId="0" xfId="0" applyFont="1"/>
    <xf numFmtId="165" fontId="5" fillId="0" borderId="0" xfId="3" applyFont="1" applyFill="1"/>
    <xf numFmtId="0" fontId="6" fillId="0" borderId="0" xfId="0" applyFont="1"/>
    <xf numFmtId="167" fontId="5" fillId="0" borderId="0" xfId="2" applyNumberFormat="1" applyFont="1"/>
    <xf numFmtId="169" fontId="5" fillId="0" borderId="0" xfId="0" applyNumberFormat="1" applyFont="1"/>
    <xf numFmtId="171" fontId="5" fillId="0" borderId="0" xfId="0" applyNumberFormat="1" applyFont="1"/>
    <xf numFmtId="0" fontId="5" fillId="0" borderId="0" xfId="0" applyFont="1" applyAlignment="1">
      <alignment horizontal="left" vertical="center" wrapText="1"/>
    </xf>
    <xf numFmtId="9" fontId="5" fillId="0" borderId="0" xfId="1" applyFont="1" applyFill="1" applyAlignment="1">
      <alignment horizontal="right" vertical="center"/>
    </xf>
    <xf numFmtId="0" fontId="5" fillId="0" borderId="0" xfId="0" applyFont="1" applyAlignment="1">
      <alignment horizontal="right" vertical="center"/>
    </xf>
    <xf numFmtId="167" fontId="5" fillId="0" borderId="0" xfId="2" applyNumberFormat="1" applyFont="1" applyFill="1"/>
    <xf numFmtId="165" fontId="5" fillId="0" borderId="0" xfId="0" applyNumberFormat="1" applyFont="1"/>
    <xf numFmtId="164" fontId="5" fillId="0" borderId="0" xfId="0" applyNumberFormat="1" applyFont="1"/>
    <xf numFmtId="168" fontId="5" fillId="0" borderId="0" xfId="0" applyNumberFormat="1" applyFont="1"/>
    <xf numFmtId="0" fontId="0" fillId="3" borderId="0" xfId="0" applyFill="1"/>
    <xf numFmtId="0" fontId="14" fillId="3" borderId="0" xfId="0" applyFont="1" applyFill="1"/>
    <xf numFmtId="0" fontId="12" fillId="3" borderId="0" xfId="0" applyFont="1" applyFill="1"/>
    <xf numFmtId="0" fontId="5" fillId="3" borderId="0" xfId="0" applyFont="1" applyFill="1"/>
    <xf numFmtId="0" fontId="15" fillId="3" borderId="0" xfId="0" applyFont="1" applyFill="1"/>
    <xf numFmtId="0" fontId="16" fillId="0" borderId="0" xfId="0" applyFont="1"/>
    <xf numFmtId="0" fontId="5" fillId="4" borderId="0" xfId="0" applyFont="1" applyFill="1"/>
    <xf numFmtId="0" fontId="16" fillId="4" borderId="0" xfId="0" applyFont="1" applyFill="1"/>
    <xf numFmtId="0" fontId="0" fillId="4" borderId="0" xfId="0" applyFill="1"/>
    <xf numFmtId="0" fontId="12" fillId="4" borderId="0" xfId="0" applyFont="1" applyFill="1"/>
    <xf numFmtId="0" fontId="17" fillId="3" borderId="0" xfId="0" applyFont="1" applyFill="1"/>
    <xf numFmtId="9" fontId="14" fillId="3" borderId="0" xfId="1" applyFont="1" applyFill="1"/>
    <xf numFmtId="0" fontId="0" fillId="0" borderId="0" xfId="0" applyAlignment="1">
      <alignment horizontal="left" vertical="center"/>
    </xf>
    <xf numFmtId="165" fontId="0" fillId="0" borderId="0" xfId="3" applyFont="1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10" fillId="3" borderId="0" xfId="0" applyFont="1" applyFill="1"/>
    <xf numFmtId="165" fontId="9" fillId="0" borderId="0" xfId="3" applyFont="1" applyFill="1" applyAlignment="1">
      <alignment horizontal="right" vertical="center"/>
    </xf>
    <xf numFmtId="0" fontId="9" fillId="0" borderId="0" xfId="0" applyFont="1" applyAlignment="1">
      <alignment horizontal="right" vertical="center"/>
    </xf>
    <xf numFmtId="9" fontId="9" fillId="0" borderId="0" xfId="1" applyFont="1" applyFill="1" applyAlignment="1">
      <alignment horizontal="right" vertical="center"/>
    </xf>
    <xf numFmtId="0" fontId="19" fillId="3" borderId="0" xfId="0" applyFont="1" applyFill="1"/>
    <xf numFmtId="0" fontId="20" fillId="3" borderId="0" xfId="0" applyFont="1" applyFill="1"/>
    <xf numFmtId="0" fontId="5" fillId="0" borderId="0" xfId="0" applyFont="1" applyAlignment="1">
      <alignment horizontal="left" vertical="center" wrapText="1" indent="1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indent="1"/>
    </xf>
    <xf numFmtId="0" fontId="5" fillId="0" borderId="0" xfId="0" applyFont="1" applyAlignment="1">
      <alignment horizontal="left" vertical="center" indent="1"/>
    </xf>
    <xf numFmtId="0" fontId="5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164" fontId="5" fillId="0" borderId="0" xfId="2" applyFont="1" applyFill="1" applyAlignment="1">
      <alignment horizontal="left"/>
    </xf>
    <xf numFmtId="164" fontId="5" fillId="0" borderId="0" xfId="2" applyFont="1" applyFill="1"/>
    <xf numFmtId="164" fontId="5" fillId="0" borderId="0" xfId="2" applyFont="1"/>
    <xf numFmtId="164" fontId="5" fillId="0" borderId="0" xfId="2" applyFont="1" applyAlignment="1">
      <alignment wrapText="1"/>
    </xf>
    <xf numFmtId="164" fontId="16" fillId="4" borderId="0" xfId="2" applyFont="1" applyFill="1" applyAlignment="1"/>
    <xf numFmtId="164" fontId="12" fillId="4" borderId="0" xfId="2" applyFont="1" applyFill="1"/>
    <xf numFmtId="164" fontId="5" fillId="0" borderId="0" xfId="2" applyFont="1" applyFill="1" applyAlignment="1">
      <alignment wrapText="1"/>
    </xf>
    <xf numFmtId="164" fontId="13" fillId="0" borderId="0" xfId="2" applyFont="1" applyFill="1" applyBorder="1"/>
    <xf numFmtId="164" fontId="11" fillId="0" borderId="0" xfId="2" applyFont="1" applyFill="1" applyBorder="1" applyAlignment="1">
      <alignment horizontal="left" indent="1"/>
    </xf>
    <xf numFmtId="164" fontId="11" fillId="0" borderId="0" xfId="2" applyFont="1" applyFill="1" applyAlignment="1">
      <alignment horizontal="left" wrapText="1" indent="1"/>
    </xf>
    <xf numFmtId="164" fontId="11" fillId="0" borderId="0" xfId="2" applyFont="1" applyFill="1" applyAlignment="1">
      <alignment horizontal="left" indent="1"/>
    </xf>
    <xf numFmtId="164" fontId="6" fillId="0" borderId="0" xfId="2" applyFont="1" applyFill="1" applyAlignment="1">
      <alignment horizontal="left"/>
    </xf>
    <xf numFmtId="164" fontId="16" fillId="4" borderId="0" xfId="2" applyFont="1" applyFill="1"/>
    <xf numFmtId="164" fontId="5" fillId="0" borderId="1" xfId="2" applyFont="1" applyFill="1" applyBorder="1"/>
    <xf numFmtId="164" fontId="5" fillId="0" borderId="0" xfId="2" applyFont="1" applyFill="1" applyBorder="1"/>
    <xf numFmtId="164" fontId="6" fillId="0" borderId="0" xfId="2" applyFont="1" applyFill="1" applyBorder="1"/>
    <xf numFmtId="164" fontId="5" fillId="0" borderId="0" xfId="2" applyFont="1" applyFill="1" applyBorder="1" applyAlignment="1">
      <alignment horizontal="left" indent="1"/>
    </xf>
    <xf numFmtId="164" fontId="5" fillId="0" borderId="0" xfId="2" applyFont="1" applyFill="1" applyBorder="1" applyAlignment="1">
      <alignment horizontal="left" wrapText="1" indent="1"/>
    </xf>
    <xf numFmtId="164" fontId="6" fillId="0" borderId="0" xfId="2" applyFont="1" applyFill="1" applyBorder="1" applyAlignment="1">
      <alignment horizontal="left"/>
    </xf>
    <xf numFmtId="164" fontId="6" fillId="0" borderId="0" xfId="2" applyFont="1"/>
    <xf numFmtId="167" fontId="5" fillId="0" borderId="0" xfId="0" applyNumberFormat="1" applyFont="1"/>
    <xf numFmtId="167" fontId="16" fillId="4" borderId="0" xfId="2" applyNumberFormat="1" applyFont="1" applyFill="1"/>
    <xf numFmtId="164" fontId="6" fillId="0" borderId="0" xfId="2" applyFont="1" applyFill="1" applyAlignment="1">
      <alignment horizontal="left" wrapText="1"/>
    </xf>
    <xf numFmtId="164" fontId="5" fillId="4" borderId="0" xfId="2" applyFont="1" applyFill="1"/>
    <xf numFmtId="164" fontId="5" fillId="2" borderId="0" xfId="2" applyFont="1" applyFill="1" applyBorder="1" applyAlignment="1">
      <alignment horizontal="left" indent="1"/>
    </xf>
    <xf numFmtId="164" fontId="5" fillId="0" borderId="0" xfId="2" applyFont="1" applyBorder="1"/>
    <xf numFmtId="164" fontId="5" fillId="2" borderId="0" xfId="2" applyFont="1" applyFill="1"/>
    <xf numFmtId="164" fontId="5" fillId="0" borderId="2" xfId="2" applyFont="1" applyFill="1" applyBorder="1"/>
    <xf numFmtId="164" fontId="16" fillId="4" borderId="0" xfId="2" applyFont="1" applyFill="1" applyBorder="1"/>
    <xf numFmtId="167" fontId="5" fillId="0" borderId="0" xfId="2" applyNumberFormat="1" applyFont="1" applyFill="1" applyAlignment="1">
      <alignment horizontal="left" vertical="center"/>
    </xf>
    <xf numFmtId="167" fontId="5" fillId="0" borderId="0" xfId="2" applyNumberFormat="1" applyFont="1" applyBorder="1"/>
    <xf numFmtId="167" fontId="5" fillId="4" borderId="0" xfId="2" applyNumberFormat="1" applyFont="1" applyFill="1"/>
    <xf numFmtId="168" fontId="16" fillId="4" borderId="0" xfId="0" applyNumberFormat="1" applyFont="1" applyFill="1"/>
    <xf numFmtId="167" fontId="5" fillId="0" borderId="1" xfId="2" applyNumberFormat="1" applyFont="1" applyFill="1" applyBorder="1" applyAlignment="1">
      <alignment horizontal="right"/>
    </xf>
    <xf numFmtId="168" fontId="6" fillId="0" borderId="0" xfId="0" applyNumberFormat="1" applyFont="1"/>
    <xf numFmtId="168" fontId="5" fillId="0" borderId="0" xfId="0" applyNumberFormat="1" applyFont="1" applyAlignment="1">
      <alignment horizontal="left" indent="1"/>
    </xf>
    <xf numFmtId="168" fontId="6" fillId="0" borderId="0" xfId="0" applyNumberFormat="1" applyFont="1" applyAlignment="1">
      <alignment horizontal="left"/>
    </xf>
    <xf numFmtId="10" fontId="5" fillId="0" borderId="0" xfId="1" applyNumberFormat="1" applyFont="1" applyFill="1"/>
    <xf numFmtId="171" fontId="16" fillId="4" borderId="0" xfId="0" applyNumberFormat="1" applyFont="1" applyFill="1"/>
    <xf numFmtId="171" fontId="6" fillId="0" borderId="0" xfId="0" applyNumberFormat="1" applyFont="1"/>
    <xf numFmtId="171" fontId="5" fillId="0" borderId="0" xfId="0" applyNumberFormat="1" applyFont="1" applyAlignment="1">
      <alignment horizontal="left" indent="1"/>
    </xf>
    <xf numFmtId="0" fontId="22" fillId="0" borderId="0" xfId="0" applyFont="1"/>
    <xf numFmtId="168" fontId="5" fillId="0" borderId="0" xfId="0" applyNumberFormat="1" applyFont="1" applyAlignment="1">
      <alignment horizontal="left"/>
    </xf>
    <xf numFmtId="165" fontId="6" fillId="0" borderId="0" xfId="0" applyNumberFormat="1" applyFont="1"/>
    <xf numFmtId="165" fontId="5" fillId="0" borderId="0" xfId="0" applyNumberFormat="1" applyFont="1" applyAlignment="1">
      <alignment horizontal="left" indent="1"/>
    </xf>
    <xf numFmtId="165" fontId="16" fillId="4" borderId="0" xfId="0" applyNumberFormat="1" applyFont="1" applyFill="1"/>
    <xf numFmtId="0" fontId="22" fillId="0" borderId="0" xfId="0" applyFont="1" applyAlignment="1">
      <alignment horizontal="left"/>
    </xf>
    <xf numFmtId="164" fontId="5" fillId="0" borderId="0" xfId="2" applyFont="1" applyFill="1" applyAlignment="1">
      <alignment horizontal="left" indent="3"/>
    </xf>
    <xf numFmtId="0" fontId="16" fillId="0" borderId="0" xfId="0" applyFont="1" applyAlignment="1">
      <alignment horizontal="left" indent="1"/>
    </xf>
    <xf numFmtId="0" fontId="18" fillId="0" borderId="0" xfId="0" applyFont="1" applyAlignment="1">
      <alignment horizontal="right"/>
    </xf>
    <xf numFmtId="0" fontId="4" fillId="0" borderId="0" xfId="0" applyFont="1" applyAlignment="1">
      <alignment horizontal="left" vertical="center"/>
    </xf>
    <xf numFmtId="164" fontId="5" fillId="0" borderId="0" xfId="2" applyFont="1" applyFill="1" applyAlignment="1">
      <alignment horizontal="right" vertical="center"/>
    </xf>
    <xf numFmtId="167" fontId="5" fillId="0" borderId="0" xfId="2" applyNumberFormat="1" applyFont="1" applyAlignment="1">
      <alignment horizontal="right" vertical="center"/>
    </xf>
    <xf numFmtId="164" fontId="5" fillId="0" borderId="0" xfId="2" applyFont="1" applyAlignment="1">
      <alignment horizontal="right" vertical="center"/>
    </xf>
    <xf numFmtId="164" fontId="5" fillId="0" borderId="1" xfId="2" applyFont="1" applyFill="1" applyBorder="1" applyAlignment="1">
      <alignment horizontal="right" vertical="center"/>
    </xf>
    <xf numFmtId="164" fontId="5" fillId="0" borderId="0" xfId="2" applyFont="1" applyFill="1" applyBorder="1" applyAlignment="1">
      <alignment horizontal="right" vertical="center"/>
    </xf>
    <xf numFmtId="164" fontId="5" fillId="0" borderId="2" xfId="2" applyFont="1" applyFill="1" applyBorder="1" applyAlignment="1">
      <alignment horizontal="right" vertical="center"/>
    </xf>
    <xf numFmtId="164" fontId="5" fillId="0" borderId="0" xfId="2" applyFont="1" applyAlignment="1">
      <alignment horizontal="left"/>
    </xf>
    <xf numFmtId="164" fontId="5" fillId="0" borderId="0" xfId="2" applyFont="1" applyAlignment="1">
      <alignment horizontal="left" indent="1"/>
    </xf>
    <xf numFmtId="167" fontId="5" fillId="0" borderId="0" xfId="2" applyNumberFormat="1" applyFont="1" applyAlignment="1">
      <alignment horizontal="left"/>
    </xf>
    <xf numFmtId="164" fontId="6" fillId="0" borderId="0" xfId="2" applyFont="1" applyAlignment="1">
      <alignment horizontal="left"/>
    </xf>
    <xf numFmtId="164" fontId="5" fillId="0" borderId="0" xfId="2" applyFont="1" applyAlignment="1">
      <alignment horizontal="left" wrapText="1" indent="1"/>
    </xf>
    <xf numFmtId="164" fontId="6" fillId="0" borderId="0" xfId="2" applyFont="1" applyAlignment="1">
      <alignment horizontal="left" wrapText="1"/>
    </xf>
    <xf numFmtId="167" fontId="5" fillId="0" borderId="1" xfId="2" applyNumberFormat="1" applyFont="1" applyBorder="1" applyAlignment="1">
      <alignment horizontal="right"/>
    </xf>
    <xf numFmtId="10" fontId="5" fillId="0" borderId="0" xfId="1" applyNumberFormat="1" applyFont="1"/>
    <xf numFmtId="167" fontId="5" fillId="0" borderId="0" xfId="2" applyNumberFormat="1" applyFont="1" applyAlignment="1">
      <alignment horizontal="right"/>
    </xf>
    <xf numFmtId="164" fontId="5" fillId="0" borderId="2" xfId="2" applyFont="1" applyFill="1" applyBorder="1" applyAlignment="1">
      <alignment horizontal="left"/>
    </xf>
    <xf numFmtId="164" fontId="5" fillId="0" borderId="1" xfId="2" applyFont="1" applyFill="1" applyBorder="1" applyAlignment="1">
      <alignment horizontal="left"/>
    </xf>
    <xf numFmtId="164" fontId="5" fillId="2" borderId="0" xfId="2" applyFont="1" applyFill="1" applyAlignment="1">
      <alignment horizontal="right"/>
    </xf>
    <xf numFmtId="164" fontId="5" fillId="0" borderId="2" xfId="2" applyFont="1" applyBorder="1" applyAlignment="1">
      <alignment horizontal="left"/>
    </xf>
    <xf numFmtId="164" fontId="5" fillId="0" borderId="1" xfId="2" applyFont="1" applyBorder="1" applyAlignment="1">
      <alignment horizontal="left"/>
    </xf>
    <xf numFmtId="164" fontId="5" fillId="0" borderId="1" xfId="2" applyFont="1" applyBorder="1"/>
    <xf numFmtId="164" fontId="5" fillId="0" borderId="2" xfId="2" applyFont="1" applyBorder="1"/>
    <xf numFmtId="164" fontId="5" fillId="0" borderId="1" xfId="2" applyFont="1" applyFill="1" applyBorder="1" applyAlignment="1">
      <alignment horizontal="left" indent="3"/>
    </xf>
    <xf numFmtId="164" fontId="5" fillId="0" borderId="2" xfId="2" applyFont="1" applyFill="1" applyBorder="1" applyAlignment="1">
      <alignment horizontal="left" indent="3"/>
    </xf>
    <xf numFmtId="164" fontId="5" fillId="0" borderId="0" xfId="2" applyFont="1" applyFill="1" applyAlignment="1">
      <alignment horizontal="left" wrapText="1" indent="1"/>
    </xf>
    <xf numFmtId="1" fontId="5" fillId="0" borderId="0" xfId="2" applyNumberFormat="1" applyFont="1" applyFill="1"/>
    <xf numFmtId="0" fontId="6" fillId="0" borderId="0" xfId="2" applyNumberFormat="1" applyFont="1" applyFill="1" applyAlignment="1">
      <alignment horizontal="left" wrapText="1"/>
    </xf>
    <xf numFmtId="0" fontId="0" fillId="0" borderId="0" xfId="2" applyNumberFormat="1" applyFont="1" applyFill="1"/>
    <xf numFmtId="0" fontId="5" fillId="0" borderId="0" xfId="2" applyNumberFormat="1" applyFont="1" applyFill="1"/>
    <xf numFmtId="0" fontId="6" fillId="0" borderId="0" xfId="0" applyFont="1" applyAlignment="1">
      <alignment wrapText="1"/>
    </xf>
    <xf numFmtId="167" fontId="5" fillId="0" borderId="1" xfId="0" applyNumberFormat="1" applyFont="1" applyBorder="1"/>
    <xf numFmtId="0" fontId="25" fillId="3" borderId="0" xfId="0" applyFont="1" applyFill="1"/>
    <xf numFmtId="0" fontId="26" fillId="3" borderId="0" xfId="0" applyFont="1" applyFill="1"/>
    <xf numFmtId="164" fontId="5" fillId="0" borderId="0" xfId="2" applyFont="1" applyFill="1" applyAlignment="1">
      <alignment horizontal="left" vertical="top"/>
    </xf>
    <xf numFmtId="164" fontId="5" fillId="0" borderId="0" xfId="2" applyFont="1" applyFill="1" applyAlignment="1">
      <alignment horizontal="right"/>
    </xf>
    <xf numFmtId="170" fontId="5" fillId="0" borderId="0" xfId="0" applyNumberFormat="1" applyFont="1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right" wrapText="1"/>
    </xf>
    <xf numFmtId="0" fontId="22" fillId="0" borderId="0" xfId="0" applyFont="1" applyAlignment="1">
      <alignment wrapText="1"/>
    </xf>
    <xf numFmtId="0" fontId="8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166" fontId="8" fillId="0" borderId="0" xfId="0" applyNumberFormat="1" applyFont="1" applyAlignment="1">
      <alignment horizontal="right" vertical="center" wrapText="1"/>
    </xf>
    <xf numFmtId="165" fontId="8" fillId="0" borderId="0" xfId="3" applyFont="1" applyFill="1" applyAlignment="1">
      <alignment horizontal="right" vertical="center" wrapText="1"/>
    </xf>
    <xf numFmtId="166" fontId="5" fillId="0" borderId="0" xfId="0" applyNumberFormat="1" applyFont="1" applyAlignment="1">
      <alignment horizontal="right" vertical="center" wrapText="1"/>
    </xf>
    <xf numFmtId="2" fontId="9" fillId="0" borderId="0" xfId="0" applyNumberFormat="1" applyFont="1" applyAlignment="1">
      <alignment horizontal="right" vertical="center" wrapText="1"/>
    </xf>
    <xf numFmtId="1" fontId="5" fillId="0" borderId="0" xfId="0" applyNumberFormat="1" applyFont="1" applyAlignment="1">
      <alignment horizontal="right" vertical="center" wrapText="1"/>
    </xf>
    <xf numFmtId="2" fontId="8" fillId="0" borderId="0" xfId="0" applyNumberFormat="1" applyFont="1" applyAlignment="1">
      <alignment horizontal="right" vertical="center" wrapText="1"/>
    </xf>
    <xf numFmtId="164" fontId="8" fillId="0" borderId="0" xfId="2" applyFont="1" applyFill="1" applyAlignment="1">
      <alignment horizontal="right" vertical="center" wrapText="1"/>
    </xf>
    <xf numFmtId="1" fontId="0" fillId="0" borderId="0" xfId="0" applyNumberFormat="1" applyAlignment="1">
      <alignment horizontal="right" vertical="center" wrapText="1"/>
    </xf>
    <xf numFmtId="9" fontId="8" fillId="5" borderId="0" xfId="1" applyFont="1" applyFill="1" applyAlignment="1">
      <alignment horizontal="right" vertical="center" wrapText="1"/>
    </xf>
    <xf numFmtId="9" fontId="8" fillId="0" borderId="0" xfId="1" applyFont="1" applyFill="1" applyAlignment="1">
      <alignment horizontal="right" vertical="center" wrapText="1"/>
    </xf>
    <xf numFmtId="10" fontId="8" fillId="0" borderId="0" xfId="1" applyNumberFormat="1" applyFont="1" applyFill="1" applyAlignment="1">
      <alignment horizontal="right" vertical="center" wrapText="1"/>
    </xf>
    <xf numFmtId="0" fontId="18" fillId="0" borderId="0" xfId="0" applyFont="1"/>
    <xf numFmtId="0" fontId="23" fillId="0" borderId="0" xfId="0" applyFont="1"/>
    <xf numFmtId="2" fontId="0" fillId="0" borderId="0" xfId="0" applyNumberFormat="1"/>
    <xf numFmtId="0" fontId="28" fillId="4" borderId="0" xfId="0" applyFont="1" applyFill="1"/>
    <xf numFmtId="0" fontId="28" fillId="4" borderId="0" xfId="0" applyFont="1" applyFill="1" applyAlignment="1">
      <alignment horizontal="right"/>
    </xf>
    <xf numFmtId="0" fontId="29" fillId="0" borderId="0" xfId="0" applyFont="1"/>
    <xf numFmtId="0" fontId="29" fillId="0" borderId="0" xfId="0" applyFont="1" applyAlignment="1">
      <alignment horizontal="right"/>
    </xf>
    <xf numFmtId="0" fontId="28" fillId="4" borderId="0" xfId="0" applyFont="1" applyFill="1" applyAlignment="1">
      <alignment wrapText="1"/>
    </xf>
    <xf numFmtId="0" fontId="28" fillId="4" borderId="0" xfId="0" applyFont="1" applyFill="1" applyAlignment="1">
      <alignment horizontal="right" wrapText="1"/>
    </xf>
    <xf numFmtId="167" fontId="2" fillId="0" borderId="0" xfId="2" applyNumberFormat="1" applyFont="1"/>
  </cellXfs>
  <cellStyles count="4">
    <cellStyle name="Comma" xfId="2" builtinId="3"/>
    <cellStyle name="Currency" xfId="3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Kostenszenarios</a:t>
            </a:r>
            <a:r>
              <a:rPr lang="de-CH" baseline="0"/>
              <a:t> inklusive Lohnkosten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Dashboard!$B$81</c:f>
              <c:strCache>
                <c:ptCount val="1"/>
                <c:pt idx="0">
                  <c:v>Kosten ohne Tool Detective inklusive Lohnkosten</c:v>
                </c:pt>
              </c:strCache>
            </c:strRef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Dashboard!$C$79:$Z$79</c:f>
              <c:numCache>
                <c:formatCode>_ * #,##0_ ;_ * \-#,##0_ ;_ * "-"??_ ;_ @_ 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Dashboard!$C$81:$Z$81</c:f>
              <c:numCache>
                <c:formatCode>_ * #,##0_ ;_ * \-#,##0_ ;_ * "-"??_ ;_ @_ </c:formatCode>
                <c:ptCount val="24"/>
                <c:pt idx="0">
                  <c:v>149940712.90000001</c:v>
                </c:pt>
                <c:pt idx="1">
                  <c:v>299881425.80000001</c:v>
                </c:pt>
                <c:pt idx="2">
                  <c:v>449822138.70000005</c:v>
                </c:pt>
                <c:pt idx="3">
                  <c:v>599762851.60000002</c:v>
                </c:pt>
                <c:pt idx="4">
                  <c:v>749703564.5</c:v>
                </c:pt>
                <c:pt idx="5">
                  <c:v>899644277.39999998</c:v>
                </c:pt>
                <c:pt idx="6">
                  <c:v>1049584990.3</c:v>
                </c:pt>
                <c:pt idx="7">
                  <c:v>1199525703.2</c:v>
                </c:pt>
                <c:pt idx="8">
                  <c:v>1349466416.1000001</c:v>
                </c:pt>
                <c:pt idx="9">
                  <c:v>1499407129.0000002</c:v>
                </c:pt>
                <c:pt idx="10">
                  <c:v>1649347841.9000003</c:v>
                </c:pt>
                <c:pt idx="11">
                  <c:v>1799288554.8000004</c:v>
                </c:pt>
                <c:pt idx="12">
                  <c:v>1949229317.6230004</c:v>
                </c:pt>
                <c:pt idx="13">
                  <c:v>2099170080.4460003</c:v>
                </c:pt>
                <c:pt idx="14">
                  <c:v>2249110843.2690005</c:v>
                </c:pt>
                <c:pt idx="15">
                  <c:v>2399051606.0920005</c:v>
                </c:pt>
                <c:pt idx="16">
                  <c:v>2548992368.9150004</c:v>
                </c:pt>
                <c:pt idx="17">
                  <c:v>2698933131.7380004</c:v>
                </c:pt>
                <c:pt idx="18">
                  <c:v>2848873894.5610003</c:v>
                </c:pt>
                <c:pt idx="19">
                  <c:v>2998814657.3840003</c:v>
                </c:pt>
                <c:pt idx="20">
                  <c:v>3148755420.2070003</c:v>
                </c:pt>
                <c:pt idx="21">
                  <c:v>3298696183.0300002</c:v>
                </c:pt>
                <c:pt idx="22">
                  <c:v>3448636945.8530002</c:v>
                </c:pt>
                <c:pt idx="23">
                  <c:v>3598577708.6760001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6-48E2-8225-E665B852E4DE}"/>
            </c:ext>
          </c:extLst>
        </c:ser>
        <c:ser>
          <c:idx val="2"/>
          <c:order val="2"/>
          <c:tx>
            <c:strRef>
              <c:f>Dashboard!$B$85</c:f>
              <c:strCache>
                <c:ptCount val="1"/>
                <c:pt idx="0">
                  <c:v>Szenario 1: Abomodell für Software von Tool Detective mit Kameraeinkauf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Dashboard!$C$79:$Z$79</c:f>
              <c:numCache>
                <c:formatCode>_ * #,##0_ ;_ * \-#,##0_ ;_ * "-"??_ ;_ @_ 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Dashboard!$C$85:$Z$85</c:f>
              <c:numCache>
                <c:formatCode>_ * #,##0_ ;_ * \-#,##0_ ;_ * "-"??_ ;_ @_ </c:formatCode>
                <c:ptCount val="24"/>
                <c:pt idx="0">
                  <c:v>123977.3</c:v>
                </c:pt>
                <c:pt idx="1">
                  <c:v>125754.6</c:v>
                </c:pt>
                <c:pt idx="2">
                  <c:v>127531.90000000001</c:v>
                </c:pt>
                <c:pt idx="3">
                  <c:v>129309.20000000001</c:v>
                </c:pt>
                <c:pt idx="4">
                  <c:v>131086.5</c:v>
                </c:pt>
                <c:pt idx="5">
                  <c:v>132863.79999999999</c:v>
                </c:pt>
                <c:pt idx="6">
                  <c:v>134641.09999999998</c:v>
                </c:pt>
                <c:pt idx="7">
                  <c:v>136418.39999999997</c:v>
                </c:pt>
                <c:pt idx="8">
                  <c:v>138195.69999999995</c:v>
                </c:pt>
                <c:pt idx="9">
                  <c:v>139972.99999999994</c:v>
                </c:pt>
                <c:pt idx="10">
                  <c:v>141750.29999999993</c:v>
                </c:pt>
                <c:pt idx="11">
                  <c:v>143527.59999999992</c:v>
                </c:pt>
                <c:pt idx="12">
                  <c:v>145329.86149999991</c:v>
                </c:pt>
                <c:pt idx="13">
                  <c:v>147132.12299999991</c:v>
                </c:pt>
                <c:pt idx="14">
                  <c:v>148934.3844999999</c:v>
                </c:pt>
                <c:pt idx="15">
                  <c:v>150736.64599999989</c:v>
                </c:pt>
                <c:pt idx="16">
                  <c:v>152538.90749999988</c:v>
                </c:pt>
                <c:pt idx="17">
                  <c:v>154341.16899999988</c:v>
                </c:pt>
                <c:pt idx="18">
                  <c:v>156143.43049999987</c:v>
                </c:pt>
                <c:pt idx="19">
                  <c:v>157945.69199999986</c:v>
                </c:pt>
                <c:pt idx="20">
                  <c:v>159747.95349999986</c:v>
                </c:pt>
                <c:pt idx="21">
                  <c:v>161550.21499999985</c:v>
                </c:pt>
                <c:pt idx="22">
                  <c:v>163352.47649999984</c:v>
                </c:pt>
                <c:pt idx="23">
                  <c:v>165154.73799999984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E6-48E2-8225-E665B852E4DE}"/>
            </c:ext>
          </c:extLst>
        </c:ser>
        <c:ser>
          <c:idx val="3"/>
          <c:order val="3"/>
          <c:tx>
            <c:strRef>
              <c:f>Dashboard!$B$86</c:f>
              <c:strCache>
                <c:ptCount val="1"/>
                <c:pt idx="0">
                  <c:v>Szenario 2: Abomodell für Software von Tool Detective mit Kameraabo  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Dashboard!$C$79:$Z$79</c:f>
              <c:numCache>
                <c:formatCode>_ * #,##0_ ;_ * \-#,##0_ ;_ * "-"??_ ;_ @_ 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Dashboard!$C$86:$Z$86</c:f>
              <c:numCache>
                <c:formatCode>0</c:formatCode>
                <c:ptCount val="24"/>
                <c:pt idx="0">
                  <c:v>28304.799999999999</c:v>
                </c:pt>
                <c:pt idx="1">
                  <c:v>49283.974999999999</c:v>
                </c:pt>
                <c:pt idx="2">
                  <c:v>69637.524999999994</c:v>
                </c:pt>
                <c:pt idx="3">
                  <c:v>89365.45</c:v>
                </c:pt>
                <c:pt idx="4">
                  <c:v>108467.75</c:v>
                </c:pt>
                <c:pt idx="5">
                  <c:v>126944.425</c:v>
                </c:pt>
                <c:pt idx="6">
                  <c:v>144795.47500000001</c:v>
                </c:pt>
                <c:pt idx="7">
                  <c:v>162020.9</c:v>
                </c:pt>
                <c:pt idx="8">
                  <c:v>178620.69999999998</c:v>
                </c:pt>
                <c:pt idx="9">
                  <c:v>194594.87499999997</c:v>
                </c:pt>
                <c:pt idx="10">
                  <c:v>209943.42499999996</c:v>
                </c:pt>
                <c:pt idx="11">
                  <c:v>224666.34999999995</c:v>
                </c:pt>
                <c:pt idx="12">
                  <c:v>238788.61149999994</c:v>
                </c:pt>
                <c:pt idx="13">
                  <c:v>252285.24799999993</c:v>
                </c:pt>
                <c:pt idx="14">
                  <c:v>265156.25949999993</c:v>
                </c:pt>
                <c:pt idx="15">
                  <c:v>277401.64599999995</c:v>
                </c:pt>
                <c:pt idx="16">
                  <c:v>289021.40749999997</c:v>
                </c:pt>
                <c:pt idx="17">
                  <c:v>300015.54399999999</c:v>
                </c:pt>
                <c:pt idx="18">
                  <c:v>310384.05550000002</c:v>
                </c:pt>
                <c:pt idx="19">
                  <c:v>320126.94200000004</c:v>
                </c:pt>
                <c:pt idx="20">
                  <c:v>329244.20350000006</c:v>
                </c:pt>
                <c:pt idx="21">
                  <c:v>337735.84000000008</c:v>
                </c:pt>
                <c:pt idx="22">
                  <c:v>345601.85150000011</c:v>
                </c:pt>
                <c:pt idx="23">
                  <c:v>352842.23800000013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E6-48E2-8225-E665B852E4DE}"/>
            </c:ext>
          </c:extLst>
        </c:ser>
        <c:ser>
          <c:idx val="4"/>
          <c:order val="4"/>
          <c:tx>
            <c:strRef>
              <c:f>Dashboard!$B$87</c:f>
              <c:strCache>
                <c:ptCount val="1"/>
                <c:pt idx="0">
                  <c:v>Szenario 3:  Einmalzahlung für Software von Tool Detective mit Kameraeinkauf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Dashboard!$C$79:$Z$79</c:f>
              <c:numCache>
                <c:formatCode>_ * #,##0_ ;_ * \-#,##0_ ;_ * "-"??_ ;_ @_ 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Dashboard!$C$87:$Z$87</c:f>
              <c:numCache>
                <c:formatCode>_ * #,##0_ ;_ * \-#,##0_ ;_ * "-"??_ ;_ @_ </c:formatCode>
                <c:ptCount val="24"/>
                <c:pt idx="0">
                  <c:v>228457.45</c:v>
                </c:pt>
                <c:pt idx="1">
                  <c:v>228463.90000000002</c:v>
                </c:pt>
                <c:pt idx="2">
                  <c:v>228470.35000000003</c:v>
                </c:pt>
                <c:pt idx="3">
                  <c:v>228476.80000000005</c:v>
                </c:pt>
                <c:pt idx="4">
                  <c:v>228483.25000000006</c:v>
                </c:pt>
                <c:pt idx="5">
                  <c:v>228489.70000000007</c:v>
                </c:pt>
                <c:pt idx="6">
                  <c:v>228496.15000000008</c:v>
                </c:pt>
                <c:pt idx="7">
                  <c:v>228502.60000000009</c:v>
                </c:pt>
                <c:pt idx="8">
                  <c:v>228509.0500000001</c:v>
                </c:pt>
                <c:pt idx="9">
                  <c:v>228515.50000000012</c:v>
                </c:pt>
                <c:pt idx="10">
                  <c:v>228521.95000000013</c:v>
                </c:pt>
                <c:pt idx="11">
                  <c:v>228528.40000000014</c:v>
                </c:pt>
                <c:pt idx="12">
                  <c:v>228559.81150000013</c:v>
                </c:pt>
                <c:pt idx="13">
                  <c:v>228591.22300000011</c:v>
                </c:pt>
                <c:pt idx="14">
                  <c:v>228622.6345000001</c:v>
                </c:pt>
                <c:pt idx="15">
                  <c:v>228654.04600000009</c:v>
                </c:pt>
                <c:pt idx="16">
                  <c:v>228685.45750000008</c:v>
                </c:pt>
                <c:pt idx="17">
                  <c:v>228716.86900000006</c:v>
                </c:pt>
                <c:pt idx="18">
                  <c:v>228748.28050000005</c:v>
                </c:pt>
                <c:pt idx="19">
                  <c:v>228779.69200000004</c:v>
                </c:pt>
                <c:pt idx="20">
                  <c:v>228811.10350000003</c:v>
                </c:pt>
                <c:pt idx="21">
                  <c:v>228842.51500000001</c:v>
                </c:pt>
                <c:pt idx="22">
                  <c:v>228873.9265</c:v>
                </c:pt>
                <c:pt idx="23">
                  <c:v>228905.33799999999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E6-48E2-8225-E665B852E4DE}"/>
            </c:ext>
          </c:extLst>
        </c:ser>
        <c:ser>
          <c:idx val="5"/>
          <c:order val="5"/>
          <c:tx>
            <c:strRef>
              <c:f>Dashboard!$B$88</c:f>
              <c:strCache>
                <c:ptCount val="1"/>
                <c:pt idx="0">
                  <c:v>Szenario 4: Einmalzahlung für Software von Tooldetective mit Kameraabo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Dashboard!$C$79:$Z$79</c:f>
              <c:numCache>
                <c:formatCode>_ * #,##0_ ;_ * \-#,##0_ ;_ * "-"??_ ;_ @_ 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Dashboard!$C$88:$Z$88</c:f>
              <c:numCache>
                <c:formatCode>_ * #,##0_ ;_ * \-#,##0_ ;_ * "-"??_ ;_ @_ </c:formatCode>
                <c:ptCount val="24"/>
                <c:pt idx="0">
                  <c:v>132784.95000000001</c:v>
                </c:pt>
                <c:pt idx="1">
                  <c:v>151993.27500000002</c:v>
                </c:pt>
                <c:pt idx="2">
                  <c:v>170575.97500000003</c:v>
                </c:pt>
                <c:pt idx="3">
                  <c:v>188533.05000000005</c:v>
                </c:pt>
                <c:pt idx="4">
                  <c:v>205864.50000000006</c:v>
                </c:pt>
                <c:pt idx="5">
                  <c:v>222570.32500000007</c:v>
                </c:pt>
                <c:pt idx="6">
                  <c:v>238650.52500000008</c:v>
                </c:pt>
                <c:pt idx="7">
                  <c:v>254105.10000000009</c:v>
                </c:pt>
                <c:pt idx="8">
                  <c:v>268934.0500000001</c:v>
                </c:pt>
                <c:pt idx="9">
                  <c:v>283137.37500000012</c:v>
                </c:pt>
                <c:pt idx="10">
                  <c:v>296715.07500000013</c:v>
                </c:pt>
                <c:pt idx="11">
                  <c:v>309667.15000000014</c:v>
                </c:pt>
                <c:pt idx="12">
                  <c:v>322018.56150000013</c:v>
                </c:pt>
                <c:pt idx="13">
                  <c:v>333744.34800000011</c:v>
                </c:pt>
                <c:pt idx="14">
                  <c:v>344844.5095000001</c:v>
                </c:pt>
                <c:pt idx="15">
                  <c:v>355319.04600000009</c:v>
                </c:pt>
                <c:pt idx="16">
                  <c:v>365167.95750000008</c:v>
                </c:pt>
                <c:pt idx="17">
                  <c:v>374391.24400000006</c:v>
                </c:pt>
                <c:pt idx="18">
                  <c:v>382988.90550000005</c:v>
                </c:pt>
                <c:pt idx="19">
                  <c:v>390960.94200000004</c:v>
                </c:pt>
                <c:pt idx="20">
                  <c:v>398307.35350000003</c:v>
                </c:pt>
                <c:pt idx="21">
                  <c:v>405028.14</c:v>
                </c:pt>
                <c:pt idx="22">
                  <c:v>411123.3015</c:v>
                </c:pt>
                <c:pt idx="23">
                  <c:v>416592.83799999999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E6-48E2-8225-E665B852E4DE}"/>
            </c:ext>
          </c:extLst>
        </c:ser>
        <c:ser>
          <c:idx val="6"/>
          <c:order val="6"/>
          <c:tx>
            <c:strRef>
              <c:f>Dashboard!$B$89</c:f>
              <c:strCache>
                <c:ptCount val="1"/>
                <c:pt idx="0">
                  <c:v>Szenario 5: Abomodell für Software von Tool Detective ohne Kameraaufwand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Dashboard!$C$79:$Z$79</c:f>
              <c:numCache>
                <c:formatCode>_ * #,##0_ ;_ * \-#,##0_ ;_ * "-"??_ ;_ @_ 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Dashboard!$C$89:$Z$89</c:f>
              <c:numCache>
                <c:formatCode>0</c:formatCode>
                <c:ptCount val="24"/>
                <c:pt idx="0">
                  <c:v>8477.2999999999993</c:v>
                </c:pt>
                <c:pt idx="1">
                  <c:v>10254.599999999999</c:v>
                </c:pt>
                <c:pt idx="2">
                  <c:v>12031.899999999998</c:v>
                </c:pt>
                <c:pt idx="3">
                  <c:v>13809.199999999997</c:v>
                </c:pt>
                <c:pt idx="4">
                  <c:v>15586.499999999996</c:v>
                </c:pt>
                <c:pt idx="5">
                  <c:v>17363.799999999996</c:v>
                </c:pt>
                <c:pt idx="6">
                  <c:v>19141.099999999995</c:v>
                </c:pt>
                <c:pt idx="7">
                  <c:v>20918.399999999994</c:v>
                </c:pt>
                <c:pt idx="8">
                  <c:v>22695.699999999993</c:v>
                </c:pt>
                <c:pt idx="9">
                  <c:v>24472.999999999993</c:v>
                </c:pt>
                <c:pt idx="10">
                  <c:v>26250.299999999992</c:v>
                </c:pt>
                <c:pt idx="11">
                  <c:v>28027.599999999991</c:v>
                </c:pt>
                <c:pt idx="12">
                  <c:v>29829.861499999992</c:v>
                </c:pt>
                <c:pt idx="13">
                  <c:v>31632.122999999992</c:v>
                </c:pt>
                <c:pt idx="14">
                  <c:v>33434.384499999993</c:v>
                </c:pt>
                <c:pt idx="15">
                  <c:v>35236.645999999993</c:v>
                </c:pt>
                <c:pt idx="16">
                  <c:v>37038.907499999994</c:v>
                </c:pt>
                <c:pt idx="17">
                  <c:v>38841.168999999994</c:v>
                </c:pt>
                <c:pt idx="18">
                  <c:v>40643.430499999995</c:v>
                </c:pt>
                <c:pt idx="19">
                  <c:v>42445.691999999995</c:v>
                </c:pt>
                <c:pt idx="20">
                  <c:v>44247.953499999996</c:v>
                </c:pt>
                <c:pt idx="21">
                  <c:v>46050.214999999997</c:v>
                </c:pt>
                <c:pt idx="22">
                  <c:v>47852.476499999997</c:v>
                </c:pt>
                <c:pt idx="23">
                  <c:v>49654.737999999998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E6-48E2-8225-E665B852E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598480"/>
        <c:axId val="283598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Dashboard!$B$80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Dashboard!$C$79:$Z$79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Dashboard!$C$80:$Z$80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2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7E6-48E2-8225-E665B852E4D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Dashboard!$B$90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Dashboard!$C$79:$Z$79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Dashboard!$C$90:$Z$90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7E6-48E2-8225-E665B852E4DE}"/>
                  </c:ext>
                </c:extLst>
              </c15:ser>
            </c15:filteredLineSeries>
          </c:ext>
        </c:extLst>
      </c:lineChart>
      <c:catAx>
        <c:axId val="28359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r>
                  <a:rPr lang="de-CH">
                    <a:latin typeface="Trebuchet MS" panose="020B0603020202020204" pitchFamily="34" charset="0"/>
                  </a:rPr>
                  <a:t>Anzahl Monate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rebuchet MS" panose="020B060302020202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de-DE"/>
          </a:p>
        </c:txPr>
        <c:crossAx val="283598896"/>
        <c:crosses val="autoZero"/>
        <c:auto val="1"/>
        <c:lblAlgn val="ctr"/>
        <c:lblOffset val="100"/>
        <c:noMultiLvlLbl val="0"/>
      </c:catAx>
      <c:valAx>
        <c:axId val="2835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r>
                  <a:rPr lang="de-CH">
                    <a:latin typeface="Trebuchet MS" panose="020B0603020202020204" pitchFamily="34" charset="0"/>
                  </a:rPr>
                  <a:t>Kosten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rebuchet MS" panose="020B060302020202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de-DE"/>
          </a:p>
        </c:txPr>
        <c:crossAx val="28359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rebuchet MS" panose="020B06030202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r>
              <a:rPr lang="de-CH">
                <a:latin typeface="Trebuchet MS" panose="020B0603020202020204" pitchFamily="34" charset="0"/>
              </a:rPr>
              <a:t>Kostenszenarios exklusive Lohnkosten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rebuchet MS" panose="020B0603020202020204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Dashboard!$B$83</c:f>
              <c:strCache>
                <c:ptCount val="1"/>
                <c:pt idx="0">
                  <c:v>Kosten ohne Tool Detective exklusive Lohnkosten</c:v>
                </c:pt>
              </c:strCache>
            </c:strRef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Dashboard!$C$79:$Z$79</c:f>
              <c:numCache>
                <c:formatCode>_ * #,##0_ ;_ * \-#,##0_ ;_ * "-"??_ ;_ @_ 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Dashboard!$C$83:$Z$83</c:f>
              <c:numCache>
                <c:formatCode>_ * #,##0_ ;_ * \-#,##0_ ;_ * "-"??_ ;_ @_ </c:formatCode>
                <c:ptCount val="24"/>
                <c:pt idx="0">
                  <c:v>1012.9</c:v>
                </c:pt>
                <c:pt idx="1">
                  <c:v>2025.8</c:v>
                </c:pt>
                <c:pt idx="2">
                  <c:v>3038.7</c:v>
                </c:pt>
                <c:pt idx="3">
                  <c:v>4051.6</c:v>
                </c:pt>
                <c:pt idx="4">
                  <c:v>5064.5</c:v>
                </c:pt>
                <c:pt idx="5">
                  <c:v>6077.4</c:v>
                </c:pt>
                <c:pt idx="6">
                  <c:v>7090.2999999999993</c:v>
                </c:pt>
                <c:pt idx="7">
                  <c:v>8103.1999999999989</c:v>
                </c:pt>
                <c:pt idx="8">
                  <c:v>9116.0999999999985</c:v>
                </c:pt>
                <c:pt idx="9">
                  <c:v>10128.999999999998</c:v>
                </c:pt>
                <c:pt idx="10">
                  <c:v>11141.899999999998</c:v>
                </c:pt>
                <c:pt idx="11">
                  <c:v>12154.799999999997</c:v>
                </c:pt>
                <c:pt idx="12">
                  <c:v>13217.622999999998</c:v>
                </c:pt>
                <c:pt idx="13">
                  <c:v>14280.445999999998</c:v>
                </c:pt>
                <c:pt idx="14">
                  <c:v>15343.268999999998</c:v>
                </c:pt>
                <c:pt idx="15">
                  <c:v>16406.091999999997</c:v>
                </c:pt>
                <c:pt idx="16">
                  <c:v>17468.914999999997</c:v>
                </c:pt>
                <c:pt idx="17">
                  <c:v>18531.737999999998</c:v>
                </c:pt>
                <c:pt idx="18">
                  <c:v>19594.560999999998</c:v>
                </c:pt>
                <c:pt idx="19">
                  <c:v>20657.383999999998</c:v>
                </c:pt>
                <c:pt idx="20">
                  <c:v>21720.206999999999</c:v>
                </c:pt>
                <c:pt idx="21">
                  <c:v>22783.03</c:v>
                </c:pt>
                <c:pt idx="22">
                  <c:v>23845.852999999999</c:v>
                </c:pt>
                <c:pt idx="23">
                  <c:v>24908.675999999999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1-4E87-933D-F75FC4065B99}"/>
            </c:ext>
          </c:extLst>
        </c:ser>
        <c:ser>
          <c:idx val="2"/>
          <c:order val="2"/>
          <c:tx>
            <c:strRef>
              <c:f>Dashboard!$B$85</c:f>
              <c:strCache>
                <c:ptCount val="1"/>
                <c:pt idx="0">
                  <c:v>Szenario 1: Abomodell für Software von Tool Detective mit Kameraeinkauf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Dashboard!$C$79:$Z$79</c:f>
              <c:numCache>
                <c:formatCode>_ * #,##0_ ;_ * \-#,##0_ ;_ * "-"??_ ;_ @_ 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Dashboard!$C$85:$Z$85</c:f>
              <c:numCache>
                <c:formatCode>_ * #,##0_ ;_ * \-#,##0_ ;_ * "-"??_ ;_ @_ </c:formatCode>
                <c:ptCount val="24"/>
                <c:pt idx="0">
                  <c:v>123977.3</c:v>
                </c:pt>
                <c:pt idx="1">
                  <c:v>125754.6</c:v>
                </c:pt>
                <c:pt idx="2">
                  <c:v>127531.90000000001</c:v>
                </c:pt>
                <c:pt idx="3">
                  <c:v>129309.20000000001</c:v>
                </c:pt>
                <c:pt idx="4">
                  <c:v>131086.5</c:v>
                </c:pt>
                <c:pt idx="5">
                  <c:v>132863.79999999999</c:v>
                </c:pt>
                <c:pt idx="6">
                  <c:v>134641.09999999998</c:v>
                </c:pt>
                <c:pt idx="7">
                  <c:v>136418.39999999997</c:v>
                </c:pt>
                <c:pt idx="8">
                  <c:v>138195.69999999995</c:v>
                </c:pt>
                <c:pt idx="9">
                  <c:v>139972.99999999994</c:v>
                </c:pt>
                <c:pt idx="10">
                  <c:v>141750.29999999993</c:v>
                </c:pt>
                <c:pt idx="11">
                  <c:v>143527.59999999992</c:v>
                </c:pt>
                <c:pt idx="12">
                  <c:v>145329.86149999991</c:v>
                </c:pt>
                <c:pt idx="13">
                  <c:v>147132.12299999991</c:v>
                </c:pt>
                <c:pt idx="14">
                  <c:v>148934.3844999999</c:v>
                </c:pt>
                <c:pt idx="15">
                  <c:v>150736.64599999989</c:v>
                </c:pt>
                <c:pt idx="16">
                  <c:v>152538.90749999988</c:v>
                </c:pt>
                <c:pt idx="17">
                  <c:v>154341.16899999988</c:v>
                </c:pt>
                <c:pt idx="18">
                  <c:v>156143.43049999987</c:v>
                </c:pt>
                <c:pt idx="19">
                  <c:v>157945.69199999986</c:v>
                </c:pt>
                <c:pt idx="20">
                  <c:v>159747.95349999986</c:v>
                </c:pt>
                <c:pt idx="21">
                  <c:v>161550.21499999985</c:v>
                </c:pt>
                <c:pt idx="22">
                  <c:v>163352.47649999984</c:v>
                </c:pt>
                <c:pt idx="23">
                  <c:v>165154.73799999984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1-4E87-933D-F75FC4065B99}"/>
            </c:ext>
          </c:extLst>
        </c:ser>
        <c:ser>
          <c:idx val="3"/>
          <c:order val="3"/>
          <c:tx>
            <c:strRef>
              <c:f>Dashboard!$B$86</c:f>
              <c:strCache>
                <c:ptCount val="1"/>
                <c:pt idx="0">
                  <c:v>Szenario 2: Abomodell für Software von Tool Detective mit Kameraabo  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Dashboard!$C$79:$Z$79</c:f>
              <c:numCache>
                <c:formatCode>_ * #,##0_ ;_ * \-#,##0_ ;_ * "-"??_ ;_ @_ 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Dashboard!$C$86:$Z$86</c:f>
              <c:numCache>
                <c:formatCode>0</c:formatCode>
                <c:ptCount val="24"/>
                <c:pt idx="0">
                  <c:v>28304.799999999999</c:v>
                </c:pt>
                <c:pt idx="1">
                  <c:v>49283.974999999999</c:v>
                </c:pt>
                <c:pt idx="2">
                  <c:v>69637.524999999994</c:v>
                </c:pt>
                <c:pt idx="3">
                  <c:v>89365.45</c:v>
                </c:pt>
                <c:pt idx="4">
                  <c:v>108467.75</c:v>
                </c:pt>
                <c:pt idx="5">
                  <c:v>126944.425</c:v>
                </c:pt>
                <c:pt idx="6">
                  <c:v>144795.47500000001</c:v>
                </c:pt>
                <c:pt idx="7">
                  <c:v>162020.9</c:v>
                </c:pt>
                <c:pt idx="8">
                  <c:v>178620.69999999998</c:v>
                </c:pt>
                <c:pt idx="9">
                  <c:v>194594.87499999997</c:v>
                </c:pt>
                <c:pt idx="10">
                  <c:v>209943.42499999996</c:v>
                </c:pt>
                <c:pt idx="11">
                  <c:v>224666.34999999995</c:v>
                </c:pt>
                <c:pt idx="12">
                  <c:v>238788.61149999994</c:v>
                </c:pt>
                <c:pt idx="13">
                  <c:v>252285.24799999993</c:v>
                </c:pt>
                <c:pt idx="14">
                  <c:v>265156.25949999993</c:v>
                </c:pt>
                <c:pt idx="15">
                  <c:v>277401.64599999995</c:v>
                </c:pt>
                <c:pt idx="16">
                  <c:v>289021.40749999997</c:v>
                </c:pt>
                <c:pt idx="17">
                  <c:v>300015.54399999999</c:v>
                </c:pt>
                <c:pt idx="18">
                  <c:v>310384.05550000002</c:v>
                </c:pt>
                <c:pt idx="19">
                  <c:v>320126.94200000004</c:v>
                </c:pt>
                <c:pt idx="20">
                  <c:v>329244.20350000006</c:v>
                </c:pt>
                <c:pt idx="21">
                  <c:v>337735.84000000008</c:v>
                </c:pt>
                <c:pt idx="22">
                  <c:v>345601.85150000011</c:v>
                </c:pt>
                <c:pt idx="23">
                  <c:v>352842.23800000013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C1-4E87-933D-F75FC4065B99}"/>
            </c:ext>
          </c:extLst>
        </c:ser>
        <c:ser>
          <c:idx val="4"/>
          <c:order val="4"/>
          <c:tx>
            <c:strRef>
              <c:f>Dashboard!$B$87</c:f>
              <c:strCache>
                <c:ptCount val="1"/>
                <c:pt idx="0">
                  <c:v>Szenario 3:  Einmalzahlung für Software von Tool Detective mit Kameraeinkauf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Dashboard!$C$79:$Z$79</c:f>
              <c:numCache>
                <c:formatCode>_ * #,##0_ ;_ * \-#,##0_ ;_ * "-"??_ ;_ @_ 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Dashboard!$C$87:$Z$87</c:f>
              <c:numCache>
                <c:formatCode>_ * #,##0_ ;_ * \-#,##0_ ;_ * "-"??_ ;_ @_ </c:formatCode>
                <c:ptCount val="24"/>
                <c:pt idx="0">
                  <c:v>228457.45</c:v>
                </c:pt>
                <c:pt idx="1">
                  <c:v>228463.90000000002</c:v>
                </c:pt>
                <c:pt idx="2">
                  <c:v>228470.35000000003</c:v>
                </c:pt>
                <c:pt idx="3">
                  <c:v>228476.80000000005</c:v>
                </c:pt>
                <c:pt idx="4">
                  <c:v>228483.25000000006</c:v>
                </c:pt>
                <c:pt idx="5">
                  <c:v>228489.70000000007</c:v>
                </c:pt>
                <c:pt idx="6">
                  <c:v>228496.15000000008</c:v>
                </c:pt>
                <c:pt idx="7">
                  <c:v>228502.60000000009</c:v>
                </c:pt>
                <c:pt idx="8">
                  <c:v>228509.0500000001</c:v>
                </c:pt>
                <c:pt idx="9">
                  <c:v>228515.50000000012</c:v>
                </c:pt>
                <c:pt idx="10">
                  <c:v>228521.95000000013</c:v>
                </c:pt>
                <c:pt idx="11">
                  <c:v>228528.40000000014</c:v>
                </c:pt>
                <c:pt idx="12">
                  <c:v>228559.81150000013</c:v>
                </c:pt>
                <c:pt idx="13">
                  <c:v>228591.22300000011</c:v>
                </c:pt>
                <c:pt idx="14">
                  <c:v>228622.6345000001</c:v>
                </c:pt>
                <c:pt idx="15">
                  <c:v>228654.04600000009</c:v>
                </c:pt>
                <c:pt idx="16">
                  <c:v>228685.45750000008</c:v>
                </c:pt>
                <c:pt idx="17">
                  <c:v>228716.86900000006</c:v>
                </c:pt>
                <c:pt idx="18">
                  <c:v>228748.28050000005</c:v>
                </c:pt>
                <c:pt idx="19">
                  <c:v>228779.69200000004</c:v>
                </c:pt>
                <c:pt idx="20">
                  <c:v>228811.10350000003</c:v>
                </c:pt>
                <c:pt idx="21">
                  <c:v>228842.51500000001</c:v>
                </c:pt>
                <c:pt idx="22">
                  <c:v>228873.9265</c:v>
                </c:pt>
                <c:pt idx="23">
                  <c:v>228905.33799999999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C1-4E87-933D-F75FC4065B99}"/>
            </c:ext>
          </c:extLst>
        </c:ser>
        <c:ser>
          <c:idx val="5"/>
          <c:order val="5"/>
          <c:tx>
            <c:strRef>
              <c:f>Dashboard!$B$88</c:f>
              <c:strCache>
                <c:ptCount val="1"/>
                <c:pt idx="0">
                  <c:v>Szenario 4: Einmalzahlung für Software von Tooldetective mit Kameraabo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Dashboard!$C$79:$Z$79</c:f>
              <c:numCache>
                <c:formatCode>_ * #,##0_ ;_ * \-#,##0_ ;_ * "-"??_ ;_ @_ 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Dashboard!$C$88:$Z$88</c:f>
              <c:numCache>
                <c:formatCode>_ * #,##0_ ;_ * \-#,##0_ ;_ * "-"??_ ;_ @_ </c:formatCode>
                <c:ptCount val="24"/>
                <c:pt idx="0">
                  <c:v>132784.95000000001</c:v>
                </c:pt>
                <c:pt idx="1">
                  <c:v>151993.27500000002</c:v>
                </c:pt>
                <c:pt idx="2">
                  <c:v>170575.97500000003</c:v>
                </c:pt>
                <c:pt idx="3">
                  <c:v>188533.05000000005</c:v>
                </c:pt>
                <c:pt idx="4">
                  <c:v>205864.50000000006</c:v>
                </c:pt>
                <c:pt idx="5">
                  <c:v>222570.32500000007</c:v>
                </c:pt>
                <c:pt idx="6">
                  <c:v>238650.52500000008</c:v>
                </c:pt>
                <c:pt idx="7">
                  <c:v>254105.10000000009</c:v>
                </c:pt>
                <c:pt idx="8">
                  <c:v>268934.0500000001</c:v>
                </c:pt>
                <c:pt idx="9">
                  <c:v>283137.37500000012</c:v>
                </c:pt>
                <c:pt idx="10">
                  <c:v>296715.07500000013</c:v>
                </c:pt>
                <c:pt idx="11">
                  <c:v>309667.15000000014</c:v>
                </c:pt>
                <c:pt idx="12">
                  <c:v>322018.56150000013</c:v>
                </c:pt>
                <c:pt idx="13">
                  <c:v>333744.34800000011</c:v>
                </c:pt>
                <c:pt idx="14">
                  <c:v>344844.5095000001</c:v>
                </c:pt>
                <c:pt idx="15">
                  <c:v>355319.04600000009</c:v>
                </c:pt>
                <c:pt idx="16">
                  <c:v>365167.95750000008</c:v>
                </c:pt>
                <c:pt idx="17">
                  <c:v>374391.24400000006</c:v>
                </c:pt>
                <c:pt idx="18">
                  <c:v>382988.90550000005</c:v>
                </c:pt>
                <c:pt idx="19">
                  <c:v>390960.94200000004</c:v>
                </c:pt>
                <c:pt idx="20">
                  <c:v>398307.35350000003</c:v>
                </c:pt>
                <c:pt idx="21">
                  <c:v>405028.14</c:v>
                </c:pt>
                <c:pt idx="22">
                  <c:v>411123.3015</c:v>
                </c:pt>
                <c:pt idx="23">
                  <c:v>416592.83799999999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C1-4E87-933D-F75FC4065B99}"/>
            </c:ext>
          </c:extLst>
        </c:ser>
        <c:ser>
          <c:idx val="6"/>
          <c:order val="6"/>
          <c:tx>
            <c:strRef>
              <c:f>Dashboard!$B$89</c:f>
              <c:strCache>
                <c:ptCount val="1"/>
                <c:pt idx="0">
                  <c:v>Szenario 5: Abomodell für Software von Tool Detective ohne Kameraaufwand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Dashboard!$C$79:$Z$79</c:f>
              <c:numCache>
                <c:formatCode>_ * #,##0_ ;_ * \-#,##0_ ;_ * "-"??_ ;_ @_ 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Dashboard!$C$89:$Z$89</c:f>
              <c:numCache>
                <c:formatCode>0</c:formatCode>
                <c:ptCount val="24"/>
                <c:pt idx="0">
                  <c:v>8477.2999999999993</c:v>
                </c:pt>
                <c:pt idx="1">
                  <c:v>10254.599999999999</c:v>
                </c:pt>
                <c:pt idx="2">
                  <c:v>12031.899999999998</c:v>
                </c:pt>
                <c:pt idx="3">
                  <c:v>13809.199999999997</c:v>
                </c:pt>
                <c:pt idx="4">
                  <c:v>15586.499999999996</c:v>
                </c:pt>
                <c:pt idx="5">
                  <c:v>17363.799999999996</c:v>
                </c:pt>
                <c:pt idx="6">
                  <c:v>19141.099999999995</c:v>
                </c:pt>
                <c:pt idx="7">
                  <c:v>20918.399999999994</c:v>
                </c:pt>
                <c:pt idx="8">
                  <c:v>22695.699999999993</c:v>
                </c:pt>
                <c:pt idx="9">
                  <c:v>24472.999999999993</c:v>
                </c:pt>
                <c:pt idx="10">
                  <c:v>26250.299999999992</c:v>
                </c:pt>
                <c:pt idx="11">
                  <c:v>28027.599999999991</c:v>
                </c:pt>
                <c:pt idx="12">
                  <c:v>29829.861499999992</c:v>
                </c:pt>
                <c:pt idx="13">
                  <c:v>31632.122999999992</c:v>
                </c:pt>
                <c:pt idx="14">
                  <c:v>33434.384499999993</c:v>
                </c:pt>
                <c:pt idx="15">
                  <c:v>35236.645999999993</c:v>
                </c:pt>
                <c:pt idx="16">
                  <c:v>37038.907499999994</c:v>
                </c:pt>
                <c:pt idx="17">
                  <c:v>38841.168999999994</c:v>
                </c:pt>
                <c:pt idx="18">
                  <c:v>40643.430499999995</c:v>
                </c:pt>
                <c:pt idx="19">
                  <c:v>42445.691999999995</c:v>
                </c:pt>
                <c:pt idx="20">
                  <c:v>44247.953499999996</c:v>
                </c:pt>
                <c:pt idx="21">
                  <c:v>46050.214999999997</c:v>
                </c:pt>
                <c:pt idx="22">
                  <c:v>47852.476499999997</c:v>
                </c:pt>
                <c:pt idx="23">
                  <c:v>49654.737999999998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C1-4E87-933D-F75FC4065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584752"/>
        <c:axId val="2836005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Dashboard!$B$84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Dashboard!$C$79:$Z$79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Dashboard!$C$84:$Z$84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CC1-4E87-933D-F75FC4065B99}"/>
                  </c:ext>
                </c:extLst>
              </c15:ser>
            </c15:filteredLineSeries>
          </c:ext>
        </c:extLst>
      </c:lineChart>
      <c:catAx>
        <c:axId val="28358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Anzahl Monatel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de-DE"/>
          </a:p>
        </c:txPr>
        <c:crossAx val="283600560"/>
        <c:crosses val="autoZero"/>
        <c:auto val="1"/>
        <c:lblAlgn val="ctr"/>
        <c:lblOffset val="100"/>
        <c:noMultiLvlLbl val="0"/>
      </c:catAx>
      <c:valAx>
        <c:axId val="28360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Kosten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de-DE"/>
          </a:p>
        </c:txPr>
        <c:crossAx val="28358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rebuchet MS" panose="020B06030202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Dashboard!$B$81</c:f>
              <c:strCache>
                <c:ptCount val="1"/>
                <c:pt idx="0">
                  <c:v>Kosten ohne Tool Detective inklusive Lohnkosten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Dashboard!$C$79:$Z$79</c:f>
              <c:numCache>
                <c:formatCode>_ * #,##0_ ;_ * \-#,##0_ ;_ * "-"??_ ;_ @_ 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Dashboard!$C$81:$Z$81</c:f>
              <c:numCache>
                <c:formatCode>_ * #,##0_ ;_ * \-#,##0_ ;_ * "-"??_ ;_ @_ </c:formatCode>
                <c:ptCount val="24"/>
                <c:pt idx="0">
                  <c:v>149940712.90000001</c:v>
                </c:pt>
                <c:pt idx="1">
                  <c:v>299881425.80000001</c:v>
                </c:pt>
                <c:pt idx="2">
                  <c:v>449822138.70000005</c:v>
                </c:pt>
                <c:pt idx="3">
                  <c:v>599762851.60000002</c:v>
                </c:pt>
                <c:pt idx="4">
                  <c:v>749703564.5</c:v>
                </c:pt>
                <c:pt idx="5">
                  <c:v>899644277.39999998</c:v>
                </c:pt>
                <c:pt idx="6">
                  <c:v>1049584990.3</c:v>
                </c:pt>
                <c:pt idx="7">
                  <c:v>1199525703.2</c:v>
                </c:pt>
                <c:pt idx="8">
                  <c:v>1349466416.1000001</c:v>
                </c:pt>
                <c:pt idx="9">
                  <c:v>1499407129.0000002</c:v>
                </c:pt>
                <c:pt idx="10">
                  <c:v>1649347841.9000003</c:v>
                </c:pt>
                <c:pt idx="11">
                  <c:v>1799288554.8000004</c:v>
                </c:pt>
                <c:pt idx="12">
                  <c:v>1949229317.6230004</c:v>
                </c:pt>
                <c:pt idx="13">
                  <c:v>2099170080.4460003</c:v>
                </c:pt>
                <c:pt idx="14">
                  <c:v>2249110843.2690005</c:v>
                </c:pt>
                <c:pt idx="15">
                  <c:v>2399051606.0920005</c:v>
                </c:pt>
                <c:pt idx="16">
                  <c:v>2548992368.9150004</c:v>
                </c:pt>
                <c:pt idx="17">
                  <c:v>2698933131.7380004</c:v>
                </c:pt>
                <c:pt idx="18">
                  <c:v>2848873894.5610003</c:v>
                </c:pt>
                <c:pt idx="19">
                  <c:v>2998814657.3840003</c:v>
                </c:pt>
                <c:pt idx="20">
                  <c:v>3148755420.2070003</c:v>
                </c:pt>
                <c:pt idx="21">
                  <c:v>3298696183.0300002</c:v>
                </c:pt>
                <c:pt idx="22">
                  <c:v>3448636945.8530002</c:v>
                </c:pt>
                <c:pt idx="23">
                  <c:v>3598577708.6760001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5D-4EA3-AB89-F645D67B42E2}"/>
            </c:ext>
          </c:extLst>
        </c:ser>
        <c:ser>
          <c:idx val="3"/>
          <c:order val="3"/>
          <c:tx>
            <c:strRef>
              <c:f>Dashboard!$B$83</c:f>
              <c:strCache>
                <c:ptCount val="1"/>
                <c:pt idx="0">
                  <c:v>Kosten ohne Tool Detective exklusive Lohnkosten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Dashboard!$C$79:$Z$79</c:f>
              <c:numCache>
                <c:formatCode>_ * #,##0_ ;_ * \-#,##0_ ;_ * "-"??_ ;_ @_ 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Dashboard!$C$83:$Z$83</c:f>
              <c:numCache>
                <c:formatCode>_ * #,##0_ ;_ * \-#,##0_ ;_ * "-"??_ ;_ @_ </c:formatCode>
                <c:ptCount val="24"/>
                <c:pt idx="0">
                  <c:v>1012.9</c:v>
                </c:pt>
                <c:pt idx="1">
                  <c:v>2025.8</c:v>
                </c:pt>
                <c:pt idx="2">
                  <c:v>3038.7</c:v>
                </c:pt>
                <c:pt idx="3">
                  <c:v>4051.6</c:v>
                </c:pt>
                <c:pt idx="4">
                  <c:v>5064.5</c:v>
                </c:pt>
                <c:pt idx="5">
                  <c:v>6077.4</c:v>
                </c:pt>
                <c:pt idx="6">
                  <c:v>7090.2999999999993</c:v>
                </c:pt>
                <c:pt idx="7">
                  <c:v>8103.1999999999989</c:v>
                </c:pt>
                <c:pt idx="8">
                  <c:v>9116.0999999999985</c:v>
                </c:pt>
                <c:pt idx="9">
                  <c:v>10128.999999999998</c:v>
                </c:pt>
                <c:pt idx="10">
                  <c:v>11141.899999999998</c:v>
                </c:pt>
                <c:pt idx="11">
                  <c:v>12154.799999999997</c:v>
                </c:pt>
                <c:pt idx="12">
                  <c:v>13217.622999999998</c:v>
                </c:pt>
                <c:pt idx="13">
                  <c:v>14280.445999999998</c:v>
                </c:pt>
                <c:pt idx="14">
                  <c:v>15343.268999999998</c:v>
                </c:pt>
                <c:pt idx="15">
                  <c:v>16406.091999999997</c:v>
                </c:pt>
                <c:pt idx="16">
                  <c:v>17468.914999999997</c:v>
                </c:pt>
                <c:pt idx="17">
                  <c:v>18531.737999999998</c:v>
                </c:pt>
                <c:pt idx="18">
                  <c:v>19594.560999999998</c:v>
                </c:pt>
                <c:pt idx="19">
                  <c:v>20657.383999999998</c:v>
                </c:pt>
                <c:pt idx="20">
                  <c:v>21720.206999999999</c:v>
                </c:pt>
                <c:pt idx="21">
                  <c:v>22783.03</c:v>
                </c:pt>
                <c:pt idx="22">
                  <c:v>23845.852999999999</c:v>
                </c:pt>
                <c:pt idx="23">
                  <c:v>24908.675999999999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5D-4EA3-AB89-F645D67B42E2}"/>
            </c:ext>
          </c:extLst>
        </c:ser>
        <c:ser>
          <c:idx val="5"/>
          <c:order val="5"/>
          <c:tx>
            <c:strRef>
              <c:f>Dashboard!$B$85</c:f>
              <c:strCache>
                <c:ptCount val="1"/>
                <c:pt idx="0">
                  <c:v>Szenario 1: Abomodell für Software von Tool Detective mit Kameraeinkauf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Dashboard!$C$79:$Z$79</c:f>
              <c:numCache>
                <c:formatCode>_ * #,##0_ ;_ * \-#,##0_ ;_ * "-"??_ ;_ @_ 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Dashboard!$C$85:$Z$85</c:f>
              <c:numCache>
                <c:formatCode>_ * #,##0_ ;_ * \-#,##0_ ;_ * "-"??_ ;_ @_ </c:formatCode>
                <c:ptCount val="24"/>
                <c:pt idx="0">
                  <c:v>123977.3</c:v>
                </c:pt>
                <c:pt idx="1">
                  <c:v>125754.6</c:v>
                </c:pt>
                <c:pt idx="2">
                  <c:v>127531.90000000001</c:v>
                </c:pt>
                <c:pt idx="3">
                  <c:v>129309.20000000001</c:v>
                </c:pt>
                <c:pt idx="4">
                  <c:v>131086.5</c:v>
                </c:pt>
                <c:pt idx="5">
                  <c:v>132863.79999999999</c:v>
                </c:pt>
                <c:pt idx="6">
                  <c:v>134641.09999999998</c:v>
                </c:pt>
                <c:pt idx="7">
                  <c:v>136418.39999999997</c:v>
                </c:pt>
                <c:pt idx="8">
                  <c:v>138195.69999999995</c:v>
                </c:pt>
                <c:pt idx="9">
                  <c:v>139972.99999999994</c:v>
                </c:pt>
                <c:pt idx="10">
                  <c:v>141750.29999999993</c:v>
                </c:pt>
                <c:pt idx="11">
                  <c:v>143527.59999999992</c:v>
                </c:pt>
                <c:pt idx="12">
                  <c:v>145329.86149999991</c:v>
                </c:pt>
                <c:pt idx="13">
                  <c:v>147132.12299999991</c:v>
                </c:pt>
                <c:pt idx="14">
                  <c:v>148934.3844999999</c:v>
                </c:pt>
                <c:pt idx="15">
                  <c:v>150736.64599999989</c:v>
                </c:pt>
                <c:pt idx="16">
                  <c:v>152538.90749999988</c:v>
                </c:pt>
                <c:pt idx="17">
                  <c:v>154341.16899999988</c:v>
                </c:pt>
                <c:pt idx="18">
                  <c:v>156143.43049999987</c:v>
                </c:pt>
                <c:pt idx="19">
                  <c:v>157945.69199999986</c:v>
                </c:pt>
                <c:pt idx="20">
                  <c:v>159747.95349999986</c:v>
                </c:pt>
                <c:pt idx="21">
                  <c:v>161550.21499999985</c:v>
                </c:pt>
                <c:pt idx="22">
                  <c:v>163352.47649999984</c:v>
                </c:pt>
                <c:pt idx="23">
                  <c:v>165154.73799999984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5D-4EA3-AB89-F645D67B42E2}"/>
            </c:ext>
          </c:extLst>
        </c:ser>
        <c:ser>
          <c:idx val="6"/>
          <c:order val="6"/>
          <c:tx>
            <c:strRef>
              <c:f>Dashboard!$B$86</c:f>
              <c:strCache>
                <c:ptCount val="1"/>
                <c:pt idx="0">
                  <c:v>Szenario 2: Abomodell für Software von Tool Detective mit Kameraabo  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Dashboard!$C$79:$Z$79</c:f>
              <c:numCache>
                <c:formatCode>_ * #,##0_ ;_ * \-#,##0_ ;_ * "-"??_ ;_ @_ 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Dashboard!$C$86:$Z$86</c:f>
              <c:numCache>
                <c:formatCode>0</c:formatCode>
                <c:ptCount val="24"/>
                <c:pt idx="0">
                  <c:v>28304.799999999999</c:v>
                </c:pt>
                <c:pt idx="1">
                  <c:v>49283.974999999999</c:v>
                </c:pt>
                <c:pt idx="2">
                  <c:v>69637.524999999994</c:v>
                </c:pt>
                <c:pt idx="3">
                  <c:v>89365.45</c:v>
                </c:pt>
                <c:pt idx="4">
                  <c:v>108467.75</c:v>
                </c:pt>
                <c:pt idx="5">
                  <c:v>126944.425</c:v>
                </c:pt>
                <c:pt idx="6">
                  <c:v>144795.47500000001</c:v>
                </c:pt>
                <c:pt idx="7">
                  <c:v>162020.9</c:v>
                </c:pt>
                <c:pt idx="8">
                  <c:v>178620.69999999998</c:v>
                </c:pt>
                <c:pt idx="9">
                  <c:v>194594.87499999997</c:v>
                </c:pt>
                <c:pt idx="10">
                  <c:v>209943.42499999996</c:v>
                </c:pt>
                <c:pt idx="11">
                  <c:v>224666.34999999995</c:v>
                </c:pt>
                <c:pt idx="12">
                  <c:v>238788.61149999994</c:v>
                </c:pt>
                <c:pt idx="13">
                  <c:v>252285.24799999993</c:v>
                </c:pt>
                <c:pt idx="14">
                  <c:v>265156.25949999993</c:v>
                </c:pt>
                <c:pt idx="15">
                  <c:v>277401.64599999995</c:v>
                </c:pt>
                <c:pt idx="16">
                  <c:v>289021.40749999997</c:v>
                </c:pt>
                <c:pt idx="17">
                  <c:v>300015.54399999999</c:v>
                </c:pt>
                <c:pt idx="18">
                  <c:v>310384.05550000002</c:v>
                </c:pt>
                <c:pt idx="19">
                  <c:v>320126.94200000004</c:v>
                </c:pt>
                <c:pt idx="20">
                  <c:v>329244.20350000006</c:v>
                </c:pt>
                <c:pt idx="21">
                  <c:v>337735.84000000008</c:v>
                </c:pt>
                <c:pt idx="22">
                  <c:v>345601.85150000011</c:v>
                </c:pt>
                <c:pt idx="23">
                  <c:v>352842.23800000013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5D-4EA3-AB89-F645D67B42E2}"/>
            </c:ext>
          </c:extLst>
        </c:ser>
        <c:ser>
          <c:idx val="7"/>
          <c:order val="7"/>
          <c:tx>
            <c:strRef>
              <c:f>Dashboard!$B$87</c:f>
              <c:strCache>
                <c:ptCount val="1"/>
                <c:pt idx="0">
                  <c:v>Szenario 3:  Einmalzahlung für Software von Tool Detective mit Kameraeinkauf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Dashboard!$C$79:$Z$79</c:f>
              <c:numCache>
                <c:formatCode>_ * #,##0_ ;_ * \-#,##0_ ;_ * "-"??_ ;_ @_ 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Dashboard!$C$87:$Z$87</c:f>
              <c:numCache>
                <c:formatCode>_ * #,##0_ ;_ * \-#,##0_ ;_ * "-"??_ ;_ @_ </c:formatCode>
                <c:ptCount val="24"/>
                <c:pt idx="0">
                  <c:v>228457.45</c:v>
                </c:pt>
                <c:pt idx="1">
                  <c:v>228463.90000000002</c:v>
                </c:pt>
                <c:pt idx="2">
                  <c:v>228470.35000000003</c:v>
                </c:pt>
                <c:pt idx="3">
                  <c:v>228476.80000000005</c:v>
                </c:pt>
                <c:pt idx="4">
                  <c:v>228483.25000000006</c:v>
                </c:pt>
                <c:pt idx="5">
                  <c:v>228489.70000000007</c:v>
                </c:pt>
                <c:pt idx="6">
                  <c:v>228496.15000000008</c:v>
                </c:pt>
                <c:pt idx="7">
                  <c:v>228502.60000000009</c:v>
                </c:pt>
                <c:pt idx="8">
                  <c:v>228509.0500000001</c:v>
                </c:pt>
                <c:pt idx="9">
                  <c:v>228515.50000000012</c:v>
                </c:pt>
                <c:pt idx="10">
                  <c:v>228521.95000000013</c:v>
                </c:pt>
                <c:pt idx="11">
                  <c:v>228528.40000000014</c:v>
                </c:pt>
                <c:pt idx="12">
                  <c:v>228559.81150000013</c:v>
                </c:pt>
                <c:pt idx="13">
                  <c:v>228591.22300000011</c:v>
                </c:pt>
                <c:pt idx="14">
                  <c:v>228622.6345000001</c:v>
                </c:pt>
                <c:pt idx="15">
                  <c:v>228654.04600000009</c:v>
                </c:pt>
                <c:pt idx="16">
                  <c:v>228685.45750000008</c:v>
                </c:pt>
                <c:pt idx="17">
                  <c:v>228716.86900000006</c:v>
                </c:pt>
                <c:pt idx="18">
                  <c:v>228748.28050000005</c:v>
                </c:pt>
                <c:pt idx="19">
                  <c:v>228779.69200000004</c:v>
                </c:pt>
                <c:pt idx="20">
                  <c:v>228811.10350000003</c:v>
                </c:pt>
                <c:pt idx="21">
                  <c:v>228842.51500000001</c:v>
                </c:pt>
                <c:pt idx="22">
                  <c:v>228873.9265</c:v>
                </c:pt>
                <c:pt idx="23">
                  <c:v>228905.33799999999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5D-4EA3-AB89-F645D67B42E2}"/>
            </c:ext>
          </c:extLst>
        </c:ser>
        <c:ser>
          <c:idx val="8"/>
          <c:order val="8"/>
          <c:tx>
            <c:strRef>
              <c:f>Dashboard!$B$88</c:f>
              <c:strCache>
                <c:ptCount val="1"/>
                <c:pt idx="0">
                  <c:v>Szenario 4: Einmalzahlung für Software von Tooldetective mit Kameraabo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Dashboard!$C$79:$Z$79</c:f>
              <c:numCache>
                <c:formatCode>_ * #,##0_ ;_ * \-#,##0_ ;_ * "-"??_ ;_ @_ 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Dashboard!$C$88:$Z$88</c:f>
              <c:numCache>
                <c:formatCode>_ * #,##0_ ;_ * \-#,##0_ ;_ * "-"??_ ;_ @_ </c:formatCode>
                <c:ptCount val="24"/>
                <c:pt idx="0">
                  <c:v>132784.95000000001</c:v>
                </c:pt>
                <c:pt idx="1">
                  <c:v>151993.27500000002</c:v>
                </c:pt>
                <c:pt idx="2">
                  <c:v>170575.97500000003</c:v>
                </c:pt>
                <c:pt idx="3">
                  <c:v>188533.05000000005</c:v>
                </c:pt>
                <c:pt idx="4">
                  <c:v>205864.50000000006</c:v>
                </c:pt>
                <c:pt idx="5">
                  <c:v>222570.32500000007</c:v>
                </c:pt>
                <c:pt idx="6">
                  <c:v>238650.52500000008</c:v>
                </c:pt>
                <c:pt idx="7">
                  <c:v>254105.10000000009</c:v>
                </c:pt>
                <c:pt idx="8">
                  <c:v>268934.0500000001</c:v>
                </c:pt>
                <c:pt idx="9">
                  <c:v>283137.37500000012</c:v>
                </c:pt>
                <c:pt idx="10">
                  <c:v>296715.07500000013</c:v>
                </c:pt>
                <c:pt idx="11">
                  <c:v>309667.15000000014</c:v>
                </c:pt>
                <c:pt idx="12">
                  <c:v>322018.56150000013</c:v>
                </c:pt>
                <c:pt idx="13">
                  <c:v>333744.34800000011</c:v>
                </c:pt>
                <c:pt idx="14">
                  <c:v>344844.5095000001</c:v>
                </c:pt>
                <c:pt idx="15">
                  <c:v>355319.04600000009</c:v>
                </c:pt>
                <c:pt idx="16">
                  <c:v>365167.95750000008</c:v>
                </c:pt>
                <c:pt idx="17">
                  <c:v>374391.24400000006</c:v>
                </c:pt>
                <c:pt idx="18">
                  <c:v>382988.90550000005</c:v>
                </c:pt>
                <c:pt idx="19">
                  <c:v>390960.94200000004</c:v>
                </c:pt>
                <c:pt idx="20">
                  <c:v>398307.35350000003</c:v>
                </c:pt>
                <c:pt idx="21">
                  <c:v>405028.14</c:v>
                </c:pt>
                <c:pt idx="22">
                  <c:v>411123.3015</c:v>
                </c:pt>
                <c:pt idx="23">
                  <c:v>416592.83799999999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5D-4EA3-AB89-F645D67B42E2}"/>
            </c:ext>
          </c:extLst>
        </c:ser>
        <c:ser>
          <c:idx val="9"/>
          <c:order val="9"/>
          <c:tx>
            <c:strRef>
              <c:f>Dashboard!$B$89</c:f>
              <c:strCache>
                <c:ptCount val="1"/>
                <c:pt idx="0">
                  <c:v>Szenario 5: Abomodell für Software von Tool Detective ohne Kameraaufwand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Dashboard!$C$79:$Z$79</c:f>
              <c:numCache>
                <c:formatCode>_ * #,##0_ ;_ * \-#,##0_ ;_ * "-"??_ ;_ @_ 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Dashboard!$C$89:$Z$89</c:f>
              <c:numCache>
                <c:formatCode>0</c:formatCode>
                <c:ptCount val="24"/>
                <c:pt idx="0">
                  <c:v>8477.2999999999993</c:v>
                </c:pt>
                <c:pt idx="1">
                  <c:v>10254.599999999999</c:v>
                </c:pt>
                <c:pt idx="2">
                  <c:v>12031.899999999998</c:v>
                </c:pt>
                <c:pt idx="3">
                  <c:v>13809.199999999997</c:v>
                </c:pt>
                <c:pt idx="4">
                  <c:v>15586.499999999996</c:v>
                </c:pt>
                <c:pt idx="5">
                  <c:v>17363.799999999996</c:v>
                </c:pt>
                <c:pt idx="6">
                  <c:v>19141.099999999995</c:v>
                </c:pt>
                <c:pt idx="7">
                  <c:v>20918.399999999994</c:v>
                </c:pt>
                <c:pt idx="8">
                  <c:v>22695.699999999993</c:v>
                </c:pt>
                <c:pt idx="9">
                  <c:v>24472.999999999993</c:v>
                </c:pt>
                <c:pt idx="10">
                  <c:v>26250.299999999992</c:v>
                </c:pt>
                <c:pt idx="11">
                  <c:v>28027.599999999991</c:v>
                </c:pt>
                <c:pt idx="12">
                  <c:v>29829.861499999992</c:v>
                </c:pt>
                <c:pt idx="13">
                  <c:v>31632.122999999992</c:v>
                </c:pt>
                <c:pt idx="14">
                  <c:v>33434.384499999993</c:v>
                </c:pt>
                <c:pt idx="15">
                  <c:v>35236.645999999993</c:v>
                </c:pt>
                <c:pt idx="16">
                  <c:v>37038.907499999994</c:v>
                </c:pt>
                <c:pt idx="17">
                  <c:v>38841.168999999994</c:v>
                </c:pt>
                <c:pt idx="18">
                  <c:v>40643.430499999995</c:v>
                </c:pt>
                <c:pt idx="19">
                  <c:v>42445.691999999995</c:v>
                </c:pt>
                <c:pt idx="20">
                  <c:v>44247.953499999996</c:v>
                </c:pt>
                <c:pt idx="21">
                  <c:v>46050.214999999997</c:v>
                </c:pt>
                <c:pt idx="22">
                  <c:v>47852.476499999997</c:v>
                </c:pt>
                <c:pt idx="23">
                  <c:v>49654.737999999998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5D-4EA3-AB89-F645D67B4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7643472"/>
        <c:axId val="18876443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Dashboard!$B$80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Dashboard!$C$79:$Z$79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Dashboard!$C$80:$Z$80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2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65D-4EA3-AB89-F645D67B42E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Dashboard!$B$82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Dashboard!$C$79:$Z$79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Dashboard!$C$82:$Z$82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2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65D-4EA3-AB89-F645D67B42E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Dashboard!$B$84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Dashboard!$C$79:$Z$79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Dashboard!$C$84:$Z$84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65D-4EA3-AB89-F645D67B42E2}"/>
                  </c:ext>
                </c:extLst>
              </c15:ser>
            </c15:filteredLineSeries>
          </c:ext>
        </c:extLst>
      </c:lineChart>
      <c:catAx>
        <c:axId val="1887643472"/>
        <c:scaling>
          <c:orientation val="minMax"/>
        </c:scaling>
        <c:delete val="0"/>
        <c:axPos val="b"/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644304"/>
        <c:crosses val="autoZero"/>
        <c:auto val="1"/>
        <c:lblAlgn val="ctr"/>
        <c:lblOffset val="100"/>
        <c:noMultiLvlLbl val="0"/>
      </c:catAx>
      <c:valAx>
        <c:axId val="188764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64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801920</xdr:colOff>
      <xdr:row>1</xdr:row>
      <xdr:rowOff>107156</xdr:rowOff>
    </xdr:from>
    <xdr:to>
      <xdr:col>21</xdr:col>
      <xdr:colOff>11904</xdr:colOff>
      <xdr:row>37</xdr:row>
      <xdr:rowOff>11906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764E634-C7AE-4059-BDA1-9F82F8E41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802479</xdr:colOff>
      <xdr:row>37</xdr:row>
      <xdr:rowOff>123822</xdr:rowOff>
    </xdr:from>
    <xdr:to>
      <xdr:col>21</xdr:col>
      <xdr:colOff>11903</xdr:colOff>
      <xdr:row>75</xdr:row>
      <xdr:rowOff>202406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E0C7A1F-634C-4380-9262-9C5F6F38A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44211</xdr:colOff>
      <xdr:row>90</xdr:row>
      <xdr:rowOff>116678</xdr:rowOff>
    </xdr:from>
    <xdr:to>
      <xdr:col>7</xdr:col>
      <xdr:colOff>381000</xdr:colOff>
      <xdr:row>112</xdr:row>
      <xdr:rowOff>119742</xdr:rowOff>
    </xdr:to>
    <xdr:graphicFrame macro="">
      <xdr:nvGraphicFramePr>
        <xdr:cNvPr id="6" name="Diagramm 3">
          <a:extLst>
            <a:ext uri="{FF2B5EF4-FFF2-40B4-BE49-F238E27FC236}">
              <a16:creationId xmlns:a16="http://schemas.microsoft.com/office/drawing/2014/main" id="{0288D563-B7B8-4A20-A441-C71933339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43ba0c3f436df2df/Dokumente/Tool%20Detective%20Business%20Case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putfaktoren"/>
      <sheetName val="Kosten ohne TD"/>
      <sheetName val="Kosten mit TD"/>
      <sheetName val="Einsparungen"/>
    </sheetNames>
    <sheetDataSet>
      <sheetData sheetId="0"/>
      <sheetData sheetId="1">
        <row r="6">
          <cell r="C6">
            <v>4</v>
          </cell>
        </row>
        <row r="7">
          <cell r="C7">
            <v>20</v>
          </cell>
        </row>
        <row r="11">
          <cell r="C11">
            <v>35</v>
          </cell>
        </row>
        <row r="12">
          <cell r="C12">
            <v>1000</v>
          </cell>
        </row>
        <row r="13">
          <cell r="D13">
            <v>1666.6666666666667</v>
          </cell>
        </row>
        <row r="17">
          <cell r="C17">
            <v>0.1</v>
          </cell>
        </row>
        <row r="18">
          <cell r="C18">
            <v>4</v>
          </cell>
        </row>
        <row r="19">
          <cell r="C19">
            <v>0.2</v>
          </cell>
        </row>
        <row r="23">
          <cell r="C23">
            <v>0.6</v>
          </cell>
        </row>
        <row r="24">
          <cell r="C24">
            <v>4.9000000000000002E-2</v>
          </cell>
        </row>
        <row r="31">
          <cell r="C31">
            <v>3500</v>
          </cell>
          <cell r="D31">
            <v>14000</v>
          </cell>
        </row>
        <row r="32">
          <cell r="C32">
            <v>500</v>
          </cell>
        </row>
        <row r="33">
          <cell r="C33">
            <v>35</v>
          </cell>
        </row>
        <row r="34">
          <cell r="C34">
            <v>200</v>
          </cell>
        </row>
        <row r="35">
          <cell r="C35">
            <v>100</v>
          </cell>
        </row>
        <row r="39">
          <cell r="C39">
            <v>60</v>
          </cell>
        </row>
        <row r="40">
          <cell r="C40">
            <v>24</v>
          </cell>
        </row>
        <row r="44">
          <cell r="C44">
            <v>0.8</v>
          </cell>
        </row>
        <row r="45">
          <cell r="C45">
            <v>0.13</v>
          </cell>
        </row>
        <row r="46">
          <cell r="C46">
            <v>7.0000000000000007E-2</v>
          </cell>
        </row>
      </sheetData>
      <sheetData sheetId="2">
        <row r="20">
          <cell r="C20">
            <v>1666.6666666666667</v>
          </cell>
        </row>
      </sheetData>
      <sheetData sheetId="3">
        <row r="26">
          <cell r="C26">
            <v>27117.599999999984</v>
          </cell>
        </row>
        <row r="27">
          <cell r="C27">
            <v>12413.6</v>
          </cell>
        </row>
        <row r="28">
          <cell r="C28">
            <v>39531.199999999983</v>
          </cell>
        </row>
        <row r="47">
          <cell r="C47">
            <v>583.33333333333337</v>
          </cell>
        </row>
        <row r="56">
          <cell r="C56">
            <v>36952.599999999991</v>
          </cell>
        </row>
        <row r="57">
          <cell r="C57">
            <v>25328.599999999991</v>
          </cell>
        </row>
        <row r="58">
          <cell r="C58">
            <v>62281.199999999983</v>
          </cell>
        </row>
        <row r="84">
          <cell r="C84">
            <v>59988.000000000029</v>
          </cell>
        </row>
        <row r="85">
          <cell r="C85">
            <v>4195.9999999999991</v>
          </cell>
        </row>
        <row r="86">
          <cell r="C86">
            <v>64184.000000000029</v>
          </cell>
        </row>
        <row r="114">
          <cell r="C114">
            <v>69823</v>
          </cell>
        </row>
        <row r="115">
          <cell r="C115">
            <v>17110.999999999993</v>
          </cell>
        </row>
        <row r="116">
          <cell r="C116">
            <v>86934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BC71A-7F09-4245-AD33-77CC53E13CF5}">
  <dimension ref="A1:X16"/>
  <sheetViews>
    <sheetView showGridLines="0" zoomScaleNormal="100" workbookViewId="0"/>
  </sheetViews>
  <sheetFormatPr defaultColWidth="10.69921875" defaultRowHeight="15.6"/>
  <cols>
    <col min="1" max="1" width="3.796875" customWidth="1"/>
    <col min="16384" max="16384" width="10.796875" bestFit="1" customWidth="1"/>
  </cols>
  <sheetData>
    <row r="1" spans="1:24" s="19" customFormat="1" ht="46.95" customHeight="1">
      <c r="A1" s="16"/>
      <c r="B1" s="35" t="s">
        <v>42</v>
      </c>
    </row>
    <row r="2" spans="1:2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24">
      <c r="A3" s="4"/>
      <c r="B3" s="22" t="s">
        <v>43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3"/>
      <c r="P3" s="23"/>
      <c r="Q3" s="23"/>
      <c r="R3" s="23"/>
      <c r="S3" s="23"/>
      <c r="T3" s="23"/>
      <c r="U3" s="23"/>
      <c r="V3" s="23"/>
      <c r="W3" s="23"/>
      <c r="X3" s="23"/>
    </row>
    <row r="4" spans="1:24">
      <c r="A4" s="2"/>
      <c r="B4" s="2" t="s">
        <v>99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24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4">
      <c r="A6" s="2"/>
      <c r="B6" s="22" t="s">
        <v>44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1"/>
      <c r="N6" s="21"/>
      <c r="O6" s="23"/>
      <c r="P6" s="23"/>
      <c r="Q6" s="23"/>
      <c r="R6" s="23"/>
      <c r="S6" s="23"/>
      <c r="T6" s="23"/>
      <c r="U6" s="23"/>
      <c r="V6" s="23"/>
      <c r="W6" s="23"/>
      <c r="X6" s="23"/>
    </row>
    <row r="7" spans="1:24">
      <c r="A7" s="2"/>
      <c r="B7" s="2" t="s">
        <v>46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4">
      <c r="A8" s="2"/>
      <c r="B8" s="2" t="s">
        <v>47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4">
      <c r="A9" s="2"/>
      <c r="B9" s="2" t="s">
        <v>77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24">
      <c r="A10" s="2"/>
      <c r="B10" s="2" t="s">
        <v>78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24">
      <c r="A11" s="2"/>
      <c r="B11" s="2" t="s">
        <v>79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24">
      <c r="A12" s="2"/>
      <c r="B12" s="2" t="s">
        <v>100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2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24">
      <c r="A14" s="2"/>
      <c r="B14" s="22" t="s">
        <v>45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1"/>
      <c r="N14" s="21"/>
      <c r="O14" s="23"/>
      <c r="P14" s="23"/>
      <c r="Q14" s="23"/>
      <c r="R14" s="23"/>
      <c r="S14" s="23"/>
      <c r="T14" s="23"/>
      <c r="U14" s="23"/>
      <c r="V14" s="23"/>
      <c r="W14" s="23"/>
      <c r="X14" s="23"/>
    </row>
    <row r="15" spans="1:24">
      <c r="A15" s="2"/>
      <c r="B15" s="2" t="s">
        <v>101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24">
      <c r="A16" s="2"/>
      <c r="B16" s="2" t="s">
        <v>48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593C7-6305-9144-A227-53EE4537BD96}">
  <dimension ref="A1:I51"/>
  <sheetViews>
    <sheetView showGridLines="0" tabSelected="1" zoomScale="64" zoomScaleNormal="85" workbookViewId="0">
      <selection activeCell="C35" sqref="C35"/>
    </sheetView>
  </sheetViews>
  <sheetFormatPr defaultColWidth="10.796875" defaultRowHeight="15.6"/>
  <cols>
    <col min="1" max="1" width="3.796875" customWidth="1"/>
    <col min="2" max="2" width="83.59765625" customWidth="1"/>
    <col min="3" max="4" width="15.59765625" customWidth="1"/>
    <col min="6" max="6" width="50.296875" customWidth="1"/>
    <col min="7" max="7" width="28.5" customWidth="1"/>
    <col min="8" max="8" width="28.09765625" customWidth="1"/>
    <col min="9" max="9" width="23" customWidth="1"/>
  </cols>
  <sheetData>
    <row r="1" spans="1:9" s="15" customFormat="1" ht="46.95" customHeight="1">
      <c r="A1" s="25"/>
      <c r="B1" s="35" t="s">
        <v>49</v>
      </c>
    </row>
    <row r="3" spans="1:9" s="152" customFormat="1" ht="18">
      <c r="B3" s="154" t="s">
        <v>110</v>
      </c>
      <c r="C3" s="155" t="s">
        <v>80</v>
      </c>
      <c r="D3" s="155"/>
      <c r="F3" s="150" t="s">
        <v>111</v>
      </c>
      <c r="G3" s="151" t="s">
        <v>0</v>
      </c>
      <c r="H3" s="151"/>
      <c r="I3" s="153"/>
    </row>
    <row r="4" spans="1:9">
      <c r="A4" s="2"/>
      <c r="B4" s="131"/>
      <c r="C4" s="132"/>
      <c r="D4" s="132"/>
      <c r="E4" s="2"/>
      <c r="F4" s="147"/>
      <c r="G4" s="92"/>
      <c r="H4" s="92"/>
    </row>
    <row r="5" spans="1:9">
      <c r="A5" s="2"/>
      <c r="B5" s="133" t="s">
        <v>69</v>
      </c>
      <c r="C5" s="132"/>
      <c r="D5" s="132"/>
      <c r="E5" s="2"/>
      <c r="F5" s="148" t="s">
        <v>70</v>
      </c>
      <c r="G5" s="92"/>
      <c r="H5" s="92"/>
    </row>
    <row r="6" spans="1:9">
      <c r="A6" s="2"/>
      <c r="B6" s="36" t="s">
        <v>1</v>
      </c>
      <c r="C6" s="134">
        <v>33</v>
      </c>
      <c r="D6" s="135"/>
      <c r="E6" s="2"/>
      <c r="F6" s="27" t="s">
        <v>2</v>
      </c>
      <c r="G6" s="31">
        <v>3500</v>
      </c>
      <c r="H6" s="28">
        <f>G6*Anzahl_Zerspanungsapparate</f>
        <v>115500</v>
      </c>
    </row>
    <row r="7" spans="1:9">
      <c r="A7" s="2"/>
      <c r="B7" s="36" t="s">
        <v>3</v>
      </c>
      <c r="C7" s="134">
        <v>387</v>
      </c>
      <c r="D7" s="135"/>
      <c r="E7" s="2"/>
      <c r="F7" s="27" t="s">
        <v>83</v>
      </c>
      <c r="G7" s="31">
        <v>500</v>
      </c>
      <c r="H7" s="29"/>
    </row>
    <row r="8" spans="1:9">
      <c r="A8" s="2"/>
      <c r="B8" s="8"/>
      <c r="C8" s="134"/>
      <c r="D8" s="135"/>
      <c r="E8" s="2"/>
      <c r="F8" s="27" t="s">
        <v>84</v>
      </c>
      <c r="G8" s="31">
        <v>35</v>
      </c>
      <c r="H8" s="29"/>
    </row>
    <row r="9" spans="1:9">
      <c r="A9" s="2"/>
      <c r="B9" s="37" t="s">
        <v>70</v>
      </c>
      <c r="C9" s="134"/>
      <c r="D9" s="135"/>
      <c r="E9" s="2"/>
      <c r="F9" s="27" t="s">
        <v>85</v>
      </c>
      <c r="G9" s="31">
        <v>200</v>
      </c>
      <c r="H9" s="29"/>
    </row>
    <row r="10" spans="1:9">
      <c r="A10" s="2"/>
      <c r="B10" s="36" t="s">
        <v>74</v>
      </c>
      <c r="C10" s="136">
        <v>1000</v>
      </c>
      <c r="D10" s="135"/>
      <c r="E10" s="2"/>
      <c r="F10" s="27" t="s">
        <v>4</v>
      </c>
      <c r="G10" s="31">
        <v>100</v>
      </c>
      <c r="H10" s="29"/>
    </row>
    <row r="11" spans="1:9">
      <c r="B11" s="36" t="s">
        <v>108</v>
      </c>
      <c r="C11" s="137">
        <v>1000</v>
      </c>
      <c r="D11" s="130"/>
      <c r="E11" s="2"/>
      <c r="H11" s="29"/>
    </row>
    <row r="12" spans="1:9">
      <c r="A12" s="2"/>
      <c r="B12" s="36" t="s">
        <v>82</v>
      </c>
      <c r="C12" s="136">
        <v>387</v>
      </c>
      <c r="D12" s="138">
        <f>C12/12</f>
        <v>32.25</v>
      </c>
      <c r="E12" s="2"/>
      <c r="F12" s="93" t="s">
        <v>72</v>
      </c>
      <c r="H12" s="29"/>
    </row>
    <row r="13" spans="1:9">
      <c r="A13" s="2"/>
      <c r="B13" s="8"/>
      <c r="C13" s="136"/>
      <c r="D13" s="138"/>
      <c r="E13" s="2"/>
      <c r="H13" s="29"/>
    </row>
    <row r="14" spans="1:9">
      <c r="A14" s="2"/>
      <c r="B14" s="37" t="s">
        <v>112</v>
      </c>
      <c r="C14" s="136"/>
      <c r="D14" s="138"/>
      <c r="E14" s="2"/>
      <c r="F14" s="27" t="s">
        <v>5</v>
      </c>
      <c r="G14" s="32">
        <v>60</v>
      </c>
      <c r="H14" s="29"/>
    </row>
    <row r="15" spans="1:9">
      <c r="A15" s="2"/>
      <c r="B15" s="36" t="s">
        <v>75</v>
      </c>
      <c r="C15" s="139">
        <v>0.1</v>
      </c>
      <c r="D15" s="140"/>
      <c r="E15" s="2"/>
      <c r="F15" s="27" t="s">
        <v>7</v>
      </c>
      <c r="G15" s="32">
        <v>24</v>
      </c>
      <c r="H15" s="29"/>
    </row>
    <row r="16" spans="1:9" ht="28.8">
      <c r="A16" s="2"/>
      <c r="B16" s="36" t="s">
        <v>106</v>
      </c>
      <c r="C16" s="141">
        <v>4</v>
      </c>
      <c r="D16" s="140"/>
      <c r="E16" s="2"/>
      <c r="F16" s="27"/>
      <c r="G16" s="32"/>
      <c r="H16" s="29"/>
    </row>
    <row r="17" spans="1:9" ht="28.8">
      <c r="A17" s="2"/>
      <c r="B17" s="36" t="s">
        <v>76</v>
      </c>
      <c r="C17" s="142">
        <v>387</v>
      </c>
      <c r="D17" s="143"/>
      <c r="E17" s="2"/>
      <c r="F17" s="93" t="s">
        <v>71</v>
      </c>
      <c r="G17" s="32"/>
      <c r="H17" s="29"/>
    </row>
    <row r="18" spans="1:9">
      <c r="A18" s="2"/>
      <c r="B18" s="130"/>
      <c r="C18" s="130"/>
      <c r="D18" s="130"/>
      <c r="E18" s="2"/>
      <c r="F18" s="93"/>
      <c r="G18" s="32"/>
      <c r="H18" s="29"/>
      <c r="I18" s="149"/>
    </row>
    <row r="19" spans="1:9">
      <c r="A19" s="2"/>
      <c r="B19" s="37" t="s">
        <v>113</v>
      </c>
      <c r="C19" s="144"/>
      <c r="D19" s="135"/>
      <c r="E19" s="2"/>
      <c r="F19" s="27" t="s">
        <v>6</v>
      </c>
      <c r="G19" s="33">
        <v>0.8</v>
      </c>
      <c r="H19" s="29"/>
    </row>
    <row r="20" spans="1:9">
      <c r="B20" s="36" t="s">
        <v>102</v>
      </c>
      <c r="C20" s="145">
        <v>0.6</v>
      </c>
      <c r="D20" s="135"/>
      <c r="E20" s="2"/>
      <c r="F20" s="27" t="s">
        <v>8</v>
      </c>
      <c r="G20" s="33">
        <v>0.13</v>
      </c>
      <c r="H20" s="29"/>
    </row>
    <row r="21" spans="1:9">
      <c r="A21" s="2"/>
      <c r="B21" s="36" t="s">
        <v>103</v>
      </c>
      <c r="C21" s="146">
        <v>3.87</v>
      </c>
      <c r="D21" s="135"/>
      <c r="E21" s="2"/>
      <c r="F21" s="27" t="s">
        <v>9</v>
      </c>
      <c r="G21" s="33">
        <v>7.0000000000000007E-2</v>
      </c>
      <c r="H21" s="29"/>
    </row>
    <row r="22" spans="1:9" ht="15.45" customHeight="1">
      <c r="A22" s="2"/>
      <c r="E22" s="2"/>
    </row>
    <row r="23" spans="1:9" ht="15.45" customHeight="1">
      <c r="A23" s="2"/>
      <c r="E23" s="2"/>
    </row>
    <row r="24" spans="1:9" ht="15.45" customHeight="1">
      <c r="A24" s="2"/>
      <c r="E24" s="2"/>
    </row>
    <row r="25" spans="1:9">
      <c r="A25" s="2"/>
      <c r="B25" s="8"/>
      <c r="C25" s="9"/>
      <c r="D25" s="10"/>
      <c r="E25" s="2"/>
    </row>
    <row r="26" spans="1:9">
      <c r="A26" s="2"/>
      <c r="B26" s="8"/>
      <c r="C26" s="9"/>
      <c r="D26" s="10"/>
      <c r="E26" s="2"/>
    </row>
    <row r="27" spans="1:9">
      <c r="A27" s="2"/>
      <c r="E27" s="2"/>
    </row>
    <row r="28" spans="1:9">
      <c r="A28" s="2"/>
      <c r="E28" s="2"/>
    </row>
    <row r="48" spans="2:4">
      <c r="B48" s="27"/>
      <c r="C48" s="33"/>
      <c r="D48" s="29"/>
    </row>
    <row r="49" spans="2:4">
      <c r="B49" s="27"/>
      <c r="C49" s="33"/>
      <c r="D49" s="29"/>
    </row>
    <row r="50" spans="2:4">
      <c r="B50" s="27"/>
      <c r="C50" s="33"/>
      <c r="D50" s="29"/>
    </row>
    <row r="51" spans="2:4">
      <c r="D51" s="29"/>
    </row>
  </sheetData>
  <scenarios current="4" show="4">
    <scenario name="Grosses Unternehmen " locked="1" count="3" user="Microsoft Office User" comment="Erstellt von Microsoft Office User am 07.05.2023_x000a_Modifiziert von Microsoft Office User am 07.05.2023">
      <inputCells r="C6" val="183"/>
      <inputCells r="C7" val="910"/>
      <inputCells r="C12" val="500000" numFmtId="166"/>
    </scenario>
    <scenario name="Kleines Unternehmen " locked="1" count="3" user="Microsoft Office User" comment="Erstellt von Microsoft Office User am 07.05.2023_x000a_Modifiziert von Microsoft Office User am 07.05.2023">
      <inputCells r="C6" val="4"/>
      <inputCells r="C7" val="20"/>
      <inputCells r="C12" val="20000" numFmtId="166"/>
    </scenario>
    <scenario name="Mittelgrosses Unternehmen " locked="1" count="3" user="Microsoft Office User" comment="Erstellt von Microsoft Office User am 07.05.2023_x000a_Modifiziert von Microsoft Office User am 07.05.2023">
      <inputCells r="C6" val="33"/>
      <inputCells r="C7" val="387"/>
      <inputCells r="C12" val="100000" numFmtId="166"/>
    </scenario>
    <scenario name="Base Case" locked="1" count="1" user="Microsoft Office User" comment="Erstellt von Microsoft Office User am 07.05.2023">
      <inputCells r="G19" val="0.8" numFmtId="9"/>
    </scenario>
    <scenario name="Best Case" locked="1" count="1" user="Microsoft Office User" comment="Erstellt von Microsoft Office User am 07.05.2023">
      <inputCells r="G19" val="0.85" numFmtId="9"/>
    </scenario>
    <scenario name="Worst Case" locked="1" count="1" user="Microsoft Office User" comment="Erstellt von Microsoft Office User am 07.05.2023_x000a_Modifiziert von Microsoft Office User am 07.05.2023">
      <inputCells r="G19" val="0.75" numFmtId="9"/>
    </scenario>
  </scenario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5260E-6BF4-5343-B92E-E05A1F357216}">
  <dimension ref="A1:AA33"/>
  <sheetViews>
    <sheetView showGridLines="0" zoomScale="55" zoomScaleNormal="55" workbookViewId="0">
      <selection activeCell="C24" sqref="C24"/>
    </sheetView>
  </sheetViews>
  <sheetFormatPr defaultColWidth="11" defaultRowHeight="14.4"/>
  <cols>
    <col min="1" max="1" width="4.69921875" style="2" customWidth="1"/>
    <col min="2" max="2" width="38.5" style="2" customWidth="1"/>
    <col min="3" max="3" width="13" style="2" bestFit="1" customWidth="1"/>
    <col min="4" max="26" width="10.59765625" style="2" bestFit="1" customWidth="1"/>
    <col min="27" max="16384" width="11" style="2"/>
  </cols>
  <sheetData>
    <row r="1" spans="2:27" s="18" customFormat="1" ht="46.95" customHeight="1">
      <c r="B1" s="35" t="s">
        <v>50</v>
      </c>
    </row>
    <row r="3" spans="2:27" ht="18">
      <c r="B3" s="150" t="s">
        <v>55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2:27" ht="15.75" customHeight="1"/>
    <row r="5" spans="2:27" ht="21.45" customHeight="1" thickBot="1">
      <c r="B5" s="2" t="s">
        <v>64</v>
      </c>
      <c r="C5" s="40">
        <v>1</v>
      </c>
      <c r="D5" s="40">
        <f>C5+1</f>
        <v>2</v>
      </c>
      <c r="E5" s="40">
        <f t="shared" ref="E5:Z5" si="0">D5+1</f>
        <v>3</v>
      </c>
      <c r="F5" s="40">
        <f t="shared" si="0"/>
        <v>4</v>
      </c>
      <c r="G5" s="40">
        <f t="shared" si="0"/>
        <v>5</v>
      </c>
      <c r="H5" s="40">
        <f t="shared" si="0"/>
        <v>6</v>
      </c>
      <c r="I5" s="40">
        <f t="shared" si="0"/>
        <v>7</v>
      </c>
      <c r="J5" s="40">
        <f t="shared" si="0"/>
        <v>8</v>
      </c>
      <c r="K5" s="40">
        <f t="shared" si="0"/>
        <v>9</v>
      </c>
      <c r="L5" s="40">
        <f t="shared" si="0"/>
        <v>10</v>
      </c>
      <c r="M5" s="40">
        <f t="shared" si="0"/>
        <v>11</v>
      </c>
      <c r="N5" s="40">
        <f t="shared" si="0"/>
        <v>12</v>
      </c>
      <c r="O5" s="40">
        <f t="shared" si="0"/>
        <v>13</v>
      </c>
      <c r="P5" s="40">
        <f t="shared" si="0"/>
        <v>14</v>
      </c>
      <c r="Q5" s="40">
        <f t="shared" si="0"/>
        <v>15</v>
      </c>
      <c r="R5" s="40">
        <f t="shared" si="0"/>
        <v>16</v>
      </c>
      <c r="S5" s="40">
        <f t="shared" si="0"/>
        <v>17</v>
      </c>
      <c r="T5" s="40">
        <f t="shared" si="0"/>
        <v>18</v>
      </c>
      <c r="U5" s="40">
        <f t="shared" si="0"/>
        <v>19</v>
      </c>
      <c r="V5" s="40">
        <f t="shared" si="0"/>
        <v>20</v>
      </c>
      <c r="W5" s="40">
        <f t="shared" si="0"/>
        <v>21</v>
      </c>
      <c r="X5" s="40">
        <f t="shared" si="0"/>
        <v>22</v>
      </c>
      <c r="Y5" s="40">
        <f t="shared" si="0"/>
        <v>23</v>
      </c>
      <c r="Z5" s="40">
        <f t="shared" si="0"/>
        <v>24</v>
      </c>
    </row>
    <row r="6" spans="2:27" ht="12" customHeight="1"/>
    <row r="7" spans="2:27" ht="12" customHeight="1">
      <c r="B7" s="4" t="s">
        <v>52</v>
      </c>
    </row>
    <row r="8" spans="2:27" ht="12" customHeight="1"/>
    <row r="9" spans="2:27" ht="46.05" customHeight="1">
      <c r="B9" s="36" t="s">
        <v>104</v>
      </c>
      <c r="C9" s="94">
        <f t="shared" ref="C9:Z9" si="1">Stundenlohn_pro_Mitarbeiter*Stundenaufwand_pro_Monat_pro_Zerspanungswerkzeug_für_manuelle_Werkzeugkontrolle*Anzahl_Zerspanungswerkzeuge</f>
        <v>38700</v>
      </c>
      <c r="D9" s="94">
        <f t="shared" si="1"/>
        <v>38700</v>
      </c>
      <c r="E9" s="94">
        <f t="shared" si="1"/>
        <v>38700</v>
      </c>
      <c r="F9" s="94">
        <f t="shared" si="1"/>
        <v>38700</v>
      </c>
      <c r="G9" s="94">
        <f t="shared" si="1"/>
        <v>38700</v>
      </c>
      <c r="H9" s="94">
        <f t="shared" si="1"/>
        <v>38700</v>
      </c>
      <c r="I9" s="94">
        <f t="shared" si="1"/>
        <v>38700</v>
      </c>
      <c r="J9" s="94">
        <f t="shared" si="1"/>
        <v>38700</v>
      </c>
      <c r="K9" s="94">
        <f t="shared" si="1"/>
        <v>38700</v>
      </c>
      <c r="L9" s="94">
        <f t="shared" si="1"/>
        <v>38700</v>
      </c>
      <c r="M9" s="94">
        <f t="shared" si="1"/>
        <v>38700</v>
      </c>
      <c r="N9" s="94">
        <f t="shared" si="1"/>
        <v>38700</v>
      </c>
      <c r="O9" s="94">
        <f t="shared" si="1"/>
        <v>38700</v>
      </c>
      <c r="P9" s="94">
        <f t="shared" si="1"/>
        <v>38700</v>
      </c>
      <c r="Q9" s="94">
        <f t="shared" si="1"/>
        <v>38700</v>
      </c>
      <c r="R9" s="94">
        <f t="shared" si="1"/>
        <v>38700</v>
      </c>
      <c r="S9" s="94">
        <f t="shared" si="1"/>
        <v>38700</v>
      </c>
      <c r="T9" s="94">
        <f t="shared" si="1"/>
        <v>38700</v>
      </c>
      <c r="U9" s="94">
        <f t="shared" si="1"/>
        <v>38700</v>
      </c>
      <c r="V9" s="94">
        <f t="shared" si="1"/>
        <v>38700</v>
      </c>
      <c r="W9" s="94">
        <f t="shared" si="1"/>
        <v>38700</v>
      </c>
      <c r="X9" s="94">
        <f t="shared" si="1"/>
        <v>38700</v>
      </c>
      <c r="Y9" s="94">
        <f t="shared" si="1"/>
        <v>38700</v>
      </c>
      <c r="Z9" s="94">
        <f t="shared" si="1"/>
        <v>38700</v>
      </c>
    </row>
    <row r="10" spans="2:27" ht="63.75" customHeight="1">
      <c r="B10" s="36" t="s">
        <v>107</v>
      </c>
      <c r="C10" s="94">
        <f t="shared" ref="C10:Z10" si="2">Stundenlohn_pro_Mitarbeiter*Stundenaufwand_pro_Monat_pro_Zerspanungsapparat_für_Nacharbeit*Anzahl_Zerspanungsapparate</f>
        <v>132000</v>
      </c>
      <c r="D10" s="94">
        <f t="shared" si="2"/>
        <v>132000</v>
      </c>
      <c r="E10" s="94">
        <f t="shared" si="2"/>
        <v>132000</v>
      </c>
      <c r="F10" s="94">
        <f t="shared" si="2"/>
        <v>132000</v>
      </c>
      <c r="G10" s="94">
        <f t="shared" si="2"/>
        <v>132000</v>
      </c>
      <c r="H10" s="94">
        <f t="shared" si="2"/>
        <v>132000</v>
      </c>
      <c r="I10" s="94">
        <f t="shared" si="2"/>
        <v>132000</v>
      </c>
      <c r="J10" s="94">
        <f t="shared" si="2"/>
        <v>132000</v>
      </c>
      <c r="K10" s="94">
        <f t="shared" si="2"/>
        <v>132000</v>
      </c>
      <c r="L10" s="94">
        <f t="shared" si="2"/>
        <v>132000</v>
      </c>
      <c r="M10" s="94">
        <f t="shared" si="2"/>
        <v>132000</v>
      </c>
      <c r="N10" s="94">
        <f t="shared" si="2"/>
        <v>132000</v>
      </c>
      <c r="O10" s="94">
        <f t="shared" si="2"/>
        <v>132000</v>
      </c>
      <c r="P10" s="94">
        <f t="shared" si="2"/>
        <v>132000</v>
      </c>
      <c r="Q10" s="94">
        <f t="shared" si="2"/>
        <v>132000</v>
      </c>
      <c r="R10" s="94">
        <f t="shared" si="2"/>
        <v>132000</v>
      </c>
      <c r="S10" s="94">
        <f t="shared" si="2"/>
        <v>132000</v>
      </c>
      <c r="T10" s="94">
        <f t="shared" si="2"/>
        <v>132000</v>
      </c>
      <c r="U10" s="94">
        <f t="shared" si="2"/>
        <v>132000</v>
      </c>
      <c r="V10" s="94">
        <f t="shared" si="2"/>
        <v>132000</v>
      </c>
      <c r="W10" s="94">
        <f t="shared" si="2"/>
        <v>132000</v>
      </c>
      <c r="X10" s="94">
        <f t="shared" si="2"/>
        <v>132000</v>
      </c>
      <c r="Y10" s="94">
        <f t="shared" si="2"/>
        <v>132000</v>
      </c>
      <c r="Z10" s="94">
        <f t="shared" si="2"/>
        <v>132000</v>
      </c>
      <c r="AA10" s="95"/>
    </row>
    <row r="11" spans="2:27" ht="42" customHeight="1">
      <c r="B11" s="36" t="s">
        <v>105</v>
      </c>
      <c r="C11" s="94">
        <f t="shared" ref="C11:Z11" si="3">Stundenlohn_pro_Mitarbeiter*Stundenaufwand_pro_Monat_pro_Zerspanungswerkzeug_für_Werkzeugqualitfizierung*Anzahl_Zerspanungswerkzeuge</f>
        <v>149769000</v>
      </c>
      <c r="D11" s="96">
        <f t="shared" si="3"/>
        <v>149769000</v>
      </c>
      <c r="E11" s="96">
        <f t="shared" si="3"/>
        <v>149769000</v>
      </c>
      <c r="F11" s="96">
        <f t="shared" si="3"/>
        <v>149769000</v>
      </c>
      <c r="G11" s="96">
        <f t="shared" si="3"/>
        <v>149769000</v>
      </c>
      <c r="H11" s="96">
        <f t="shared" si="3"/>
        <v>149769000</v>
      </c>
      <c r="I11" s="96">
        <f t="shared" si="3"/>
        <v>149769000</v>
      </c>
      <c r="J11" s="96">
        <f t="shared" si="3"/>
        <v>149769000</v>
      </c>
      <c r="K11" s="96">
        <f t="shared" si="3"/>
        <v>149769000</v>
      </c>
      <c r="L11" s="96">
        <f t="shared" si="3"/>
        <v>149769000</v>
      </c>
      <c r="M11" s="96">
        <f t="shared" si="3"/>
        <v>149769000</v>
      </c>
      <c r="N11" s="96">
        <f t="shared" si="3"/>
        <v>149769000</v>
      </c>
      <c r="O11" s="96">
        <f t="shared" si="3"/>
        <v>149769000</v>
      </c>
      <c r="P11" s="96">
        <f t="shared" si="3"/>
        <v>149769000</v>
      </c>
      <c r="Q11" s="96">
        <f t="shared" si="3"/>
        <v>149769000</v>
      </c>
      <c r="R11" s="96">
        <f t="shared" si="3"/>
        <v>149769000</v>
      </c>
      <c r="S11" s="96">
        <f t="shared" si="3"/>
        <v>149769000</v>
      </c>
      <c r="T11" s="96">
        <f t="shared" si="3"/>
        <v>149769000</v>
      </c>
      <c r="U11" s="96">
        <f t="shared" si="3"/>
        <v>149769000</v>
      </c>
      <c r="V11" s="96">
        <f t="shared" si="3"/>
        <v>149769000</v>
      </c>
      <c r="W11" s="96">
        <f t="shared" si="3"/>
        <v>149769000</v>
      </c>
      <c r="X11" s="96">
        <f t="shared" si="3"/>
        <v>149769000</v>
      </c>
      <c r="Y11" s="96">
        <f t="shared" si="3"/>
        <v>149769000</v>
      </c>
      <c r="Z11" s="96">
        <f t="shared" si="3"/>
        <v>149769000</v>
      </c>
    </row>
    <row r="12" spans="2:27" ht="18.45" customHeight="1">
      <c r="B12" s="36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</row>
    <row r="13" spans="2:27" ht="22.5" customHeight="1">
      <c r="B13" s="37" t="s">
        <v>53</v>
      </c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</row>
    <row r="14" spans="2:27" ht="22.5" customHeight="1">
      <c r="B14" s="36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</row>
    <row r="15" spans="2:27" ht="28.8">
      <c r="B15" s="36" t="s">
        <v>81</v>
      </c>
      <c r="C15" s="94">
        <f>(1-Verschleiss_vor_Entsorgung_ohne_TD)*Materialaufwand_für_Zerspanungswerkzeuge_pro_Monat</f>
        <v>12.9</v>
      </c>
      <c r="D15" s="94">
        <f t="shared" ref="D15:N15" si="4">(1-Verschleiss_vor_Entsorgung_ohne_TD)*Materialaufwand_für_Zerspanungswerkzeuge_pro_Monat</f>
        <v>12.9</v>
      </c>
      <c r="E15" s="94">
        <f t="shared" si="4"/>
        <v>12.9</v>
      </c>
      <c r="F15" s="94">
        <f t="shared" si="4"/>
        <v>12.9</v>
      </c>
      <c r="G15" s="94">
        <f t="shared" si="4"/>
        <v>12.9</v>
      </c>
      <c r="H15" s="94">
        <f t="shared" si="4"/>
        <v>12.9</v>
      </c>
      <c r="I15" s="94">
        <f t="shared" si="4"/>
        <v>12.9</v>
      </c>
      <c r="J15" s="94">
        <f t="shared" si="4"/>
        <v>12.9</v>
      </c>
      <c r="K15" s="94">
        <f t="shared" si="4"/>
        <v>12.9</v>
      </c>
      <c r="L15" s="94">
        <f t="shared" si="4"/>
        <v>12.9</v>
      </c>
      <c r="M15" s="94">
        <f t="shared" si="4"/>
        <v>12.9</v>
      </c>
      <c r="N15" s="94">
        <f t="shared" si="4"/>
        <v>12.9</v>
      </c>
      <c r="O15" s="94">
        <f t="shared" ref="O15:Z15" si="5">(1-Verschleiss_vor_Entsorgung_ohne_TD)*Materialaufwand_für_Zerspanungswerkzeuge_pro_Monat*(1+Preissteigerung_Materialaufwand_für_Zerspanungswerkzeuge)</f>
        <v>62.823</v>
      </c>
      <c r="P15" s="94">
        <f t="shared" si="5"/>
        <v>62.823</v>
      </c>
      <c r="Q15" s="94">
        <f t="shared" si="5"/>
        <v>62.823</v>
      </c>
      <c r="R15" s="94">
        <f t="shared" si="5"/>
        <v>62.823</v>
      </c>
      <c r="S15" s="94">
        <f t="shared" si="5"/>
        <v>62.823</v>
      </c>
      <c r="T15" s="94">
        <f t="shared" si="5"/>
        <v>62.823</v>
      </c>
      <c r="U15" s="94">
        <f t="shared" si="5"/>
        <v>62.823</v>
      </c>
      <c r="V15" s="94">
        <f t="shared" si="5"/>
        <v>62.823</v>
      </c>
      <c r="W15" s="94">
        <f t="shared" si="5"/>
        <v>62.823</v>
      </c>
      <c r="X15" s="94">
        <f t="shared" si="5"/>
        <v>62.823</v>
      </c>
      <c r="Y15" s="94">
        <f t="shared" si="5"/>
        <v>62.823</v>
      </c>
      <c r="Z15" s="94">
        <f t="shared" si="5"/>
        <v>62.823</v>
      </c>
    </row>
    <row r="16" spans="2:27" ht="45" customHeight="1">
      <c r="B16" s="36" t="s">
        <v>86</v>
      </c>
      <c r="C16" s="94">
        <f>Materialaufwand_Ausschussteile_pro_Monat</f>
        <v>1000</v>
      </c>
      <c r="D16" s="94">
        <f t="shared" ref="D16:Z16" si="6">Materialaufwand_Ausschussteile_pro_Monat</f>
        <v>1000</v>
      </c>
      <c r="E16" s="94">
        <f t="shared" si="6"/>
        <v>1000</v>
      </c>
      <c r="F16" s="94">
        <f>Materialaufwand_Ausschussteile_pro_Monat</f>
        <v>1000</v>
      </c>
      <c r="G16" s="94">
        <f t="shared" si="6"/>
        <v>1000</v>
      </c>
      <c r="H16" s="94">
        <f t="shared" si="6"/>
        <v>1000</v>
      </c>
      <c r="I16" s="94">
        <f t="shared" si="6"/>
        <v>1000</v>
      </c>
      <c r="J16" s="94">
        <f t="shared" si="6"/>
        <v>1000</v>
      </c>
      <c r="K16" s="94">
        <f t="shared" si="6"/>
        <v>1000</v>
      </c>
      <c r="L16" s="94">
        <f t="shared" si="6"/>
        <v>1000</v>
      </c>
      <c r="M16" s="94">
        <f t="shared" si="6"/>
        <v>1000</v>
      </c>
      <c r="N16" s="94">
        <f t="shared" si="6"/>
        <v>1000</v>
      </c>
      <c r="O16" s="94">
        <f t="shared" si="6"/>
        <v>1000</v>
      </c>
      <c r="P16" s="94">
        <f t="shared" si="6"/>
        <v>1000</v>
      </c>
      <c r="Q16" s="94">
        <f t="shared" si="6"/>
        <v>1000</v>
      </c>
      <c r="R16" s="94">
        <f t="shared" si="6"/>
        <v>1000</v>
      </c>
      <c r="S16" s="94">
        <f t="shared" si="6"/>
        <v>1000</v>
      </c>
      <c r="T16" s="94">
        <f t="shared" si="6"/>
        <v>1000</v>
      </c>
      <c r="U16" s="94">
        <f t="shared" si="6"/>
        <v>1000</v>
      </c>
      <c r="V16" s="94">
        <f t="shared" si="6"/>
        <v>1000</v>
      </c>
      <c r="W16" s="94">
        <f t="shared" si="6"/>
        <v>1000</v>
      </c>
      <c r="X16" s="94">
        <f t="shared" si="6"/>
        <v>1000</v>
      </c>
      <c r="Y16" s="94">
        <f t="shared" si="6"/>
        <v>1000</v>
      </c>
      <c r="Z16" s="94">
        <f t="shared" si="6"/>
        <v>1000</v>
      </c>
      <c r="AA16" s="3"/>
    </row>
    <row r="17" spans="1:27" ht="19.95" customHeight="1">
      <c r="B17" s="8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3"/>
    </row>
    <row r="18" spans="1:27" ht="21" customHeight="1">
      <c r="B18" s="37" t="s">
        <v>54</v>
      </c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3"/>
    </row>
    <row r="19" spans="1:27"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7" ht="24.75" customHeight="1" thickBot="1">
      <c r="A20" s="38"/>
      <c r="B20" s="36" t="s">
        <v>10</v>
      </c>
      <c r="C20" s="97">
        <f>C15+C16</f>
        <v>1012.9</v>
      </c>
      <c r="D20" s="97">
        <f t="shared" ref="D20:Z20" si="7">D15+D16</f>
        <v>1012.9</v>
      </c>
      <c r="E20" s="97">
        <f t="shared" si="7"/>
        <v>1012.9</v>
      </c>
      <c r="F20" s="97">
        <f t="shared" si="7"/>
        <v>1012.9</v>
      </c>
      <c r="G20" s="97">
        <f t="shared" si="7"/>
        <v>1012.9</v>
      </c>
      <c r="H20" s="97">
        <f t="shared" si="7"/>
        <v>1012.9</v>
      </c>
      <c r="I20" s="97">
        <f t="shared" si="7"/>
        <v>1012.9</v>
      </c>
      <c r="J20" s="97">
        <f t="shared" si="7"/>
        <v>1012.9</v>
      </c>
      <c r="K20" s="97">
        <f t="shared" si="7"/>
        <v>1012.9</v>
      </c>
      <c r="L20" s="97">
        <f t="shared" si="7"/>
        <v>1012.9</v>
      </c>
      <c r="M20" s="97">
        <f t="shared" si="7"/>
        <v>1012.9</v>
      </c>
      <c r="N20" s="97">
        <f t="shared" si="7"/>
        <v>1012.9</v>
      </c>
      <c r="O20" s="97">
        <f t="shared" si="7"/>
        <v>1062.8230000000001</v>
      </c>
      <c r="P20" s="97">
        <f t="shared" si="7"/>
        <v>1062.8230000000001</v>
      </c>
      <c r="Q20" s="97">
        <f t="shared" si="7"/>
        <v>1062.8230000000001</v>
      </c>
      <c r="R20" s="97">
        <f t="shared" si="7"/>
        <v>1062.8230000000001</v>
      </c>
      <c r="S20" s="97">
        <f t="shared" si="7"/>
        <v>1062.8230000000001</v>
      </c>
      <c r="T20" s="97">
        <f t="shared" si="7"/>
        <v>1062.8230000000001</v>
      </c>
      <c r="U20" s="97">
        <f t="shared" si="7"/>
        <v>1062.8230000000001</v>
      </c>
      <c r="V20" s="97">
        <f t="shared" si="7"/>
        <v>1062.8230000000001</v>
      </c>
      <c r="W20" s="97">
        <f t="shared" si="7"/>
        <v>1062.8230000000001</v>
      </c>
      <c r="X20" s="97">
        <f t="shared" si="7"/>
        <v>1062.8230000000001</v>
      </c>
      <c r="Y20" s="97">
        <f t="shared" si="7"/>
        <v>1062.8230000000001</v>
      </c>
      <c r="Z20" s="97">
        <f t="shared" si="7"/>
        <v>1062.8230000000001</v>
      </c>
    </row>
    <row r="21" spans="1:27" ht="31.95" customHeight="1">
      <c r="A21" s="38"/>
      <c r="B21" s="39" t="s">
        <v>11</v>
      </c>
      <c r="C21" s="98">
        <f>SUM(C9:C16)</f>
        <v>149940712.90000001</v>
      </c>
      <c r="D21" s="98">
        <f t="shared" ref="D21:Z21" si="8">SUM(D9:D16)</f>
        <v>149940712.90000001</v>
      </c>
      <c r="E21" s="98">
        <f t="shared" si="8"/>
        <v>149940712.90000001</v>
      </c>
      <c r="F21" s="98">
        <f t="shared" si="8"/>
        <v>149940712.90000001</v>
      </c>
      <c r="G21" s="98">
        <f t="shared" si="8"/>
        <v>149940712.90000001</v>
      </c>
      <c r="H21" s="98">
        <f t="shared" si="8"/>
        <v>149940712.90000001</v>
      </c>
      <c r="I21" s="98">
        <f t="shared" si="8"/>
        <v>149940712.90000001</v>
      </c>
      <c r="J21" s="98">
        <f t="shared" si="8"/>
        <v>149940712.90000001</v>
      </c>
      <c r="K21" s="98">
        <f t="shared" si="8"/>
        <v>149940712.90000001</v>
      </c>
      <c r="L21" s="98">
        <f t="shared" si="8"/>
        <v>149940712.90000001</v>
      </c>
      <c r="M21" s="98">
        <f t="shared" si="8"/>
        <v>149940712.90000001</v>
      </c>
      <c r="N21" s="98">
        <f t="shared" si="8"/>
        <v>149940712.90000001</v>
      </c>
      <c r="O21" s="98">
        <f t="shared" si="8"/>
        <v>149940762.82300001</v>
      </c>
      <c r="P21" s="98">
        <f t="shared" si="8"/>
        <v>149940762.82300001</v>
      </c>
      <c r="Q21" s="98">
        <f t="shared" si="8"/>
        <v>149940762.82300001</v>
      </c>
      <c r="R21" s="98">
        <f t="shared" si="8"/>
        <v>149940762.82300001</v>
      </c>
      <c r="S21" s="98">
        <f t="shared" si="8"/>
        <v>149940762.82300001</v>
      </c>
      <c r="T21" s="98">
        <f t="shared" si="8"/>
        <v>149940762.82300001</v>
      </c>
      <c r="U21" s="98">
        <f>SUM(U9:U16)</f>
        <v>149940762.82300001</v>
      </c>
      <c r="V21" s="98">
        <f t="shared" si="8"/>
        <v>149940762.82300001</v>
      </c>
      <c r="W21" s="98">
        <f t="shared" si="8"/>
        <v>149940762.82300001</v>
      </c>
      <c r="X21" s="98">
        <f t="shared" si="8"/>
        <v>149940762.82300001</v>
      </c>
      <c r="Y21" s="98">
        <f t="shared" si="8"/>
        <v>149940762.82300001</v>
      </c>
      <c r="Z21" s="98">
        <f t="shared" si="8"/>
        <v>149940762.82300001</v>
      </c>
    </row>
    <row r="22" spans="1:27" ht="31.95" customHeight="1">
      <c r="A22" s="38"/>
      <c r="B22" s="39" t="s">
        <v>12</v>
      </c>
      <c r="C22" s="98">
        <f>SUM(C21:N21)</f>
        <v>1799288554.8000004</v>
      </c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</row>
    <row r="23" spans="1:27" ht="31.95" customHeight="1">
      <c r="A23" s="38"/>
      <c r="B23" s="39" t="s">
        <v>13</v>
      </c>
      <c r="C23" s="98">
        <f>SUM(O21:Z21)</f>
        <v>1799289153.8759997</v>
      </c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</row>
    <row r="24" spans="1:27" ht="31.95" customHeight="1">
      <c r="A24" s="38"/>
      <c r="B24" s="39" t="s">
        <v>114</v>
      </c>
      <c r="C24" s="99">
        <f>SUM(C22:C23)</f>
        <v>3598577708.6760001</v>
      </c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</row>
    <row r="25" spans="1:27"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</row>
    <row r="26" spans="1:27"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</row>
    <row r="27" spans="1:27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7" ht="15.6">
      <c r="C28" s="1"/>
    </row>
    <row r="29" spans="1:27" ht="15.6">
      <c r="C29" s="1"/>
    </row>
    <row r="30" spans="1:27" ht="15.6">
      <c r="C30" s="1"/>
    </row>
    <row r="31" spans="1:27" ht="15.6">
      <c r="C31" s="1"/>
    </row>
    <row r="32" spans="1:27" ht="15.6">
      <c r="C32" s="1"/>
    </row>
    <row r="33" spans="3:3" ht="15.6">
      <c r="C33" s="1"/>
    </row>
  </sheetData>
  <phoneticPr fontId="21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A0496-4E2A-4045-9664-BD37CF01D4DA}">
  <dimension ref="B1:AA145"/>
  <sheetViews>
    <sheetView showGridLines="0" zoomScale="52" zoomScaleNormal="40" workbookViewId="0">
      <selection activeCell="C28" sqref="C28"/>
    </sheetView>
  </sheetViews>
  <sheetFormatPr defaultColWidth="11" defaultRowHeight="14.4"/>
  <cols>
    <col min="1" max="1" width="3.796875" style="2" customWidth="1"/>
    <col min="2" max="2" width="61" style="2" customWidth="1"/>
    <col min="3" max="3" width="16" style="2" customWidth="1"/>
    <col min="4" max="4" width="16.296875" style="2" bestFit="1" customWidth="1"/>
    <col min="5" max="14" width="15.69921875" style="2" bestFit="1" customWidth="1"/>
    <col min="15" max="25" width="15.296875" style="2" bestFit="1" customWidth="1"/>
    <col min="26" max="26" width="14.5" style="2" bestFit="1" customWidth="1"/>
    <col min="27" max="16384" width="11" style="2"/>
  </cols>
  <sheetData>
    <row r="1" spans="2:27" s="18" customFormat="1" ht="46.05" customHeight="1">
      <c r="B1" s="35" t="s">
        <v>51</v>
      </c>
      <c r="C1" s="26"/>
    </row>
    <row r="2" spans="2:27">
      <c r="B2" s="46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2:27">
      <c r="B3" s="47" t="s">
        <v>56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spans="2:27">
      <c r="B4" s="49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2:27" s="41" customFormat="1" ht="15" thickBot="1">
      <c r="B5" s="43" t="s">
        <v>64</v>
      </c>
      <c r="C5" s="76">
        <v>1</v>
      </c>
      <c r="D5" s="76">
        <f>C5+1</f>
        <v>2</v>
      </c>
      <c r="E5" s="76">
        <f t="shared" ref="E5:Z5" si="0">D5+1</f>
        <v>3</v>
      </c>
      <c r="F5" s="76">
        <f t="shared" si="0"/>
        <v>4</v>
      </c>
      <c r="G5" s="76">
        <f t="shared" si="0"/>
        <v>5</v>
      </c>
      <c r="H5" s="76">
        <f t="shared" si="0"/>
        <v>6</v>
      </c>
      <c r="I5" s="76">
        <f t="shared" si="0"/>
        <v>7</v>
      </c>
      <c r="J5" s="76">
        <f t="shared" si="0"/>
        <v>8</v>
      </c>
      <c r="K5" s="76">
        <f t="shared" si="0"/>
        <v>9</v>
      </c>
      <c r="L5" s="76">
        <f t="shared" si="0"/>
        <v>10</v>
      </c>
      <c r="M5" s="76">
        <f t="shared" si="0"/>
        <v>11</v>
      </c>
      <c r="N5" s="76">
        <f t="shared" si="0"/>
        <v>12</v>
      </c>
      <c r="O5" s="76">
        <f t="shared" si="0"/>
        <v>13</v>
      </c>
      <c r="P5" s="76">
        <f t="shared" si="0"/>
        <v>14</v>
      </c>
      <c r="Q5" s="76">
        <f t="shared" si="0"/>
        <v>15</v>
      </c>
      <c r="R5" s="76">
        <f t="shared" si="0"/>
        <v>16</v>
      </c>
      <c r="S5" s="76">
        <f t="shared" si="0"/>
        <v>17</v>
      </c>
      <c r="T5" s="76">
        <f t="shared" si="0"/>
        <v>18</v>
      </c>
      <c r="U5" s="76">
        <f t="shared" si="0"/>
        <v>19</v>
      </c>
      <c r="V5" s="76">
        <f t="shared" si="0"/>
        <v>20</v>
      </c>
      <c r="W5" s="76">
        <f t="shared" si="0"/>
        <v>21</v>
      </c>
      <c r="X5" s="76">
        <f t="shared" si="0"/>
        <v>22</v>
      </c>
      <c r="Y5" s="76">
        <f t="shared" si="0"/>
        <v>23</v>
      </c>
      <c r="Z5" s="76">
        <f t="shared" si="0"/>
        <v>24</v>
      </c>
    </row>
    <row r="6" spans="2:27"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2:27">
      <c r="B7" s="50" t="s">
        <v>14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63"/>
    </row>
    <row r="8" spans="2:27">
      <c r="B8" s="5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63"/>
    </row>
    <row r="9" spans="2:27">
      <c r="B9" s="51" t="s">
        <v>15</v>
      </c>
      <c r="C9" s="43">
        <f>Hardwarekosten_total</f>
        <v>115500</v>
      </c>
      <c r="D9" s="43">
        <v>0</v>
      </c>
      <c r="E9" s="43">
        <v>0</v>
      </c>
      <c r="F9" s="43">
        <v>0</v>
      </c>
      <c r="G9" s="43">
        <v>0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  <c r="P9" s="43">
        <v>0</v>
      </c>
      <c r="Q9" s="43">
        <v>0</v>
      </c>
      <c r="R9" s="43">
        <v>0</v>
      </c>
      <c r="S9" s="43">
        <v>0</v>
      </c>
      <c r="T9" s="43">
        <v>0</v>
      </c>
      <c r="U9" s="43">
        <v>0</v>
      </c>
      <c r="V9" s="43">
        <v>0</v>
      </c>
      <c r="W9" s="43">
        <v>0</v>
      </c>
      <c r="X9" s="43">
        <v>0</v>
      </c>
      <c r="Y9" s="43">
        <v>0</v>
      </c>
      <c r="Z9" s="43">
        <v>0</v>
      </c>
      <c r="AA9" s="63"/>
    </row>
    <row r="10" spans="2:27">
      <c r="B10" s="51" t="s">
        <v>16</v>
      </c>
      <c r="C10" s="43">
        <f>Umstellungskosten_Software_pro_Zerspanungsapparat*Anzahl_Zerspanungsapparate</f>
        <v>6600</v>
      </c>
      <c r="D10" s="43">
        <v>0</v>
      </c>
      <c r="E10" s="43">
        <v>0</v>
      </c>
      <c r="F10" s="43">
        <v>0</v>
      </c>
      <c r="G10" s="43">
        <v>0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  <c r="P10" s="43">
        <v>0</v>
      </c>
      <c r="Q10" s="43">
        <v>0</v>
      </c>
      <c r="R10" s="43">
        <v>0</v>
      </c>
      <c r="S10" s="43">
        <v>0</v>
      </c>
      <c r="T10" s="43">
        <v>0</v>
      </c>
      <c r="U10" s="43">
        <v>0</v>
      </c>
      <c r="V10" s="43">
        <v>0</v>
      </c>
      <c r="W10" s="43">
        <v>0</v>
      </c>
      <c r="X10" s="43">
        <v>0</v>
      </c>
      <c r="Y10" s="43">
        <v>0</v>
      </c>
      <c r="Z10" s="43">
        <v>0</v>
      </c>
      <c r="AA10" s="63"/>
    </row>
    <row r="11" spans="2:27">
      <c r="B11" s="51" t="s">
        <v>17</v>
      </c>
      <c r="C11" s="43">
        <f>Implementierungskosten_Software_total</f>
        <v>100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43">
        <v>0</v>
      </c>
      <c r="Q11" s="43">
        <v>0</v>
      </c>
      <c r="R11" s="43">
        <v>0</v>
      </c>
      <c r="S11" s="43">
        <v>0</v>
      </c>
      <c r="T11" s="43">
        <v>0</v>
      </c>
      <c r="U11" s="43">
        <v>0</v>
      </c>
      <c r="V11" s="43">
        <v>0</v>
      </c>
      <c r="W11" s="43">
        <v>0</v>
      </c>
      <c r="X11" s="43">
        <v>0</v>
      </c>
      <c r="Y11" s="43">
        <v>0</v>
      </c>
      <c r="Z11" s="43">
        <v>0</v>
      </c>
      <c r="AA11" s="63"/>
    </row>
    <row r="12" spans="2:27">
      <c r="B12" s="51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63"/>
    </row>
    <row r="13" spans="2:27">
      <c r="B13" s="61" t="s">
        <v>58</v>
      </c>
      <c r="C13" s="109">
        <f>SUM(C9:C11)</f>
        <v>122200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63"/>
    </row>
    <row r="14" spans="2:27">
      <c r="B14" s="51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63"/>
    </row>
    <row r="15" spans="2:27">
      <c r="B15" s="50" t="s">
        <v>18</v>
      </c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63"/>
    </row>
    <row r="16" spans="2:27">
      <c r="B16" s="50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63"/>
    </row>
    <row r="17" spans="2:27">
      <c r="B17" s="51" t="s">
        <v>19</v>
      </c>
      <c r="C17" s="43">
        <f t="shared" ref="C17:Z17" si="1">C18*Lizenzgebühr_an_Frauenhofer</f>
        <v>115.85000000000001</v>
      </c>
      <c r="D17" s="43">
        <f t="shared" si="1"/>
        <v>115.85000000000001</v>
      </c>
      <c r="E17" s="43">
        <f t="shared" si="1"/>
        <v>115.85000000000001</v>
      </c>
      <c r="F17" s="43">
        <f t="shared" si="1"/>
        <v>115.85000000000001</v>
      </c>
      <c r="G17" s="43">
        <f t="shared" si="1"/>
        <v>115.85000000000001</v>
      </c>
      <c r="H17" s="43">
        <f t="shared" si="1"/>
        <v>115.85000000000001</v>
      </c>
      <c r="I17" s="43">
        <f t="shared" si="1"/>
        <v>115.85000000000001</v>
      </c>
      <c r="J17" s="43">
        <f t="shared" si="1"/>
        <v>115.85000000000001</v>
      </c>
      <c r="K17" s="43">
        <f t="shared" si="1"/>
        <v>115.85000000000001</v>
      </c>
      <c r="L17" s="43">
        <f t="shared" si="1"/>
        <v>115.85000000000001</v>
      </c>
      <c r="M17" s="43">
        <f t="shared" si="1"/>
        <v>115.85000000000001</v>
      </c>
      <c r="N17" s="43">
        <f t="shared" si="1"/>
        <v>115.85000000000001</v>
      </c>
      <c r="O17" s="43">
        <f t="shared" si="1"/>
        <v>115.85000000000001</v>
      </c>
      <c r="P17" s="43">
        <f t="shared" si="1"/>
        <v>115.85000000000001</v>
      </c>
      <c r="Q17" s="43">
        <f t="shared" si="1"/>
        <v>115.85000000000001</v>
      </c>
      <c r="R17" s="43">
        <f t="shared" si="1"/>
        <v>115.85000000000001</v>
      </c>
      <c r="S17" s="43">
        <f t="shared" si="1"/>
        <v>115.85000000000001</v>
      </c>
      <c r="T17" s="43">
        <f t="shared" si="1"/>
        <v>115.85000000000001</v>
      </c>
      <c r="U17" s="43">
        <f t="shared" si="1"/>
        <v>115.85000000000001</v>
      </c>
      <c r="V17" s="43">
        <f t="shared" si="1"/>
        <v>115.85000000000001</v>
      </c>
      <c r="W17" s="43">
        <f t="shared" si="1"/>
        <v>115.85000000000001</v>
      </c>
      <c r="X17" s="43">
        <f t="shared" si="1"/>
        <v>115.85000000000001</v>
      </c>
      <c r="Y17" s="43">
        <f t="shared" si="1"/>
        <v>115.85000000000001</v>
      </c>
      <c r="Z17" s="43">
        <f t="shared" si="1"/>
        <v>115.85000000000001</v>
      </c>
      <c r="AA17" s="63"/>
    </row>
    <row r="18" spans="2:27">
      <c r="B18" s="51" t="s">
        <v>20</v>
      </c>
      <c r="C18" s="43">
        <f>Grundpreis_Abomodell+(Preisaufschlag_pro_Zerspanungsapparat_Abomodell*Anzahl_Zerspanungsapparate)</f>
        <v>1655</v>
      </c>
      <c r="D18" s="43">
        <f>Grundpreis_Abomodell+(Preisaufschlag_pro_Zerspanungsapparat_Abomodell*Anzahl_Zerspanungsapparate)</f>
        <v>1655</v>
      </c>
      <c r="E18" s="43">
        <f t="shared" ref="E18:Z18" si="2">Grundpreis_Abomodell+(Preisaufschlag_pro_Zerspanungsapparat_Abomodell*Anzahl_Zerspanungsapparate)</f>
        <v>1655</v>
      </c>
      <c r="F18" s="43">
        <f t="shared" si="2"/>
        <v>1655</v>
      </c>
      <c r="G18" s="43">
        <f t="shared" si="2"/>
        <v>1655</v>
      </c>
      <c r="H18" s="43">
        <f t="shared" si="2"/>
        <v>1655</v>
      </c>
      <c r="I18" s="43">
        <f t="shared" si="2"/>
        <v>1655</v>
      </c>
      <c r="J18" s="43">
        <f t="shared" si="2"/>
        <v>1655</v>
      </c>
      <c r="K18" s="43">
        <f t="shared" si="2"/>
        <v>1655</v>
      </c>
      <c r="L18" s="43">
        <f t="shared" si="2"/>
        <v>1655</v>
      </c>
      <c r="M18" s="43">
        <f t="shared" si="2"/>
        <v>1655</v>
      </c>
      <c r="N18" s="43">
        <f t="shared" si="2"/>
        <v>1655</v>
      </c>
      <c r="O18" s="43">
        <f t="shared" si="2"/>
        <v>1655</v>
      </c>
      <c r="P18" s="43">
        <f t="shared" si="2"/>
        <v>1655</v>
      </c>
      <c r="Q18" s="43">
        <f t="shared" si="2"/>
        <v>1655</v>
      </c>
      <c r="R18" s="43">
        <f t="shared" si="2"/>
        <v>1655</v>
      </c>
      <c r="S18" s="43">
        <f t="shared" si="2"/>
        <v>1655</v>
      </c>
      <c r="T18" s="43">
        <f t="shared" si="2"/>
        <v>1655</v>
      </c>
      <c r="U18" s="43">
        <f t="shared" si="2"/>
        <v>1655</v>
      </c>
      <c r="V18" s="43">
        <f t="shared" si="2"/>
        <v>1655</v>
      </c>
      <c r="W18" s="43">
        <f t="shared" si="2"/>
        <v>1655</v>
      </c>
      <c r="X18" s="43">
        <f t="shared" si="2"/>
        <v>1655</v>
      </c>
      <c r="Y18" s="43">
        <f t="shared" si="2"/>
        <v>1655</v>
      </c>
      <c r="Z18" s="43">
        <f t="shared" si="2"/>
        <v>1655</v>
      </c>
      <c r="AA18" s="63"/>
    </row>
    <row r="19" spans="2:27">
      <c r="B19" s="118" t="s">
        <v>88</v>
      </c>
      <c r="C19" s="43">
        <f>Materialaufwand_für_Zerspanungswerkzeuge_pro_Monat*(1-Verschleiss_vor_Entsorgung_mit_TD)</f>
        <v>6.4499999999999984</v>
      </c>
      <c r="D19" s="43">
        <f t="shared" ref="D19:N19" si="3">Materialaufwand_für_Zerspanungswerkzeuge_pro_Monat*(1-Verschleiss_vor_Entsorgung_mit_TD)</f>
        <v>6.4499999999999984</v>
      </c>
      <c r="E19" s="43">
        <f t="shared" si="3"/>
        <v>6.4499999999999984</v>
      </c>
      <c r="F19" s="43">
        <f t="shared" si="3"/>
        <v>6.4499999999999984</v>
      </c>
      <c r="G19" s="43">
        <f t="shared" si="3"/>
        <v>6.4499999999999984</v>
      </c>
      <c r="H19" s="43">
        <f t="shared" si="3"/>
        <v>6.4499999999999984</v>
      </c>
      <c r="I19" s="43">
        <f t="shared" si="3"/>
        <v>6.4499999999999984</v>
      </c>
      <c r="J19" s="43">
        <f t="shared" si="3"/>
        <v>6.4499999999999984</v>
      </c>
      <c r="K19" s="43">
        <f t="shared" si="3"/>
        <v>6.4499999999999984</v>
      </c>
      <c r="L19" s="43">
        <f t="shared" si="3"/>
        <v>6.4499999999999984</v>
      </c>
      <c r="M19" s="43">
        <f t="shared" si="3"/>
        <v>6.4499999999999984</v>
      </c>
      <c r="N19" s="43">
        <f t="shared" si="3"/>
        <v>6.4499999999999984</v>
      </c>
      <c r="O19" s="43">
        <f t="shared" ref="O19:Z19" si="4">Materialaufwand_für_Zerspanungswerkzeuge_pro_Monat*(1-Verschleiss_vor_Entsorgung_mit_TD)*(1+Preissteigerung_Materialaufwand_für_Zerspanungswerkzeuge)</f>
        <v>31.411499999999993</v>
      </c>
      <c r="P19" s="43">
        <f t="shared" si="4"/>
        <v>31.411499999999993</v>
      </c>
      <c r="Q19" s="43">
        <f t="shared" si="4"/>
        <v>31.411499999999993</v>
      </c>
      <c r="R19" s="43">
        <f t="shared" si="4"/>
        <v>31.411499999999993</v>
      </c>
      <c r="S19" s="43">
        <f t="shared" si="4"/>
        <v>31.411499999999993</v>
      </c>
      <c r="T19" s="43">
        <f t="shared" si="4"/>
        <v>31.411499999999993</v>
      </c>
      <c r="U19" s="43">
        <f t="shared" si="4"/>
        <v>31.411499999999993</v>
      </c>
      <c r="V19" s="43">
        <f t="shared" si="4"/>
        <v>31.411499999999993</v>
      </c>
      <c r="W19" s="43">
        <f t="shared" si="4"/>
        <v>31.411499999999993</v>
      </c>
      <c r="X19" s="43">
        <f t="shared" si="4"/>
        <v>31.411499999999993</v>
      </c>
      <c r="Y19" s="43">
        <f t="shared" si="4"/>
        <v>31.411499999999993</v>
      </c>
      <c r="Z19" s="43">
        <f t="shared" si="4"/>
        <v>31.411499999999993</v>
      </c>
      <c r="AA19" s="63"/>
    </row>
    <row r="20" spans="2:27">
      <c r="B20" s="52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63"/>
    </row>
    <row r="21" spans="2:27">
      <c r="B21" s="65" t="s">
        <v>57</v>
      </c>
      <c r="C21" s="109">
        <f>SUM(C17:C19)</f>
        <v>1777.3</v>
      </c>
      <c r="D21" s="109">
        <f t="shared" ref="D21:Z21" si="5">SUM(D17:D19)</f>
        <v>1777.3</v>
      </c>
      <c r="E21" s="109">
        <f t="shared" si="5"/>
        <v>1777.3</v>
      </c>
      <c r="F21" s="109">
        <f t="shared" si="5"/>
        <v>1777.3</v>
      </c>
      <c r="G21" s="109">
        <f t="shared" si="5"/>
        <v>1777.3</v>
      </c>
      <c r="H21" s="109">
        <f t="shared" si="5"/>
        <v>1777.3</v>
      </c>
      <c r="I21" s="109">
        <f t="shared" si="5"/>
        <v>1777.3</v>
      </c>
      <c r="J21" s="109">
        <f t="shared" si="5"/>
        <v>1777.3</v>
      </c>
      <c r="K21" s="109">
        <f t="shared" si="5"/>
        <v>1777.3</v>
      </c>
      <c r="L21" s="109">
        <f t="shared" si="5"/>
        <v>1777.3</v>
      </c>
      <c r="M21" s="109">
        <f t="shared" si="5"/>
        <v>1777.3</v>
      </c>
      <c r="N21" s="109">
        <f t="shared" si="5"/>
        <v>1777.3</v>
      </c>
      <c r="O21" s="109">
        <f t="shared" si="5"/>
        <v>1802.2614999999998</v>
      </c>
      <c r="P21" s="109">
        <f t="shared" si="5"/>
        <v>1802.2614999999998</v>
      </c>
      <c r="Q21" s="109">
        <f t="shared" si="5"/>
        <v>1802.2614999999998</v>
      </c>
      <c r="R21" s="109">
        <f t="shared" si="5"/>
        <v>1802.2614999999998</v>
      </c>
      <c r="S21" s="109">
        <f t="shared" si="5"/>
        <v>1802.2614999999998</v>
      </c>
      <c r="T21" s="109">
        <f t="shared" si="5"/>
        <v>1802.2614999999998</v>
      </c>
      <c r="U21" s="109">
        <f t="shared" si="5"/>
        <v>1802.2614999999998</v>
      </c>
      <c r="V21" s="109">
        <f t="shared" si="5"/>
        <v>1802.2614999999998</v>
      </c>
      <c r="W21" s="109">
        <f t="shared" si="5"/>
        <v>1802.2614999999998</v>
      </c>
      <c r="X21" s="109">
        <f t="shared" si="5"/>
        <v>1802.2614999999998</v>
      </c>
      <c r="Y21" s="109">
        <f t="shared" si="5"/>
        <v>1802.2614999999998</v>
      </c>
      <c r="Z21" s="109">
        <f t="shared" si="5"/>
        <v>1802.2614999999998</v>
      </c>
      <c r="AA21" s="63"/>
    </row>
    <row r="22" spans="2:27">
      <c r="B22" s="5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63"/>
    </row>
    <row r="23" spans="2:27">
      <c r="B23" s="54" t="s">
        <v>54</v>
      </c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63"/>
    </row>
    <row r="24" spans="2:27">
      <c r="B24" s="5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63"/>
    </row>
    <row r="25" spans="2:27" ht="15" thickBot="1">
      <c r="B25" s="53" t="s">
        <v>11</v>
      </c>
      <c r="C25" s="110">
        <f>C13+C21</f>
        <v>123977.3</v>
      </c>
      <c r="D25" s="110">
        <f>D21</f>
        <v>1777.3</v>
      </c>
      <c r="E25" s="110">
        <f t="shared" ref="E25:Z25" si="6">E21</f>
        <v>1777.3</v>
      </c>
      <c r="F25" s="110">
        <f t="shared" si="6"/>
        <v>1777.3</v>
      </c>
      <c r="G25" s="110">
        <f t="shared" si="6"/>
        <v>1777.3</v>
      </c>
      <c r="H25" s="110">
        <f t="shared" si="6"/>
        <v>1777.3</v>
      </c>
      <c r="I25" s="110">
        <f t="shared" si="6"/>
        <v>1777.3</v>
      </c>
      <c r="J25" s="110">
        <f t="shared" si="6"/>
        <v>1777.3</v>
      </c>
      <c r="K25" s="110">
        <f t="shared" si="6"/>
        <v>1777.3</v>
      </c>
      <c r="L25" s="110">
        <f t="shared" si="6"/>
        <v>1777.3</v>
      </c>
      <c r="M25" s="110">
        <f t="shared" si="6"/>
        <v>1777.3</v>
      </c>
      <c r="N25" s="110">
        <f t="shared" si="6"/>
        <v>1777.3</v>
      </c>
      <c r="O25" s="110">
        <f t="shared" si="6"/>
        <v>1802.2614999999998</v>
      </c>
      <c r="P25" s="110">
        <f t="shared" si="6"/>
        <v>1802.2614999999998</v>
      </c>
      <c r="Q25" s="110">
        <f t="shared" si="6"/>
        <v>1802.2614999999998</v>
      </c>
      <c r="R25" s="110">
        <f t="shared" si="6"/>
        <v>1802.2614999999998</v>
      </c>
      <c r="S25" s="110">
        <f t="shared" si="6"/>
        <v>1802.2614999999998</v>
      </c>
      <c r="T25" s="110">
        <f t="shared" si="6"/>
        <v>1802.2614999999998</v>
      </c>
      <c r="U25" s="110">
        <f t="shared" si="6"/>
        <v>1802.2614999999998</v>
      </c>
      <c r="V25" s="110">
        <f t="shared" si="6"/>
        <v>1802.2614999999998</v>
      </c>
      <c r="W25" s="110">
        <f t="shared" si="6"/>
        <v>1802.2614999999998</v>
      </c>
      <c r="X25" s="110">
        <f t="shared" si="6"/>
        <v>1802.2614999999998</v>
      </c>
      <c r="Y25" s="110">
        <f t="shared" si="6"/>
        <v>1802.2614999999998</v>
      </c>
      <c r="Z25" s="110">
        <f t="shared" si="6"/>
        <v>1802.2614999999998</v>
      </c>
      <c r="AA25" s="63"/>
    </row>
    <row r="26" spans="2:27">
      <c r="B26" s="53" t="s">
        <v>12</v>
      </c>
      <c r="C26" s="43">
        <f>SUM(C25:N25)</f>
        <v>143527.59999999992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63"/>
    </row>
    <row r="27" spans="2:27">
      <c r="B27" s="53" t="s">
        <v>115</v>
      </c>
      <c r="C27" s="43">
        <f>SUM(O25:Z25)</f>
        <v>21627.138000000003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63"/>
    </row>
    <row r="28" spans="2:27">
      <c r="B28" s="53" t="s">
        <v>116</v>
      </c>
      <c r="C28" s="109">
        <f>SUM(C26:C27)</f>
        <v>165154.73799999992</v>
      </c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63"/>
    </row>
    <row r="29" spans="2:27"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63"/>
    </row>
    <row r="30" spans="2:27">
      <c r="B30" s="4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3"/>
    </row>
    <row r="31" spans="2:27">
      <c r="B31" s="55" t="s">
        <v>87</v>
      </c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3"/>
    </row>
    <row r="32" spans="2:27"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spans="2:26" ht="15" thickBot="1">
      <c r="B33" s="44"/>
      <c r="C33" s="76">
        <v>1</v>
      </c>
      <c r="D33" s="76">
        <f>C33+1</f>
        <v>2</v>
      </c>
      <c r="E33" s="76">
        <f t="shared" ref="E33:Z33" si="7">D33+1</f>
        <v>3</v>
      </c>
      <c r="F33" s="76">
        <f t="shared" si="7"/>
        <v>4</v>
      </c>
      <c r="G33" s="76">
        <f t="shared" si="7"/>
        <v>5</v>
      </c>
      <c r="H33" s="76">
        <f t="shared" si="7"/>
        <v>6</v>
      </c>
      <c r="I33" s="76">
        <f t="shared" si="7"/>
        <v>7</v>
      </c>
      <c r="J33" s="76">
        <f t="shared" si="7"/>
        <v>8</v>
      </c>
      <c r="K33" s="76">
        <f t="shared" si="7"/>
        <v>9</v>
      </c>
      <c r="L33" s="76">
        <f t="shared" si="7"/>
        <v>10</v>
      </c>
      <c r="M33" s="76">
        <f t="shared" si="7"/>
        <v>11</v>
      </c>
      <c r="N33" s="76">
        <f t="shared" si="7"/>
        <v>12</v>
      </c>
      <c r="O33" s="76">
        <f t="shared" si="7"/>
        <v>13</v>
      </c>
      <c r="P33" s="76">
        <f t="shared" si="7"/>
        <v>14</v>
      </c>
      <c r="Q33" s="76">
        <f t="shared" si="7"/>
        <v>15</v>
      </c>
      <c r="R33" s="76">
        <f t="shared" si="7"/>
        <v>16</v>
      </c>
      <c r="S33" s="76">
        <f t="shared" si="7"/>
        <v>17</v>
      </c>
      <c r="T33" s="76">
        <f t="shared" si="7"/>
        <v>18</v>
      </c>
      <c r="U33" s="76">
        <f t="shared" si="7"/>
        <v>19</v>
      </c>
      <c r="V33" s="76">
        <f t="shared" si="7"/>
        <v>20</v>
      </c>
      <c r="W33" s="76">
        <f t="shared" si="7"/>
        <v>21</v>
      </c>
      <c r="X33" s="76">
        <f t="shared" si="7"/>
        <v>22</v>
      </c>
      <c r="Y33" s="76">
        <f t="shared" si="7"/>
        <v>23</v>
      </c>
      <c r="Z33" s="76">
        <f t="shared" si="7"/>
        <v>24</v>
      </c>
    </row>
    <row r="34" spans="2:26">
      <c r="B34" s="57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spans="2:26">
      <c r="B35" s="58" t="s">
        <v>14</v>
      </c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2:26">
      <c r="B36" s="58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2:26">
      <c r="B37" s="59" t="s">
        <v>16</v>
      </c>
      <c r="C37" s="44">
        <f>Umstellungskosten_Software_pro_Zerspanungsapparat*Anzahl_Zerspanungsapparate</f>
        <v>6600</v>
      </c>
      <c r="D37" s="44">
        <v>0</v>
      </c>
      <c r="E37" s="44">
        <f>D37</f>
        <v>0</v>
      </c>
      <c r="F37" s="44">
        <f t="shared" ref="F37:Z37" si="8">E37</f>
        <v>0</v>
      </c>
      <c r="G37" s="44">
        <f t="shared" si="8"/>
        <v>0</v>
      </c>
      <c r="H37" s="44">
        <f t="shared" si="8"/>
        <v>0</v>
      </c>
      <c r="I37" s="44">
        <f t="shared" si="8"/>
        <v>0</v>
      </c>
      <c r="J37" s="44">
        <f t="shared" si="8"/>
        <v>0</v>
      </c>
      <c r="K37" s="44">
        <f t="shared" si="8"/>
        <v>0</v>
      </c>
      <c r="L37" s="44">
        <f t="shared" si="8"/>
        <v>0</v>
      </c>
      <c r="M37" s="44">
        <f t="shared" si="8"/>
        <v>0</v>
      </c>
      <c r="N37" s="44">
        <f t="shared" si="8"/>
        <v>0</v>
      </c>
      <c r="O37" s="44">
        <f t="shared" si="8"/>
        <v>0</v>
      </c>
      <c r="P37" s="44">
        <f t="shared" si="8"/>
        <v>0</v>
      </c>
      <c r="Q37" s="44">
        <f t="shared" si="8"/>
        <v>0</v>
      </c>
      <c r="R37" s="44">
        <f t="shared" si="8"/>
        <v>0</v>
      </c>
      <c r="S37" s="44">
        <f t="shared" si="8"/>
        <v>0</v>
      </c>
      <c r="T37" s="44">
        <f t="shared" si="8"/>
        <v>0</v>
      </c>
      <c r="U37" s="44">
        <f t="shared" si="8"/>
        <v>0</v>
      </c>
      <c r="V37" s="44">
        <f t="shared" si="8"/>
        <v>0</v>
      </c>
      <c r="W37" s="44">
        <f t="shared" si="8"/>
        <v>0</v>
      </c>
      <c r="X37" s="44">
        <f t="shared" si="8"/>
        <v>0</v>
      </c>
      <c r="Y37" s="44">
        <f t="shared" si="8"/>
        <v>0</v>
      </c>
      <c r="Z37" s="44">
        <f t="shared" si="8"/>
        <v>0</v>
      </c>
    </row>
    <row r="38" spans="2:26">
      <c r="B38" s="59" t="s">
        <v>17</v>
      </c>
      <c r="C38" s="44">
        <f>Implementierungskosten_Software_total</f>
        <v>100</v>
      </c>
      <c r="D38" s="44">
        <v>0</v>
      </c>
      <c r="E38" s="44">
        <f>D38</f>
        <v>0</v>
      </c>
      <c r="F38" s="44">
        <f t="shared" ref="F38:Z38" si="9">E38</f>
        <v>0</v>
      </c>
      <c r="G38" s="44">
        <f t="shared" si="9"/>
        <v>0</v>
      </c>
      <c r="H38" s="44">
        <f t="shared" si="9"/>
        <v>0</v>
      </c>
      <c r="I38" s="44">
        <f t="shared" si="9"/>
        <v>0</v>
      </c>
      <c r="J38" s="44">
        <f t="shared" si="9"/>
        <v>0</v>
      </c>
      <c r="K38" s="44">
        <f t="shared" si="9"/>
        <v>0</v>
      </c>
      <c r="L38" s="44">
        <f t="shared" si="9"/>
        <v>0</v>
      </c>
      <c r="M38" s="44">
        <f t="shared" si="9"/>
        <v>0</v>
      </c>
      <c r="N38" s="44">
        <f t="shared" si="9"/>
        <v>0</v>
      </c>
      <c r="O38" s="44">
        <f t="shared" si="9"/>
        <v>0</v>
      </c>
      <c r="P38" s="44">
        <f t="shared" si="9"/>
        <v>0</v>
      </c>
      <c r="Q38" s="44">
        <f t="shared" si="9"/>
        <v>0</v>
      </c>
      <c r="R38" s="44">
        <f t="shared" si="9"/>
        <v>0</v>
      </c>
      <c r="S38" s="44">
        <f t="shared" si="9"/>
        <v>0</v>
      </c>
      <c r="T38" s="44">
        <f t="shared" si="9"/>
        <v>0</v>
      </c>
      <c r="U38" s="44">
        <f t="shared" si="9"/>
        <v>0</v>
      </c>
      <c r="V38" s="44">
        <f t="shared" si="9"/>
        <v>0</v>
      </c>
      <c r="W38" s="44">
        <f t="shared" si="9"/>
        <v>0</v>
      </c>
      <c r="X38" s="44">
        <f t="shared" si="9"/>
        <v>0</v>
      </c>
      <c r="Y38" s="44">
        <f t="shared" si="9"/>
        <v>0</v>
      </c>
      <c r="Z38" s="44">
        <f t="shared" si="9"/>
        <v>0</v>
      </c>
    </row>
    <row r="39" spans="2:26">
      <c r="B39" s="57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spans="2:26">
      <c r="B40" s="58" t="s">
        <v>58</v>
      </c>
      <c r="C40" s="70">
        <f>SUM(C37:C38)</f>
        <v>6700</v>
      </c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spans="2:26">
      <c r="B41" s="57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2:26">
      <c r="B42" s="58" t="s">
        <v>18</v>
      </c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2:26">
      <c r="B43" s="58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2:26">
      <c r="B44" s="59" t="s">
        <v>19</v>
      </c>
      <c r="C44" s="44">
        <f>Lizenzgebühr_an_Frauenhofer*C45</f>
        <v>115.85000000000001</v>
      </c>
      <c r="D44" s="44">
        <f t="shared" ref="D44:Z44" si="10">Lizenzgebühr_an_Frauenhofer*D45</f>
        <v>115.85000000000001</v>
      </c>
      <c r="E44" s="44">
        <f t="shared" si="10"/>
        <v>115.85000000000001</v>
      </c>
      <c r="F44" s="44">
        <f t="shared" si="10"/>
        <v>115.85000000000001</v>
      </c>
      <c r="G44" s="44">
        <f t="shared" si="10"/>
        <v>115.85000000000001</v>
      </c>
      <c r="H44" s="44">
        <f t="shared" si="10"/>
        <v>115.85000000000001</v>
      </c>
      <c r="I44" s="44">
        <f t="shared" si="10"/>
        <v>115.85000000000001</v>
      </c>
      <c r="J44" s="44">
        <f t="shared" si="10"/>
        <v>115.85000000000001</v>
      </c>
      <c r="K44" s="44">
        <f t="shared" si="10"/>
        <v>115.85000000000001</v>
      </c>
      <c r="L44" s="44">
        <f t="shared" si="10"/>
        <v>115.85000000000001</v>
      </c>
      <c r="M44" s="44">
        <f t="shared" si="10"/>
        <v>115.85000000000001</v>
      </c>
      <c r="N44" s="44">
        <f t="shared" si="10"/>
        <v>115.85000000000001</v>
      </c>
      <c r="O44" s="44">
        <f t="shared" si="10"/>
        <v>115.85000000000001</v>
      </c>
      <c r="P44" s="44">
        <f t="shared" si="10"/>
        <v>115.85000000000001</v>
      </c>
      <c r="Q44" s="44">
        <f t="shared" si="10"/>
        <v>115.85000000000001</v>
      </c>
      <c r="R44" s="44">
        <f t="shared" si="10"/>
        <v>115.85000000000001</v>
      </c>
      <c r="S44" s="44">
        <f t="shared" si="10"/>
        <v>115.85000000000001</v>
      </c>
      <c r="T44" s="44">
        <f t="shared" si="10"/>
        <v>115.85000000000001</v>
      </c>
      <c r="U44" s="44">
        <f t="shared" si="10"/>
        <v>115.85000000000001</v>
      </c>
      <c r="V44" s="44">
        <f t="shared" si="10"/>
        <v>115.85000000000001</v>
      </c>
      <c r="W44" s="44">
        <f t="shared" si="10"/>
        <v>115.85000000000001</v>
      </c>
      <c r="X44" s="44">
        <f t="shared" si="10"/>
        <v>115.85000000000001</v>
      </c>
      <c r="Y44" s="44">
        <f t="shared" si="10"/>
        <v>115.85000000000001</v>
      </c>
      <c r="Z44" s="44">
        <f t="shared" si="10"/>
        <v>115.85000000000001</v>
      </c>
    </row>
    <row r="45" spans="2:26">
      <c r="B45" s="59" t="s">
        <v>20</v>
      </c>
      <c r="C45" s="44">
        <f>Grundpreis_Abomodell+Preisaufschlag_pro_Zerspanungsapparat_Abomodell*Anzahl_Zerspanungsapparate</f>
        <v>1655</v>
      </c>
      <c r="D45" s="44">
        <f t="shared" ref="D45:Z45" si="11">Grundpreis_Abomodell+Preisaufschlag_pro_Zerspanungsapparat_Abomodell*Anzahl_Zerspanungsapparate</f>
        <v>1655</v>
      </c>
      <c r="E45" s="44">
        <f t="shared" si="11"/>
        <v>1655</v>
      </c>
      <c r="F45" s="44">
        <f t="shared" si="11"/>
        <v>1655</v>
      </c>
      <c r="G45" s="44">
        <f t="shared" si="11"/>
        <v>1655</v>
      </c>
      <c r="H45" s="44">
        <f t="shared" si="11"/>
        <v>1655</v>
      </c>
      <c r="I45" s="44">
        <f t="shared" si="11"/>
        <v>1655</v>
      </c>
      <c r="J45" s="44">
        <f t="shared" si="11"/>
        <v>1655</v>
      </c>
      <c r="K45" s="44">
        <f t="shared" si="11"/>
        <v>1655</v>
      </c>
      <c r="L45" s="44">
        <f t="shared" si="11"/>
        <v>1655</v>
      </c>
      <c r="M45" s="44">
        <f t="shared" si="11"/>
        <v>1655</v>
      </c>
      <c r="N45" s="44">
        <f t="shared" si="11"/>
        <v>1655</v>
      </c>
      <c r="O45" s="44">
        <f t="shared" si="11"/>
        <v>1655</v>
      </c>
      <c r="P45" s="44">
        <f t="shared" si="11"/>
        <v>1655</v>
      </c>
      <c r="Q45" s="44">
        <f t="shared" si="11"/>
        <v>1655</v>
      </c>
      <c r="R45" s="44">
        <f t="shared" si="11"/>
        <v>1655</v>
      </c>
      <c r="S45" s="44">
        <f t="shared" si="11"/>
        <v>1655</v>
      </c>
      <c r="T45" s="44">
        <f t="shared" si="11"/>
        <v>1655</v>
      </c>
      <c r="U45" s="44">
        <f t="shared" si="11"/>
        <v>1655</v>
      </c>
      <c r="V45" s="44">
        <f t="shared" si="11"/>
        <v>1655</v>
      </c>
      <c r="W45" s="44">
        <f t="shared" si="11"/>
        <v>1655</v>
      </c>
      <c r="X45" s="44">
        <f t="shared" si="11"/>
        <v>1655</v>
      </c>
      <c r="Y45" s="44">
        <f t="shared" si="11"/>
        <v>1655</v>
      </c>
      <c r="Z45" s="44">
        <f t="shared" si="11"/>
        <v>1655</v>
      </c>
    </row>
    <row r="46" spans="2:26">
      <c r="B46" s="59" t="s">
        <v>109</v>
      </c>
      <c r="C46" s="44">
        <f>Hardwarekosten_total*Leasingzins</f>
        <v>15015</v>
      </c>
      <c r="D46" s="44">
        <f>Leasingzins*C48</f>
        <v>14389.375</v>
      </c>
      <c r="E46" s="44">
        <f>Leasingzins*D48</f>
        <v>13763.75</v>
      </c>
      <c r="F46" s="44">
        <f t="shared" ref="F46:Z46" si="12">Leasingzins*E48</f>
        <v>13138.125</v>
      </c>
      <c r="G46" s="44">
        <f t="shared" si="12"/>
        <v>12512.5</v>
      </c>
      <c r="H46" s="44">
        <f t="shared" si="12"/>
        <v>11886.875</v>
      </c>
      <c r="I46" s="44">
        <f t="shared" si="12"/>
        <v>11261.25</v>
      </c>
      <c r="J46" s="44">
        <f t="shared" si="12"/>
        <v>10635.625</v>
      </c>
      <c r="K46" s="44">
        <f t="shared" si="12"/>
        <v>10010</v>
      </c>
      <c r="L46" s="44">
        <f t="shared" si="12"/>
        <v>9384.375</v>
      </c>
      <c r="M46" s="44">
        <f t="shared" si="12"/>
        <v>8758.75</v>
      </c>
      <c r="N46" s="44">
        <f t="shared" si="12"/>
        <v>8133.125</v>
      </c>
      <c r="O46" s="44">
        <f t="shared" si="12"/>
        <v>7507.5</v>
      </c>
      <c r="P46" s="44">
        <f t="shared" si="12"/>
        <v>6881.875</v>
      </c>
      <c r="Q46" s="44">
        <f t="shared" si="12"/>
        <v>6256.25</v>
      </c>
      <c r="R46" s="44">
        <f t="shared" si="12"/>
        <v>5630.625</v>
      </c>
      <c r="S46" s="44">
        <f t="shared" si="12"/>
        <v>5005</v>
      </c>
      <c r="T46" s="44">
        <f t="shared" si="12"/>
        <v>4379.375</v>
      </c>
      <c r="U46" s="44">
        <f t="shared" si="12"/>
        <v>3753.75</v>
      </c>
      <c r="V46" s="44">
        <f t="shared" si="12"/>
        <v>3128.125</v>
      </c>
      <c r="W46" s="44">
        <f t="shared" si="12"/>
        <v>2502.5</v>
      </c>
      <c r="X46" s="44">
        <f t="shared" si="12"/>
        <v>1876.875</v>
      </c>
      <c r="Y46" s="44">
        <f t="shared" si="12"/>
        <v>1251.25</v>
      </c>
      <c r="Z46" s="44">
        <f t="shared" si="12"/>
        <v>625.625</v>
      </c>
    </row>
    <row r="47" spans="2:26">
      <c r="B47" s="60" t="s">
        <v>21</v>
      </c>
      <c r="C47" s="127">
        <f>Hardwarekosten_total/Leasinglaufzeit_in_Monaten</f>
        <v>4812.5</v>
      </c>
      <c r="D47" s="128">
        <f t="shared" ref="D47:Z47" si="13">Hardwarekosten_total/Leasinglaufzeit_in_Monaten</f>
        <v>4812.5</v>
      </c>
      <c r="E47" s="128">
        <f t="shared" si="13"/>
        <v>4812.5</v>
      </c>
      <c r="F47" s="128">
        <f t="shared" si="13"/>
        <v>4812.5</v>
      </c>
      <c r="G47" s="128">
        <f t="shared" si="13"/>
        <v>4812.5</v>
      </c>
      <c r="H47" s="128">
        <f t="shared" si="13"/>
        <v>4812.5</v>
      </c>
      <c r="I47" s="128">
        <f t="shared" si="13"/>
        <v>4812.5</v>
      </c>
      <c r="J47" s="128">
        <f t="shared" si="13"/>
        <v>4812.5</v>
      </c>
      <c r="K47" s="128">
        <f t="shared" si="13"/>
        <v>4812.5</v>
      </c>
      <c r="L47" s="128">
        <f t="shared" si="13"/>
        <v>4812.5</v>
      </c>
      <c r="M47" s="128">
        <f t="shared" si="13"/>
        <v>4812.5</v>
      </c>
      <c r="N47" s="128">
        <f t="shared" si="13"/>
        <v>4812.5</v>
      </c>
      <c r="O47" s="128">
        <f t="shared" si="13"/>
        <v>4812.5</v>
      </c>
      <c r="P47" s="128">
        <f t="shared" si="13"/>
        <v>4812.5</v>
      </c>
      <c r="Q47" s="128">
        <f t="shared" si="13"/>
        <v>4812.5</v>
      </c>
      <c r="R47" s="128">
        <f t="shared" si="13"/>
        <v>4812.5</v>
      </c>
      <c r="S47" s="128">
        <f t="shared" si="13"/>
        <v>4812.5</v>
      </c>
      <c r="T47" s="128">
        <f t="shared" si="13"/>
        <v>4812.5</v>
      </c>
      <c r="U47" s="128">
        <f t="shared" si="13"/>
        <v>4812.5</v>
      </c>
      <c r="V47" s="128">
        <f t="shared" si="13"/>
        <v>4812.5</v>
      </c>
      <c r="W47" s="128">
        <f t="shared" si="13"/>
        <v>4812.5</v>
      </c>
      <c r="X47" s="128">
        <f t="shared" si="13"/>
        <v>4812.5</v>
      </c>
      <c r="Y47" s="128">
        <f t="shared" si="13"/>
        <v>4812.5</v>
      </c>
      <c r="Z47" s="128">
        <f t="shared" si="13"/>
        <v>4812.5</v>
      </c>
    </row>
    <row r="48" spans="2:26">
      <c r="B48" s="67" t="s">
        <v>22</v>
      </c>
      <c r="C48" s="111">
        <f>Hardwarekosten_total-(Abzahlungsbetrag_Leasingdarlehen)</f>
        <v>110687.5</v>
      </c>
      <c r="D48" s="111">
        <f>C48-D47</f>
        <v>105875</v>
      </c>
      <c r="E48" s="111">
        <f>D48-E47</f>
        <v>101062.5</v>
      </c>
      <c r="F48" s="111">
        <f t="shared" ref="F48:Z48" si="14">E48-F47</f>
        <v>96250</v>
      </c>
      <c r="G48" s="111">
        <f t="shared" si="14"/>
        <v>91437.5</v>
      </c>
      <c r="H48" s="111">
        <f t="shared" si="14"/>
        <v>86625</v>
      </c>
      <c r="I48" s="111">
        <f t="shared" si="14"/>
        <v>81812.5</v>
      </c>
      <c r="J48" s="111">
        <f t="shared" si="14"/>
        <v>77000</v>
      </c>
      <c r="K48" s="111">
        <f t="shared" si="14"/>
        <v>72187.5</v>
      </c>
      <c r="L48" s="111">
        <f t="shared" si="14"/>
        <v>67375</v>
      </c>
      <c r="M48" s="111">
        <f t="shared" si="14"/>
        <v>62562.5</v>
      </c>
      <c r="N48" s="111">
        <f t="shared" si="14"/>
        <v>57750</v>
      </c>
      <c r="O48" s="111">
        <f t="shared" si="14"/>
        <v>52937.5</v>
      </c>
      <c r="P48" s="111">
        <f t="shared" si="14"/>
        <v>48125</v>
      </c>
      <c r="Q48" s="111">
        <f t="shared" si="14"/>
        <v>43312.5</v>
      </c>
      <c r="R48" s="111">
        <f t="shared" si="14"/>
        <v>38500</v>
      </c>
      <c r="S48" s="111">
        <f t="shared" si="14"/>
        <v>33687.5</v>
      </c>
      <c r="T48" s="111">
        <f t="shared" si="14"/>
        <v>28875</v>
      </c>
      <c r="U48" s="111">
        <f t="shared" si="14"/>
        <v>24062.5</v>
      </c>
      <c r="V48" s="111">
        <f t="shared" si="14"/>
        <v>19250</v>
      </c>
      <c r="W48" s="111">
        <f t="shared" si="14"/>
        <v>14437.5</v>
      </c>
      <c r="X48" s="111">
        <f t="shared" si="14"/>
        <v>9625</v>
      </c>
      <c r="Y48" s="111">
        <f>X48-Y47</f>
        <v>4812.5</v>
      </c>
      <c r="Z48" s="111">
        <f t="shared" si="14"/>
        <v>0</v>
      </c>
    </row>
    <row r="49" spans="2:26">
      <c r="B49" s="59" t="s">
        <v>81</v>
      </c>
      <c r="C49" s="44">
        <f t="shared" ref="C49:N49" si="15">Materialaufwand_für_Zerspanungswerkzeuge_pro_Monat*(1-Verschleiss_vor_Entsorgung_mit_TD)</f>
        <v>6.4499999999999984</v>
      </c>
      <c r="D49" s="44">
        <f t="shared" si="15"/>
        <v>6.4499999999999984</v>
      </c>
      <c r="E49" s="44">
        <f t="shared" si="15"/>
        <v>6.4499999999999984</v>
      </c>
      <c r="F49" s="44">
        <f t="shared" si="15"/>
        <v>6.4499999999999984</v>
      </c>
      <c r="G49" s="44">
        <f t="shared" si="15"/>
        <v>6.4499999999999984</v>
      </c>
      <c r="H49" s="44">
        <f t="shared" si="15"/>
        <v>6.4499999999999984</v>
      </c>
      <c r="I49" s="44">
        <f t="shared" si="15"/>
        <v>6.4499999999999984</v>
      </c>
      <c r="J49" s="44">
        <f t="shared" si="15"/>
        <v>6.4499999999999984</v>
      </c>
      <c r="K49" s="44">
        <f t="shared" si="15"/>
        <v>6.4499999999999984</v>
      </c>
      <c r="L49" s="44">
        <f t="shared" si="15"/>
        <v>6.4499999999999984</v>
      </c>
      <c r="M49" s="44">
        <f t="shared" si="15"/>
        <v>6.4499999999999984</v>
      </c>
      <c r="N49" s="44">
        <f t="shared" si="15"/>
        <v>6.4499999999999984</v>
      </c>
      <c r="O49" s="44">
        <f t="shared" ref="O49:Z49" si="16">Materialaufwand_für_Zerspanungswerkzeuge_pro_Monat*(1-Verschleiss_vor_Entsorgung_mit_TD)*(1+Preissteigerung_Materialaufwand_für_Zerspanungswerkzeuge)</f>
        <v>31.411499999999993</v>
      </c>
      <c r="P49" s="44">
        <f t="shared" si="16"/>
        <v>31.411499999999993</v>
      </c>
      <c r="Q49" s="44">
        <f t="shared" si="16"/>
        <v>31.411499999999993</v>
      </c>
      <c r="R49" s="44">
        <f t="shared" si="16"/>
        <v>31.411499999999993</v>
      </c>
      <c r="S49" s="44">
        <f t="shared" si="16"/>
        <v>31.411499999999993</v>
      </c>
      <c r="T49" s="44">
        <f t="shared" si="16"/>
        <v>31.411499999999993</v>
      </c>
      <c r="U49" s="44">
        <f t="shared" si="16"/>
        <v>31.411499999999993</v>
      </c>
      <c r="V49" s="44">
        <f t="shared" si="16"/>
        <v>31.411499999999993</v>
      </c>
      <c r="W49" s="44">
        <f t="shared" si="16"/>
        <v>31.411499999999993</v>
      </c>
      <c r="X49" s="44">
        <f t="shared" si="16"/>
        <v>31.411499999999993</v>
      </c>
      <c r="Y49" s="44">
        <f t="shared" si="16"/>
        <v>31.411499999999993</v>
      </c>
      <c r="Z49" s="44">
        <f t="shared" si="16"/>
        <v>31.411499999999993</v>
      </c>
    </row>
    <row r="50" spans="2:26">
      <c r="B50" s="59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2:26">
      <c r="B51" s="61" t="s">
        <v>62</v>
      </c>
      <c r="C51" s="70">
        <f>SUM(C44:C47)+C49</f>
        <v>21604.799999999999</v>
      </c>
      <c r="D51" s="70">
        <f t="shared" ref="D51:Z51" si="17">SUM(D44:D47)+D49</f>
        <v>20979.174999999999</v>
      </c>
      <c r="E51" s="70">
        <f t="shared" si="17"/>
        <v>20353.55</v>
      </c>
      <c r="F51" s="70">
        <f t="shared" si="17"/>
        <v>19727.924999999999</v>
      </c>
      <c r="G51" s="70">
        <f t="shared" si="17"/>
        <v>19102.3</v>
      </c>
      <c r="H51" s="70">
        <f t="shared" si="17"/>
        <v>18476.674999999999</v>
      </c>
      <c r="I51" s="70">
        <f t="shared" si="17"/>
        <v>17851.05</v>
      </c>
      <c r="J51" s="70">
        <f t="shared" si="17"/>
        <v>17225.424999999999</v>
      </c>
      <c r="K51" s="70">
        <f t="shared" si="17"/>
        <v>16599.8</v>
      </c>
      <c r="L51" s="70">
        <f t="shared" si="17"/>
        <v>15974.175000000001</v>
      </c>
      <c r="M51" s="70">
        <f t="shared" si="17"/>
        <v>15348.550000000001</v>
      </c>
      <c r="N51" s="70">
        <f t="shared" si="17"/>
        <v>14722.925000000001</v>
      </c>
      <c r="O51" s="70">
        <f t="shared" si="17"/>
        <v>14122.261500000001</v>
      </c>
      <c r="P51" s="70">
        <f t="shared" si="17"/>
        <v>13496.636500000001</v>
      </c>
      <c r="Q51" s="70">
        <f t="shared" si="17"/>
        <v>12871.011500000001</v>
      </c>
      <c r="R51" s="70">
        <f t="shared" si="17"/>
        <v>12245.386500000001</v>
      </c>
      <c r="S51" s="70">
        <f t="shared" si="17"/>
        <v>11619.761500000001</v>
      </c>
      <c r="T51" s="70">
        <f t="shared" si="17"/>
        <v>10994.136500000001</v>
      </c>
      <c r="U51" s="70">
        <f t="shared" si="17"/>
        <v>10368.511500000001</v>
      </c>
      <c r="V51" s="70">
        <f t="shared" si="17"/>
        <v>9742.8865000000005</v>
      </c>
      <c r="W51" s="70">
        <f t="shared" si="17"/>
        <v>9117.2615000000005</v>
      </c>
      <c r="X51" s="70">
        <f t="shared" si="17"/>
        <v>8491.6365000000005</v>
      </c>
      <c r="Y51" s="70">
        <f t="shared" si="17"/>
        <v>7866.0115000000005</v>
      </c>
      <c r="Z51" s="70">
        <f t="shared" si="17"/>
        <v>7240.3865000000005</v>
      </c>
    </row>
    <row r="52" spans="2:26">
      <c r="B52" s="59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2:26">
      <c r="B53" s="61" t="s">
        <v>54</v>
      </c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2:26">
      <c r="B54" s="59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2:26" ht="15" thickBot="1">
      <c r="B55" s="59" t="s">
        <v>23</v>
      </c>
      <c r="C55" s="56">
        <f>C40+C51</f>
        <v>28304.799999999999</v>
      </c>
      <c r="D55" s="56">
        <f>D51</f>
        <v>20979.174999999999</v>
      </c>
      <c r="E55" s="56">
        <f t="shared" ref="E55:Z55" si="18">E51</f>
        <v>20353.55</v>
      </c>
      <c r="F55" s="56">
        <f t="shared" si="18"/>
        <v>19727.924999999999</v>
      </c>
      <c r="G55" s="56">
        <f t="shared" si="18"/>
        <v>19102.3</v>
      </c>
      <c r="H55" s="56">
        <f t="shared" si="18"/>
        <v>18476.674999999999</v>
      </c>
      <c r="I55" s="56">
        <f t="shared" si="18"/>
        <v>17851.05</v>
      </c>
      <c r="J55" s="56">
        <f t="shared" si="18"/>
        <v>17225.424999999999</v>
      </c>
      <c r="K55" s="56">
        <f t="shared" si="18"/>
        <v>16599.8</v>
      </c>
      <c r="L55" s="56">
        <f t="shared" si="18"/>
        <v>15974.175000000001</v>
      </c>
      <c r="M55" s="56">
        <f t="shared" si="18"/>
        <v>15348.550000000001</v>
      </c>
      <c r="N55" s="56">
        <f t="shared" si="18"/>
        <v>14722.925000000001</v>
      </c>
      <c r="O55" s="56">
        <f t="shared" si="18"/>
        <v>14122.261500000001</v>
      </c>
      <c r="P55" s="56">
        <f t="shared" si="18"/>
        <v>13496.636500000001</v>
      </c>
      <c r="Q55" s="56">
        <f t="shared" si="18"/>
        <v>12871.011500000001</v>
      </c>
      <c r="R55" s="56">
        <f t="shared" si="18"/>
        <v>12245.386500000001</v>
      </c>
      <c r="S55" s="56">
        <f t="shared" si="18"/>
        <v>11619.761500000001</v>
      </c>
      <c r="T55" s="56">
        <f t="shared" si="18"/>
        <v>10994.136500000001</v>
      </c>
      <c r="U55" s="56">
        <f t="shared" si="18"/>
        <v>10368.511500000001</v>
      </c>
      <c r="V55" s="56">
        <f t="shared" si="18"/>
        <v>9742.8865000000005</v>
      </c>
      <c r="W55" s="56">
        <f t="shared" si="18"/>
        <v>9117.2615000000005</v>
      </c>
      <c r="X55" s="56">
        <f t="shared" si="18"/>
        <v>8491.6365000000005</v>
      </c>
      <c r="Y55" s="56">
        <f t="shared" si="18"/>
        <v>7866.0115000000005</v>
      </c>
      <c r="Z55" s="56">
        <f t="shared" si="18"/>
        <v>7240.3865000000005</v>
      </c>
    </row>
    <row r="56" spans="2:26">
      <c r="B56" s="59" t="s">
        <v>12</v>
      </c>
      <c r="C56" s="44">
        <f>SUM(C55:N55)</f>
        <v>224666.34999999995</v>
      </c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2:26">
      <c r="B57" s="59" t="s">
        <v>117</v>
      </c>
      <c r="C57" s="44">
        <f>SUM(O55:Z55)</f>
        <v>128175.88799999998</v>
      </c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2:26">
      <c r="B58" s="59" t="s">
        <v>116</v>
      </c>
      <c r="C58" s="70">
        <f>SUM(C56:C57)</f>
        <v>352842.2379999999</v>
      </c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2:26"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spans="2:26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spans="2:26">
      <c r="B61" s="55" t="s">
        <v>59</v>
      </c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</row>
    <row r="62" spans="2:26"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2:26" ht="15" thickBot="1">
      <c r="B63" s="44"/>
      <c r="C63" s="76">
        <v>1</v>
      </c>
      <c r="D63" s="76">
        <f>C63+1</f>
        <v>2</v>
      </c>
      <c r="E63" s="76">
        <f t="shared" ref="E63:Z63" si="19">D63+1</f>
        <v>3</v>
      </c>
      <c r="F63" s="76">
        <f t="shared" si="19"/>
        <v>4</v>
      </c>
      <c r="G63" s="76">
        <f t="shared" si="19"/>
        <v>5</v>
      </c>
      <c r="H63" s="76">
        <f t="shared" si="19"/>
        <v>6</v>
      </c>
      <c r="I63" s="76">
        <f t="shared" si="19"/>
        <v>7</v>
      </c>
      <c r="J63" s="76">
        <f t="shared" si="19"/>
        <v>8</v>
      </c>
      <c r="K63" s="76">
        <f t="shared" si="19"/>
        <v>9</v>
      </c>
      <c r="L63" s="76">
        <f t="shared" si="19"/>
        <v>10</v>
      </c>
      <c r="M63" s="76">
        <f t="shared" si="19"/>
        <v>11</v>
      </c>
      <c r="N63" s="76">
        <f t="shared" si="19"/>
        <v>12</v>
      </c>
      <c r="O63" s="76">
        <f t="shared" si="19"/>
        <v>13</v>
      </c>
      <c r="P63" s="76">
        <f t="shared" si="19"/>
        <v>14</v>
      </c>
      <c r="Q63" s="76">
        <f t="shared" si="19"/>
        <v>15</v>
      </c>
      <c r="R63" s="76">
        <f t="shared" si="19"/>
        <v>16</v>
      </c>
      <c r="S63" s="76">
        <f t="shared" si="19"/>
        <v>17</v>
      </c>
      <c r="T63" s="76">
        <f t="shared" si="19"/>
        <v>18</v>
      </c>
      <c r="U63" s="76">
        <f t="shared" si="19"/>
        <v>19</v>
      </c>
      <c r="V63" s="76">
        <f t="shared" si="19"/>
        <v>20</v>
      </c>
      <c r="W63" s="76">
        <f t="shared" si="19"/>
        <v>21</v>
      </c>
      <c r="X63" s="76">
        <f t="shared" si="19"/>
        <v>22</v>
      </c>
      <c r="Y63" s="76">
        <f t="shared" si="19"/>
        <v>23</v>
      </c>
      <c r="Z63" s="76">
        <f t="shared" si="19"/>
        <v>24</v>
      </c>
    </row>
    <row r="64" spans="2:26">
      <c r="B64" s="57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2:26">
      <c r="B65" s="58" t="s">
        <v>14</v>
      </c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2:26">
      <c r="B66" s="58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2:26">
      <c r="B67" s="59" t="s">
        <v>15</v>
      </c>
      <c r="C67" s="44">
        <f>Hardwarekosten_total</f>
        <v>115500</v>
      </c>
      <c r="D67" s="44">
        <v>0</v>
      </c>
      <c r="E67" s="44">
        <f t="shared" ref="E67:E69" si="20">D67</f>
        <v>0</v>
      </c>
      <c r="F67" s="44">
        <f t="shared" ref="F67:Z67" si="21">E67</f>
        <v>0</v>
      </c>
      <c r="G67" s="44">
        <f t="shared" si="21"/>
        <v>0</v>
      </c>
      <c r="H67" s="44">
        <f t="shared" si="21"/>
        <v>0</v>
      </c>
      <c r="I67" s="44">
        <f t="shared" si="21"/>
        <v>0</v>
      </c>
      <c r="J67" s="44">
        <f t="shared" si="21"/>
        <v>0</v>
      </c>
      <c r="K67" s="44">
        <f t="shared" si="21"/>
        <v>0</v>
      </c>
      <c r="L67" s="44">
        <f t="shared" si="21"/>
        <v>0</v>
      </c>
      <c r="M67" s="44">
        <f t="shared" si="21"/>
        <v>0</v>
      </c>
      <c r="N67" s="44">
        <f t="shared" si="21"/>
        <v>0</v>
      </c>
      <c r="O67" s="44">
        <f t="shared" si="21"/>
        <v>0</v>
      </c>
      <c r="P67" s="44">
        <f t="shared" si="21"/>
        <v>0</v>
      </c>
      <c r="Q67" s="44">
        <f t="shared" si="21"/>
        <v>0</v>
      </c>
      <c r="R67" s="44">
        <f t="shared" si="21"/>
        <v>0</v>
      </c>
      <c r="S67" s="44">
        <f t="shared" si="21"/>
        <v>0</v>
      </c>
      <c r="T67" s="44">
        <f t="shared" si="21"/>
        <v>0</v>
      </c>
      <c r="U67" s="44">
        <f t="shared" si="21"/>
        <v>0</v>
      </c>
      <c r="V67" s="44">
        <f t="shared" si="21"/>
        <v>0</v>
      </c>
      <c r="W67" s="44">
        <f t="shared" si="21"/>
        <v>0</v>
      </c>
      <c r="X67" s="44">
        <f t="shared" si="21"/>
        <v>0</v>
      </c>
      <c r="Y67" s="44">
        <f t="shared" si="21"/>
        <v>0</v>
      </c>
      <c r="Z67" s="44">
        <f t="shared" si="21"/>
        <v>0</v>
      </c>
    </row>
    <row r="68" spans="2:26">
      <c r="B68" s="59" t="s">
        <v>16</v>
      </c>
      <c r="C68" s="44">
        <f>Umstellungskosten_Software_pro_Zerspanungsapparat*Anzahl_Zerspanungsapparate</f>
        <v>6600</v>
      </c>
      <c r="D68" s="44">
        <v>0</v>
      </c>
      <c r="E68" s="44">
        <f t="shared" si="20"/>
        <v>0</v>
      </c>
      <c r="F68" s="44">
        <f t="shared" ref="F68:Z68" si="22">E68</f>
        <v>0</v>
      </c>
      <c r="G68" s="44">
        <f t="shared" si="22"/>
        <v>0</v>
      </c>
      <c r="H68" s="44">
        <f t="shared" si="22"/>
        <v>0</v>
      </c>
      <c r="I68" s="44">
        <f t="shared" si="22"/>
        <v>0</v>
      </c>
      <c r="J68" s="44">
        <f t="shared" si="22"/>
        <v>0</v>
      </c>
      <c r="K68" s="44">
        <f t="shared" si="22"/>
        <v>0</v>
      </c>
      <c r="L68" s="44">
        <f t="shared" si="22"/>
        <v>0</v>
      </c>
      <c r="M68" s="44">
        <f t="shared" si="22"/>
        <v>0</v>
      </c>
      <c r="N68" s="44">
        <f t="shared" si="22"/>
        <v>0</v>
      </c>
      <c r="O68" s="44">
        <f t="shared" si="22"/>
        <v>0</v>
      </c>
      <c r="P68" s="44">
        <f t="shared" si="22"/>
        <v>0</v>
      </c>
      <c r="Q68" s="44">
        <f t="shared" si="22"/>
        <v>0</v>
      </c>
      <c r="R68" s="44">
        <f t="shared" si="22"/>
        <v>0</v>
      </c>
      <c r="S68" s="44">
        <f t="shared" si="22"/>
        <v>0</v>
      </c>
      <c r="T68" s="44">
        <f t="shared" si="22"/>
        <v>0</v>
      </c>
      <c r="U68" s="44">
        <f t="shared" si="22"/>
        <v>0</v>
      </c>
      <c r="V68" s="44">
        <f t="shared" si="22"/>
        <v>0</v>
      </c>
      <c r="W68" s="44">
        <f t="shared" si="22"/>
        <v>0</v>
      </c>
      <c r="X68" s="44">
        <f t="shared" si="22"/>
        <v>0</v>
      </c>
      <c r="Y68" s="44">
        <f t="shared" si="22"/>
        <v>0</v>
      </c>
      <c r="Z68" s="44">
        <f t="shared" si="22"/>
        <v>0</v>
      </c>
    </row>
    <row r="69" spans="2:26">
      <c r="B69" s="59" t="s">
        <v>17</v>
      </c>
      <c r="C69" s="44">
        <f>Implementierungskosten_Software_total</f>
        <v>100</v>
      </c>
      <c r="D69" s="44">
        <v>0</v>
      </c>
      <c r="E69" s="44">
        <f t="shared" si="20"/>
        <v>0</v>
      </c>
      <c r="F69" s="44">
        <f t="shared" ref="F69:Z69" si="23">E69</f>
        <v>0</v>
      </c>
      <c r="G69" s="44">
        <f t="shared" si="23"/>
        <v>0</v>
      </c>
      <c r="H69" s="44">
        <f t="shared" si="23"/>
        <v>0</v>
      </c>
      <c r="I69" s="44">
        <f t="shared" si="23"/>
        <v>0</v>
      </c>
      <c r="J69" s="44">
        <f t="shared" si="23"/>
        <v>0</v>
      </c>
      <c r="K69" s="44">
        <f t="shared" si="23"/>
        <v>0</v>
      </c>
      <c r="L69" s="44">
        <f t="shared" si="23"/>
        <v>0</v>
      </c>
      <c r="M69" s="44">
        <f t="shared" si="23"/>
        <v>0</v>
      </c>
      <c r="N69" s="44">
        <f t="shared" si="23"/>
        <v>0</v>
      </c>
      <c r="O69" s="44">
        <f t="shared" si="23"/>
        <v>0</v>
      </c>
      <c r="P69" s="44">
        <f t="shared" si="23"/>
        <v>0</v>
      </c>
      <c r="Q69" s="44">
        <f t="shared" si="23"/>
        <v>0</v>
      </c>
      <c r="R69" s="44">
        <f t="shared" si="23"/>
        <v>0</v>
      </c>
      <c r="S69" s="44">
        <f t="shared" si="23"/>
        <v>0</v>
      </c>
      <c r="T69" s="44">
        <f t="shared" si="23"/>
        <v>0</v>
      </c>
      <c r="U69" s="44">
        <f t="shared" si="23"/>
        <v>0</v>
      </c>
      <c r="V69" s="44">
        <f t="shared" si="23"/>
        <v>0</v>
      </c>
      <c r="W69" s="44">
        <f t="shared" si="23"/>
        <v>0</v>
      </c>
      <c r="X69" s="44">
        <f t="shared" si="23"/>
        <v>0</v>
      </c>
      <c r="Y69" s="44">
        <f t="shared" si="23"/>
        <v>0</v>
      </c>
      <c r="Z69" s="44">
        <f t="shared" si="23"/>
        <v>0</v>
      </c>
    </row>
    <row r="70" spans="2:26" ht="16.2" customHeight="1">
      <c r="B70" s="59" t="s">
        <v>19</v>
      </c>
      <c r="C70" s="44">
        <f>Lizenzgebühr_an_Frauenhofer*C71</f>
        <v>6951.0000000000009</v>
      </c>
      <c r="D70" s="44">
        <v>0</v>
      </c>
      <c r="E70" s="44">
        <f t="shared" ref="E70:Z70" si="24">D70</f>
        <v>0</v>
      </c>
      <c r="F70" s="44">
        <f t="shared" si="24"/>
        <v>0</v>
      </c>
      <c r="G70" s="44">
        <f t="shared" si="24"/>
        <v>0</v>
      </c>
      <c r="H70" s="44">
        <f t="shared" si="24"/>
        <v>0</v>
      </c>
      <c r="I70" s="44">
        <f t="shared" si="24"/>
        <v>0</v>
      </c>
      <c r="J70" s="44">
        <f t="shared" si="24"/>
        <v>0</v>
      </c>
      <c r="K70" s="44">
        <f t="shared" si="24"/>
        <v>0</v>
      </c>
      <c r="L70" s="44">
        <f t="shared" si="24"/>
        <v>0</v>
      </c>
      <c r="M70" s="44">
        <f t="shared" si="24"/>
        <v>0</v>
      </c>
      <c r="N70" s="44">
        <f t="shared" si="24"/>
        <v>0</v>
      </c>
      <c r="O70" s="44">
        <f t="shared" si="24"/>
        <v>0</v>
      </c>
      <c r="P70" s="44">
        <f t="shared" si="24"/>
        <v>0</v>
      </c>
      <c r="Q70" s="44">
        <f t="shared" si="24"/>
        <v>0</v>
      </c>
      <c r="R70" s="44">
        <f t="shared" si="24"/>
        <v>0</v>
      </c>
      <c r="S70" s="44">
        <f t="shared" si="24"/>
        <v>0</v>
      </c>
      <c r="T70" s="44">
        <f t="shared" si="24"/>
        <v>0</v>
      </c>
      <c r="U70" s="44">
        <f t="shared" si="24"/>
        <v>0</v>
      </c>
      <c r="V70" s="44">
        <f t="shared" si="24"/>
        <v>0</v>
      </c>
      <c r="W70" s="44">
        <f t="shared" si="24"/>
        <v>0</v>
      </c>
      <c r="X70" s="44">
        <f t="shared" si="24"/>
        <v>0</v>
      </c>
      <c r="Y70" s="44">
        <f t="shared" si="24"/>
        <v>0</v>
      </c>
      <c r="Z70" s="44">
        <f t="shared" si="24"/>
        <v>0</v>
      </c>
    </row>
    <row r="71" spans="2:26">
      <c r="B71" s="59" t="s">
        <v>24</v>
      </c>
      <c r="C71" s="44">
        <f>(Grundpreis_Abomodell+Preisaufschlag_pro_Zerspanungsapparat_Abomodell*Anzahl_Zerspanungsapparate)*Monate_für_Bestimmung_Einmalzahlung</f>
        <v>99300</v>
      </c>
      <c r="D71" s="44">
        <v>0</v>
      </c>
      <c r="E71" s="44">
        <f>D71</f>
        <v>0</v>
      </c>
      <c r="F71" s="44">
        <f t="shared" ref="F71:Z71" si="25">E71</f>
        <v>0</v>
      </c>
      <c r="G71" s="44">
        <f t="shared" si="25"/>
        <v>0</v>
      </c>
      <c r="H71" s="44">
        <f t="shared" si="25"/>
        <v>0</v>
      </c>
      <c r="I71" s="44">
        <f t="shared" si="25"/>
        <v>0</v>
      </c>
      <c r="J71" s="44">
        <f t="shared" si="25"/>
        <v>0</v>
      </c>
      <c r="K71" s="44">
        <f t="shared" si="25"/>
        <v>0</v>
      </c>
      <c r="L71" s="44">
        <f t="shared" si="25"/>
        <v>0</v>
      </c>
      <c r="M71" s="44">
        <f t="shared" si="25"/>
        <v>0</v>
      </c>
      <c r="N71" s="44">
        <f t="shared" si="25"/>
        <v>0</v>
      </c>
      <c r="O71" s="44">
        <f t="shared" si="25"/>
        <v>0</v>
      </c>
      <c r="P71" s="44">
        <f t="shared" si="25"/>
        <v>0</v>
      </c>
      <c r="Q71" s="44">
        <f t="shared" si="25"/>
        <v>0</v>
      </c>
      <c r="R71" s="44">
        <f t="shared" si="25"/>
        <v>0</v>
      </c>
      <c r="S71" s="44">
        <f t="shared" si="25"/>
        <v>0</v>
      </c>
      <c r="T71" s="44">
        <f t="shared" si="25"/>
        <v>0</v>
      </c>
      <c r="U71" s="44">
        <f t="shared" si="25"/>
        <v>0</v>
      </c>
      <c r="V71" s="44">
        <f t="shared" si="25"/>
        <v>0</v>
      </c>
      <c r="W71" s="44">
        <f t="shared" si="25"/>
        <v>0</v>
      </c>
      <c r="X71" s="44">
        <f t="shared" si="25"/>
        <v>0</v>
      </c>
      <c r="Y71" s="44">
        <f t="shared" si="25"/>
        <v>0</v>
      </c>
      <c r="Z71" s="44">
        <f t="shared" si="25"/>
        <v>0</v>
      </c>
    </row>
    <row r="72" spans="2:26">
      <c r="B72" s="59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2:26">
      <c r="B73" s="58" t="s">
        <v>61</v>
      </c>
      <c r="C73" s="70">
        <f>SUM(C67:C71)</f>
        <v>228451</v>
      </c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2:26">
      <c r="B74" s="57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2:26">
      <c r="B75" s="58" t="s">
        <v>18</v>
      </c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2:26">
      <c r="B76" s="58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2:26">
      <c r="B77" s="60" t="s">
        <v>81</v>
      </c>
      <c r="C77" s="44">
        <f t="shared" ref="C77:N77" si="26">Materialaufwand_für_Zerspanungswerkzeuge_pro_Monat*(1-Verschleiss_vor_Entsorgung_mit_TD)</f>
        <v>6.4499999999999984</v>
      </c>
      <c r="D77" s="44">
        <f t="shared" si="26"/>
        <v>6.4499999999999984</v>
      </c>
      <c r="E77" s="44">
        <f t="shared" si="26"/>
        <v>6.4499999999999984</v>
      </c>
      <c r="F77" s="44">
        <f t="shared" si="26"/>
        <v>6.4499999999999984</v>
      </c>
      <c r="G77" s="44">
        <f t="shared" si="26"/>
        <v>6.4499999999999984</v>
      </c>
      <c r="H77" s="44">
        <f t="shared" si="26"/>
        <v>6.4499999999999984</v>
      </c>
      <c r="I77" s="44">
        <f t="shared" si="26"/>
        <v>6.4499999999999984</v>
      </c>
      <c r="J77" s="44">
        <f t="shared" si="26"/>
        <v>6.4499999999999984</v>
      </c>
      <c r="K77" s="44">
        <f t="shared" si="26"/>
        <v>6.4499999999999984</v>
      </c>
      <c r="L77" s="44">
        <f t="shared" si="26"/>
        <v>6.4499999999999984</v>
      </c>
      <c r="M77" s="44">
        <f t="shared" si="26"/>
        <v>6.4499999999999984</v>
      </c>
      <c r="N77" s="44">
        <f t="shared" si="26"/>
        <v>6.4499999999999984</v>
      </c>
      <c r="O77" s="44">
        <f t="shared" ref="O77:Z77" si="27">Materialaufwand_für_Zerspanungswerkzeuge_pro_Monat*(1-Verschleiss_vor_Entsorgung_mit_TD)*(1+Preissteigerung_Materialaufwand_für_Zerspanungswerkzeuge)</f>
        <v>31.411499999999993</v>
      </c>
      <c r="P77" s="44">
        <f t="shared" si="27"/>
        <v>31.411499999999993</v>
      </c>
      <c r="Q77" s="44">
        <f t="shared" si="27"/>
        <v>31.411499999999993</v>
      </c>
      <c r="R77" s="44">
        <f t="shared" si="27"/>
        <v>31.411499999999993</v>
      </c>
      <c r="S77" s="44">
        <f t="shared" si="27"/>
        <v>31.411499999999993</v>
      </c>
      <c r="T77" s="44">
        <f t="shared" si="27"/>
        <v>31.411499999999993</v>
      </c>
      <c r="U77" s="44">
        <f t="shared" si="27"/>
        <v>31.411499999999993</v>
      </c>
      <c r="V77" s="44">
        <f t="shared" si="27"/>
        <v>31.411499999999993</v>
      </c>
      <c r="W77" s="44">
        <f t="shared" si="27"/>
        <v>31.411499999999993</v>
      </c>
      <c r="X77" s="44">
        <f t="shared" si="27"/>
        <v>31.411499999999993</v>
      </c>
      <c r="Y77" s="44">
        <f t="shared" si="27"/>
        <v>31.411499999999993</v>
      </c>
      <c r="Z77" s="44">
        <f t="shared" si="27"/>
        <v>31.411499999999993</v>
      </c>
    </row>
    <row r="78" spans="2:26">
      <c r="B78" s="59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2:26">
      <c r="B79" s="61" t="s">
        <v>62</v>
      </c>
      <c r="C79" s="70">
        <f>C77</f>
        <v>6.4499999999999984</v>
      </c>
      <c r="D79" s="70">
        <f t="shared" ref="D79:Z79" si="28">D77</f>
        <v>6.4499999999999984</v>
      </c>
      <c r="E79" s="70">
        <f t="shared" si="28"/>
        <v>6.4499999999999984</v>
      </c>
      <c r="F79" s="70">
        <f t="shared" si="28"/>
        <v>6.4499999999999984</v>
      </c>
      <c r="G79" s="70">
        <f t="shared" si="28"/>
        <v>6.4499999999999984</v>
      </c>
      <c r="H79" s="70">
        <f t="shared" si="28"/>
        <v>6.4499999999999984</v>
      </c>
      <c r="I79" s="70">
        <f t="shared" si="28"/>
        <v>6.4499999999999984</v>
      </c>
      <c r="J79" s="70">
        <f t="shared" si="28"/>
        <v>6.4499999999999984</v>
      </c>
      <c r="K79" s="70">
        <f t="shared" si="28"/>
        <v>6.4499999999999984</v>
      </c>
      <c r="L79" s="70">
        <f t="shared" si="28"/>
        <v>6.4499999999999984</v>
      </c>
      <c r="M79" s="70">
        <f t="shared" si="28"/>
        <v>6.4499999999999984</v>
      </c>
      <c r="N79" s="70">
        <f t="shared" si="28"/>
        <v>6.4499999999999984</v>
      </c>
      <c r="O79" s="70">
        <f t="shared" si="28"/>
        <v>31.411499999999993</v>
      </c>
      <c r="P79" s="70">
        <f t="shared" si="28"/>
        <v>31.411499999999993</v>
      </c>
      <c r="Q79" s="70">
        <f t="shared" si="28"/>
        <v>31.411499999999993</v>
      </c>
      <c r="R79" s="70">
        <f t="shared" si="28"/>
        <v>31.411499999999993</v>
      </c>
      <c r="S79" s="70">
        <f t="shared" si="28"/>
        <v>31.411499999999993</v>
      </c>
      <c r="T79" s="70">
        <f t="shared" si="28"/>
        <v>31.411499999999993</v>
      </c>
      <c r="U79" s="70">
        <f t="shared" si="28"/>
        <v>31.411499999999993</v>
      </c>
      <c r="V79" s="70">
        <f t="shared" si="28"/>
        <v>31.411499999999993</v>
      </c>
      <c r="W79" s="70">
        <f t="shared" si="28"/>
        <v>31.411499999999993</v>
      </c>
      <c r="X79" s="70">
        <f t="shared" si="28"/>
        <v>31.411499999999993</v>
      </c>
      <c r="Y79" s="70">
        <f t="shared" si="28"/>
        <v>31.411499999999993</v>
      </c>
      <c r="Z79" s="70">
        <f t="shared" si="28"/>
        <v>31.411499999999993</v>
      </c>
    </row>
    <row r="80" spans="2:26">
      <c r="B80" s="59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spans="2:26">
      <c r="B81" s="61" t="s">
        <v>63</v>
      </c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spans="2:26">
      <c r="B82" s="59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spans="2:26" ht="15" thickBot="1">
      <c r="B83" s="59" t="s">
        <v>11</v>
      </c>
      <c r="C83" s="56">
        <f>C73+C79</f>
        <v>228457.45</v>
      </c>
      <c r="D83" s="56">
        <f>D79</f>
        <v>6.4499999999999984</v>
      </c>
      <c r="E83" s="56">
        <f t="shared" ref="E83:Z83" si="29">E79</f>
        <v>6.4499999999999984</v>
      </c>
      <c r="F83" s="56">
        <f t="shared" si="29"/>
        <v>6.4499999999999984</v>
      </c>
      <c r="G83" s="56">
        <f t="shared" si="29"/>
        <v>6.4499999999999984</v>
      </c>
      <c r="H83" s="56">
        <f t="shared" si="29"/>
        <v>6.4499999999999984</v>
      </c>
      <c r="I83" s="56">
        <f t="shared" si="29"/>
        <v>6.4499999999999984</v>
      </c>
      <c r="J83" s="56">
        <f t="shared" si="29"/>
        <v>6.4499999999999984</v>
      </c>
      <c r="K83" s="56">
        <f t="shared" si="29"/>
        <v>6.4499999999999984</v>
      </c>
      <c r="L83" s="56">
        <f t="shared" si="29"/>
        <v>6.4499999999999984</v>
      </c>
      <c r="M83" s="56">
        <f t="shared" si="29"/>
        <v>6.4499999999999984</v>
      </c>
      <c r="N83" s="56">
        <f t="shared" si="29"/>
        <v>6.4499999999999984</v>
      </c>
      <c r="O83" s="56">
        <f t="shared" si="29"/>
        <v>31.411499999999993</v>
      </c>
      <c r="P83" s="56">
        <f t="shared" si="29"/>
        <v>31.411499999999993</v>
      </c>
      <c r="Q83" s="56">
        <f t="shared" si="29"/>
        <v>31.411499999999993</v>
      </c>
      <c r="R83" s="56">
        <f t="shared" si="29"/>
        <v>31.411499999999993</v>
      </c>
      <c r="S83" s="56">
        <f t="shared" si="29"/>
        <v>31.411499999999993</v>
      </c>
      <c r="T83" s="56">
        <f t="shared" si="29"/>
        <v>31.411499999999993</v>
      </c>
      <c r="U83" s="56">
        <f t="shared" si="29"/>
        <v>31.411499999999993</v>
      </c>
      <c r="V83" s="56">
        <f t="shared" si="29"/>
        <v>31.411499999999993</v>
      </c>
      <c r="W83" s="56">
        <f t="shared" si="29"/>
        <v>31.411499999999993</v>
      </c>
      <c r="X83" s="56">
        <f t="shared" si="29"/>
        <v>31.411499999999993</v>
      </c>
      <c r="Y83" s="56">
        <f t="shared" si="29"/>
        <v>31.411499999999993</v>
      </c>
      <c r="Z83" s="56">
        <f t="shared" si="29"/>
        <v>31.411499999999993</v>
      </c>
    </row>
    <row r="84" spans="2:26">
      <c r="B84" s="59" t="s">
        <v>12</v>
      </c>
      <c r="C84" s="44">
        <f>SUM(C83:N83)</f>
        <v>228528.40000000014</v>
      </c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spans="2:26">
      <c r="B85" s="59" t="s">
        <v>117</v>
      </c>
      <c r="C85" s="44">
        <f>SUM(O83:Z83)</f>
        <v>376.93799999999993</v>
      </c>
      <c r="D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spans="2:26">
      <c r="B86" s="59" t="s">
        <v>116</v>
      </c>
      <c r="C86" s="70">
        <f>SUM(C84:C85)</f>
        <v>228905.33800000013</v>
      </c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spans="2:26">
      <c r="B87" s="68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spans="2:26">
      <c r="B88" s="68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spans="2:26">
      <c r="B89" s="71" t="s">
        <v>89</v>
      </c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spans="2:26">
      <c r="B90" s="57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spans="2:26" ht="15" thickBot="1">
      <c r="B91" s="57"/>
      <c r="C91" s="76">
        <v>1</v>
      </c>
      <c r="D91" s="76">
        <f>C91+1</f>
        <v>2</v>
      </c>
      <c r="E91" s="76">
        <f t="shared" ref="E91:Z91" si="30">D91+1</f>
        <v>3</v>
      </c>
      <c r="F91" s="76">
        <f t="shared" si="30"/>
        <v>4</v>
      </c>
      <c r="G91" s="76">
        <f t="shared" si="30"/>
        <v>5</v>
      </c>
      <c r="H91" s="76">
        <f t="shared" si="30"/>
        <v>6</v>
      </c>
      <c r="I91" s="76">
        <f t="shared" si="30"/>
        <v>7</v>
      </c>
      <c r="J91" s="76">
        <f t="shared" si="30"/>
        <v>8</v>
      </c>
      <c r="K91" s="76">
        <f t="shared" si="30"/>
        <v>9</v>
      </c>
      <c r="L91" s="76">
        <f t="shared" si="30"/>
        <v>10</v>
      </c>
      <c r="M91" s="76">
        <f t="shared" si="30"/>
        <v>11</v>
      </c>
      <c r="N91" s="76">
        <f t="shared" si="30"/>
        <v>12</v>
      </c>
      <c r="O91" s="76">
        <f t="shared" si="30"/>
        <v>13</v>
      </c>
      <c r="P91" s="76">
        <f t="shared" si="30"/>
        <v>14</v>
      </c>
      <c r="Q91" s="76">
        <f t="shared" si="30"/>
        <v>15</v>
      </c>
      <c r="R91" s="76">
        <f t="shared" si="30"/>
        <v>16</v>
      </c>
      <c r="S91" s="76">
        <f t="shared" si="30"/>
        <v>17</v>
      </c>
      <c r="T91" s="76">
        <f t="shared" si="30"/>
        <v>18</v>
      </c>
      <c r="U91" s="76">
        <f t="shared" si="30"/>
        <v>19</v>
      </c>
      <c r="V91" s="76">
        <f t="shared" si="30"/>
        <v>20</v>
      </c>
      <c r="W91" s="76">
        <f t="shared" si="30"/>
        <v>21</v>
      </c>
      <c r="X91" s="76">
        <f t="shared" si="30"/>
        <v>22</v>
      </c>
      <c r="Y91" s="76">
        <f t="shared" si="30"/>
        <v>23</v>
      </c>
      <c r="Z91" s="76">
        <f t="shared" si="30"/>
        <v>24</v>
      </c>
    </row>
    <row r="92" spans="2:26">
      <c r="B92" s="57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2:26">
      <c r="B93" s="58" t="s">
        <v>14</v>
      </c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2:26">
      <c r="B94" s="58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2:26">
      <c r="B95" s="59" t="s">
        <v>16</v>
      </c>
      <c r="C95" s="44">
        <f>Umstellungskosten_Software_pro_Zerspanungsapparat*Anzahl_Zerspanungsapparate</f>
        <v>6600</v>
      </c>
      <c r="D95" s="44">
        <v>0</v>
      </c>
      <c r="E95" s="44">
        <f>D95</f>
        <v>0</v>
      </c>
      <c r="F95" s="44">
        <f t="shared" ref="F95:Z95" si="31">E95</f>
        <v>0</v>
      </c>
      <c r="G95" s="44">
        <f t="shared" si="31"/>
        <v>0</v>
      </c>
      <c r="H95" s="44">
        <f t="shared" si="31"/>
        <v>0</v>
      </c>
      <c r="I95" s="44">
        <f t="shared" si="31"/>
        <v>0</v>
      </c>
      <c r="J95" s="44">
        <f t="shared" si="31"/>
        <v>0</v>
      </c>
      <c r="K95" s="44">
        <f t="shared" si="31"/>
        <v>0</v>
      </c>
      <c r="L95" s="44">
        <f t="shared" si="31"/>
        <v>0</v>
      </c>
      <c r="M95" s="44">
        <f t="shared" si="31"/>
        <v>0</v>
      </c>
      <c r="N95" s="44">
        <f t="shared" si="31"/>
        <v>0</v>
      </c>
      <c r="O95" s="44">
        <f t="shared" si="31"/>
        <v>0</v>
      </c>
      <c r="P95" s="44">
        <f t="shared" si="31"/>
        <v>0</v>
      </c>
      <c r="Q95" s="44">
        <f t="shared" si="31"/>
        <v>0</v>
      </c>
      <c r="R95" s="44">
        <f t="shared" si="31"/>
        <v>0</v>
      </c>
      <c r="S95" s="44">
        <f t="shared" si="31"/>
        <v>0</v>
      </c>
      <c r="T95" s="44">
        <f t="shared" si="31"/>
        <v>0</v>
      </c>
      <c r="U95" s="44">
        <f t="shared" si="31"/>
        <v>0</v>
      </c>
      <c r="V95" s="44">
        <f t="shared" si="31"/>
        <v>0</v>
      </c>
      <c r="W95" s="44">
        <f t="shared" si="31"/>
        <v>0</v>
      </c>
      <c r="X95" s="44">
        <f t="shared" si="31"/>
        <v>0</v>
      </c>
      <c r="Y95" s="44">
        <f t="shared" si="31"/>
        <v>0</v>
      </c>
      <c r="Z95" s="44">
        <f t="shared" si="31"/>
        <v>0</v>
      </c>
    </row>
    <row r="96" spans="2:26">
      <c r="B96" s="59" t="s">
        <v>17</v>
      </c>
      <c r="C96" s="44">
        <f>Implementierungskosten_Software_total</f>
        <v>100</v>
      </c>
      <c r="D96" s="44">
        <v>0</v>
      </c>
      <c r="E96" s="44">
        <v>0</v>
      </c>
      <c r="F96" s="44">
        <v>0</v>
      </c>
      <c r="G96" s="44">
        <v>0</v>
      </c>
      <c r="H96" s="44">
        <v>0</v>
      </c>
      <c r="I96" s="44">
        <v>0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44">
        <v>0</v>
      </c>
      <c r="S96" s="44">
        <v>0</v>
      </c>
      <c r="T96" s="44">
        <v>0</v>
      </c>
      <c r="U96" s="44">
        <v>0</v>
      </c>
      <c r="V96" s="44">
        <v>0</v>
      </c>
      <c r="W96" s="44">
        <v>0</v>
      </c>
      <c r="X96" s="44">
        <v>0</v>
      </c>
      <c r="Y96" s="44">
        <v>0</v>
      </c>
      <c r="Z96" s="44">
        <v>0</v>
      </c>
    </row>
    <row r="97" spans="2:26">
      <c r="B97" s="59" t="s">
        <v>19</v>
      </c>
      <c r="C97" s="44">
        <f>Lizenzgebühr_an_Frauenhofer*C98</f>
        <v>6951.0000000000009</v>
      </c>
      <c r="D97" s="44">
        <v>0</v>
      </c>
      <c r="E97" s="44">
        <f>D97</f>
        <v>0</v>
      </c>
      <c r="F97" s="44">
        <f t="shared" ref="F97:Z97" si="32">E97</f>
        <v>0</v>
      </c>
      <c r="G97" s="44">
        <f t="shared" si="32"/>
        <v>0</v>
      </c>
      <c r="H97" s="44">
        <f t="shared" si="32"/>
        <v>0</v>
      </c>
      <c r="I97" s="44">
        <f t="shared" si="32"/>
        <v>0</v>
      </c>
      <c r="J97" s="44">
        <f t="shared" si="32"/>
        <v>0</v>
      </c>
      <c r="K97" s="44">
        <f t="shared" si="32"/>
        <v>0</v>
      </c>
      <c r="L97" s="44">
        <f t="shared" si="32"/>
        <v>0</v>
      </c>
      <c r="M97" s="44">
        <f t="shared" si="32"/>
        <v>0</v>
      </c>
      <c r="N97" s="44">
        <f t="shared" si="32"/>
        <v>0</v>
      </c>
      <c r="O97" s="44">
        <f t="shared" si="32"/>
        <v>0</v>
      </c>
      <c r="P97" s="44">
        <f t="shared" si="32"/>
        <v>0</v>
      </c>
      <c r="Q97" s="44">
        <f t="shared" si="32"/>
        <v>0</v>
      </c>
      <c r="R97" s="44">
        <f t="shared" si="32"/>
        <v>0</v>
      </c>
      <c r="S97" s="44">
        <f t="shared" si="32"/>
        <v>0</v>
      </c>
      <c r="T97" s="44">
        <f t="shared" si="32"/>
        <v>0</v>
      </c>
      <c r="U97" s="44">
        <f t="shared" si="32"/>
        <v>0</v>
      </c>
      <c r="V97" s="44">
        <f t="shared" si="32"/>
        <v>0</v>
      </c>
      <c r="W97" s="44">
        <f t="shared" si="32"/>
        <v>0</v>
      </c>
      <c r="X97" s="44">
        <f t="shared" si="32"/>
        <v>0</v>
      </c>
      <c r="Y97" s="44">
        <f t="shared" si="32"/>
        <v>0</v>
      </c>
      <c r="Z97" s="44">
        <f t="shared" si="32"/>
        <v>0</v>
      </c>
    </row>
    <row r="98" spans="2:26">
      <c r="B98" s="59" t="s">
        <v>24</v>
      </c>
      <c r="C98" s="44">
        <f>(Grundpreis_Abomodell+Preisaufschlag_pro_Zerspanungsapparat_Abomodell*Anzahl_Zerspanungsapparate)*Monate_für_Bestimmung_Einmalzahlung</f>
        <v>99300</v>
      </c>
      <c r="D98" s="44">
        <v>0</v>
      </c>
      <c r="E98" s="44">
        <f>D98</f>
        <v>0</v>
      </c>
      <c r="F98" s="44">
        <f t="shared" ref="F98:Z98" si="33">E98</f>
        <v>0</v>
      </c>
      <c r="G98" s="44">
        <f t="shared" si="33"/>
        <v>0</v>
      </c>
      <c r="H98" s="44">
        <f t="shared" si="33"/>
        <v>0</v>
      </c>
      <c r="I98" s="44">
        <f t="shared" si="33"/>
        <v>0</v>
      </c>
      <c r="J98" s="44">
        <f t="shared" si="33"/>
        <v>0</v>
      </c>
      <c r="K98" s="44">
        <f t="shared" si="33"/>
        <v>0</v>
      </c>
      <c r="L98" s="44">
        <f t="shared" si="33"/>
        <v>0</v>
      </c>
      <c r="M98" s="44">
        <f t="shared" si="33"/>
        <v>0</v>
      </c>
      <c r="N98" s="44">
        <f t="shared" si="33"/>
        <v>0</v>
      </c>
      <c r="O98" s="44">
        <f t="shared" si="33"/>
        <v>0</v>
      </c>
      <c r="P98" s="44">
        <f t="shared" si="33"/>
        <v>0</v>
      </c>
      <c r="Q98" s="44">
        <f t="shared" si="33"/>
        <v>0</v>
      </c>
      <c r="R98" s="44">
        <f t="shared" si="33"/>
        <v>0</v>
      </c>
      <c r="S98" s="44">
        <f t="shared" si="33"/>
        <v>0</v>
      </c>
      <c r="T98" s="44">
        <f t="shared" si="33"/>
        <v>0</v>
      </c>
      <c r="U98" s="44">
        <f t="shared" si="33"/>
        <v>0</v>
      </c>
      <c r="V98" s="44">
        <f t="shared" si="33"/>
        <v>0</v>
      </c>
      <c r="W98" s="44">
        <f t="shared" si="33"/>
        <v>0</v>
      </c>
      <c r="X98" s="44">
        <f t="shared" si="33"/>
        <v>0</v>
      </c>
      <c r="Y98" s="44">
        <f t="shared" si="33"/>
        <v>0</v>
      </c>
      <c r="Z98" s="44">
        <f t="shared" si="33"/>
        <v>0</v>
      </c>
    </row>
    <row r="99" spans="2:26">
      <c r="B99" s="57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spans="2:26">
      <c r="B100" s="58" t="s">
        <v>58</v>
      </c>
      <c r="C100" s="70">
        <f>SUM(C95:C98)</f>
        <v>112951</v>
      </c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spans="2:26">
      <c r="B101" s="57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spans="2:26">
      <c r="B102" s="58" t="s">
        <v>18</v>
      </c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spans="2:26">
      <c r="B103" s="58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spans="2:26">
      <c r="B104" s="59" t="s">
        <v>109</v>
      </c>
      <c r="C104" s="44">
        <f>Leasingzins*Hardwarekosten_total</f>
        <v>15015</v>
      </c>
      <c r="D104" s="44">
        <f>Leasingzins*C106</f>
        <v>14389.375</v>
      </c>
      <c r="E104" s="44">
        <f>Leasingzins*D106</f>
        <v>13763.75</v>
      </c>
      <c r="F104" s="44">
        <f t="shared" ref="F104:Z104" si="34">Leasingzins*E106</f>
        <v>13138.125</v>
      </c>
      <c r="G104" s="44">
        <f t="shared" si="34"/>
        <v>12512.5</v>
      </c>
      <c r="H104" s="44">
        <f t="shared" si="34"/>
        <v>11886.875</v>
      </c>
      <c r="I104" s="44">
        <f t="shared" si="34"/>
        <v>11261.25</v>
      </c>
      <c r="J104" s="44">
        <f t="shared" si="34"/>
        <v>10635.625</v>
      </c>
      <c r="K104" s="44">
        <f t="shared" si="34"/>
        <v>10010</v>
      </c>
      <c r="L104" s="44">
        <f t="shared" si="34"/>
        <v>9384.375</v>
      </c>
      <c r="M104" s="44">
        <f t="shared" si="34"/>
        <v>8758.75</v>
      </c>
      <c r="N104" s="44">
        <f t="shared" si="34"/>
        <v>8133.125</v>
      </c>
      <c r="O104" s="44">
        <f t="shared" si="34"/>
        <v>7507.5</v>
      </c>
      <c r="P104" s="44">
        <f t="shared" si="34"/>
        <v>6881.875</v>
      </c>
      <c r="Q104" s="44">
        <f t="shared" si="34"/>
        <v>6256.25</v>
      </c>
      <c r="R104" s="44">
        <f t="shared" si="34"/>
        <v>5630.625</v>
      </c>
      <c r="S104" s="44">
        <f t="shared" si="34"/>
        <v>5005</v>
      </c>
      <c r="T104" s="44">
        <f t="shared" si="34"/>
        <v>4379.375</v>
      </c>
      <c r="U104" s="44">
        <f t="shared" si="34"/>
        <v>3753.75</v>
      </c>
      <c r="V104" s="44">
        <f t="shared" si="34"/>
        <v>3128.125</v>
      </c>
      <c r="W104" s="44">
        <f t="shared" si="34"/>
        <v>2502.5</v>
      </c>
      <c r="X104" s="44">
        <f t="shared" si="34"/>
        <v>1876.875</v>
      </c>
      <c r="Y104" s="44">
        <f t="shared" si="34"/>
        <v>1251.25</v>
      </c>
      <c r="Z104" s="44">
        <f t="shared" si="34"/>
        <v>625.625</v>
      </c>
    </row>
    <row r="105" spans="2:26">
      <c r="B105" s="60" t="s">
        <v>21</v>
      </c>
      <c r="C105" s="44">
        <f t="shared" ref="C105:Z105" si="35">Hardwarekosten_total/Leasinglaufzeit_in_Monaten</f>
        <v>4812.5</v>
      </c>
      <c r="D105" s="44">
        <f t="shared" si="35"/>
        <v>4812.5</v>
      </c>
      <c r="E105" s="44">
        <f t="shared" si="35"/>
        <v>4812.5</v>
      </c>
      <c r="F105" s="44">
        <f t="shared" si="35"/>
        <v>4812.5</v>
      </c>
      <c r="G105" s="44">
        <f t="shared" si="35"/>
        <v>4812.5</v>
      </c>
      <c r="H105" s="44">
        <f t="shared" si="35"/>
        <v>4812.5</v>
      </c>
      <c r="I105" s="44">
        <f t="shared" si="35"/>
        <v>4812.5</v>
      </c>
      <c r="J105" s="44">
        <f t="shared" si="35"/>
        <v>4812.5</v>
      </c>
      <c r="K105" s="44">
        <f t="shared" si="35"/>
        <v>4812.5</v>
      </c>
      <c r="L105" s="44">
        <f t="shared" si="35"/>
        <v>4812.5</v>
      </c>
      <c r="M105" s="44">
        <f t="shared" si="35"/>
        <v>4812.5</v>
      </c>
      <c r="N105" s="44">
        <f t="shared" si="35"/>
        <v>4812.5</v>
      </c>
      <c r="O105" s="44">
        <f t="shared" si="35"/>
        <v>4812.5</v>
      </c>
      <c r="P105" s="44">
        <f t="shared" si="35"/>
        <v>4812.5</v>
      </c>
      <c r="Q105" s="44">
        <f t="shared" si="35"/>
        <v>4812.5</v>
      </c>
      <c r="R105" s="44">
        <f t="shared" si="35"/>
        <v>4812.5</v>
      </c>
      <c r="S105" s="44">
        <f t="shared" si="35"/>
        <v>4812.5</v>
      </c>
      <c r="T105" s="44">
        <f t="shared" si="35"/>
        <v>4812.5</v>
      </c>
      <c r="U105" s="44">
        <f t="shared" si="35"/>
        <v>4812.5</v>
      </c>
      <c r="V105" s="44">
        <f t="shared" si="35"/>
        <v>4812.5</v>
      </c>
      <c r="W105" s="44">
        <f t="shared" si="35"/>
        <v>4812.5</v>
      </c>
      <c r="X105" s="44">
        <f t="shared" si="35"/>
        <v>4812.5</v>
      </c>
      <c r="Y105" s="44">
        <f t="shared" si="35"/>
        <v>4812.5</v>
      </c>
      <c r="Z105" s="44">
        <f t="shared" si="35"/>
        <v>4812.5</v>
      </c>
    </row>
    <row r="106" spans="2:26">
      <c r="B106" s="67" t="s">
        <v>22</v>
      </c>
      <c r="C106" s="69">
        <f>Hardwarekosten_total-Abzahlungsbetrag_Leasingdarlehen</f>
        <v>110687.5</v>
      </c>
      <c r="D106" s="69">
        <f>C106-D105</f>
        <v>105875</v>
      </c>
      <c r="E106" s="69">
        <f t="shared" ref="E106:Z106" si="36">D106-E105</f>
        <v>101062.5</v>
      </c>
      <c r="F106" s="69">
        <f t="shared" si="36"/>
        <v>96250</v>
      </c>
      <c r="G106" s="69">
        <f t="shared" si="36"/>
        <v>91437.5</v>
      </c>
      <c r="H106" s="69">
        <f t="shared" si="36"/>
        <v>86625</v>
      </c>
      <c r="I106" s="69">
        <f t="shared" si="36"/>
        <v>81812.5</v>
      </c>
      <c r="J106" s="69">
        <f t="shared" si="36"/>
        <v>77000</v>
      </c>
      <c r="K106" s="69">
        <f t="shared" si="36"/>
        <v>72187.5</v>
      </c>
      <c r="L106" s="69">
        <f t="shared" si="36"/>
        <v>67375</v>
      </c>
      <c r="M106" s="69">
        <f t="shared" si="36"/>
        <v>62562.5</v>
      </c>
      <c r="N106" s="69">
        <f t="shared" si="36"/>
        <v>57750</v>
      </c>
      <c r="O106" s="69">
        <f t="shared" si="36"/>
        <v>52937.5</v>
      </c>
      <c r="P106" s="69">
        <f t="shared" si="36"/>
        <v>48125</v>
      </c>
      <c r="Q106" s="69">
        <f t="shared" si="36"/>
        <v>43312.5</v>
      </c>
      <c r="R106" s="69">
        <f t="shared" si="36"/>
        <v>38500</v>
      </c>
      <c r="S106" s="69">
        <f t="shared" si="36"/>
        <v>33687.5</v>
      </c>
      <c r="T106" s="69">
        <f t="shared" si="36"/>
        <v>28875</v>
      </c>
      <c r="U106" s="69">
        <f t="shared" si="36"/>
        <v>24062.5</v>
      </c>
      <c r="V106" s="69">
        <f t="shared" si="36"/>
        <v>19250</v>
      </c>
      <c r="W106" s="69">
        <f t="shared" si="36"/>
        <v>14437.5</v>
      </c>
      <c r="X106" s="69">
        <f t="shared" si="36"/>
        <v>9625</v>
      </c>
      <c r="Y106" s="69">
        <f t="shared" si="36"/>
        <v>4812.5</v>
      </c>
      <c r="Z106" s="69">
        <f t="shared" si="36"/>
        <v>0</v>
      </c>
    </row>
    <row r="107" spans="2:26">
      <c r="B107" s="59" t="s">
        <v>81</v>
      </c>
      <c r="C107" s="44">
        <f t="shared" ref="C107:N107" si="37">Materialaufwand_für_Zerspanungswerkzeuge_pro_Monat*(1-Verschleiss_vor_Entsorgung_mit_TD)</f>
        <v>6.4499999999999984</v>
      </c>
      <c r="D107" s="44">
        <f t="shared" si="37"/>
        <v>6.4499999999999984</v>
      </c>
      <c r="E107" s="44">
        <f t="shared" si="37"/>
        <v>6.4499999999999984</v>
      </c>
      <c r="F107" s="44">
        <f t="shared" si="37"/>
        <v>6.4499999999999984</v>
      </c>
      <c r="G107" s="44">
        <f t="shared" si="37"/>
        <v>6.4499999999999984</v>
      </c>
      <c r="H107" s="44">
        <f t="shared" si="37"/>
        <v>6.4499999999999984</v>
      </c>
      <c r="I107" s="44">
        <f t="shared" si="37"/>
        <v>6.4499999999999984</v>
      </c>
      <c r="J107" s="44">
        <f t="shared" si="37"/>
        <v>6.4499999999999984</v>
      </c>
      <c r="K107" s="44">
        <f t="shared" si="37"/>
        <v>6.4499999999999984</v>
      </c>
      <c r="L107" s="44">
        <f t="shared" si="37"/>
        <v>6.4499999999999984</v>
      </c>
      <c r="M107" s="44">
        <f t="shared" si="37"/>
        <v>6.4499999999999984</v>
      </c>
      <c r="N107" s="44">
        <f t="shared" si="37"/>
        <v>6.4499999999999984</v>
      </c>
      <c r="O107" s="44">
        <f t="shared" ref="O107:Z107" si="38">Materialaufwand_für_Zerspanungswerkzeuge_pro_Monat*(1-Verschleiss_vor_Entsorgung_mit_TD)*(1+Preissteigerung_Materialaufwand_für_Zerspanungswerkzeuge)</f>
        <v>31.411499999999993</v>
      </c>
      <c r="P107" s="44">
        <f t="shared" si="38"/>
        <v>31.411499999999993</v>
      </c>
      <c r="Q107" s="44">
        <f t="shared" si="38"/>
        <v>31.411499999999993</v>
      </c>
      <c r="R107" s="44">
        <f t="shared" si="38"/>
        <v>31.411499999999993</v>
      </c>
      <c r="S107" s="44">
        <f t="shared" si="38"/>
        <v>31.411499999999993</v>
      </c>
      <c r="T107" s="44">
        <f t="shared" si="38"/>
        <v>31.411499999999993</v>
      </c>
      <c r="U107" s="44">
        <f t="shared" si="38"/>
        <v>31.411499999999993</v>
      </c>
      <c r="V107" s="44">
        <f t="shared" si="38"/>
        <v>31.411499999999993</v>
      </c>
      <c r="W107" s="44">
        <f t="shared" si="38"/>
        <v>31.411499999999993</v>
      </c>
      <c r="X107" s="44">
        <f t="shared" si="38"/>
        <v>31.411499999999993</v>
      </c>
      <c r="Y107" s="44">
        <f t="shared" si="38"/>
        <v>31.411499999999993</v>
      </c>
      <c r="Z107" s="44">
        <f t="shared" si="38"/>
        <v>31.411499999999993</v>
      </c>
    </row>
    <row r="108" spans="2:26">
      <c r="B108" s="59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spans="2:26">
      <c r="B109" s="61" t="s">
        <v>60</v>
      </c>
      <c r="C109" s="70">
        <f>C104+C105+C107</f>
        <v>19833.95</v>
      </c>
      <c r="D109" s="70">
        <f t="shared" ref="D109:Z109" si="39">D104+D105+D107</f>
        <v>19208.325000000001</v>
      </c>
      <c r="E109" s="70">
        <f t="shared" si="39"/>
        <v>18582.7</v>
      </c>
      <c r="F109" s="70">
        <f t="shared" si="39"/>
        <v>17957.075000000001</v>
      </c>
      <c r="G109" s="70">
        <f t="shared" si="39"/>
        <v>17331.45</v>
      </c>
      <c r="H109" s="70">
        <f t="shared" si="39"/>
        <v>16705.825000000001</v>
      </c>
      <c r="I109" s="70">
        <f t="shared" si="39"/>
        <v>16080.2</v>
      </c>
      <c r="J109" s="70">
        <f t="shared" si="39"/>
        <v>15454.575000000001</v>
      </c>
      <c r="K109" s="70">
        <f t="shared" si="39"/>
        <v>14828.95</v>
      </c>
      <c r="L109" s="70">
        <f t="shared" si="39"/>
        <v>14203.325000000001</v>
      </c>
      <c r="M109" s="70">
        <f t="shared" si="39"/>
        <v>13577.7</v>
      </c>
      <c r="N109" s="70">
        <f t="shared" si="39"/>
        <v>12952.075000000001</v>
      </c>
      <c r="O109" s="70">
        <f t="shared" si="39"/>
        <v>12351.4115</v>
      </c>
      <c r="P109" s="70">
        <f t="shared" si="39"/>
        <v>11725.7865</v>
      </c>
      <c r="Q109" s="70">
        <f t="shared" si="39"/>
        <v>11100.1615</v>
      </c>
      <c r="R109" s="70">
        <f t="shared" si="39"/>
        <v>10474.5365</v>
      </c>
      <c r="S109" s="70">
        <f t="shared" si="39"/>
        <v>9848.9115000000002</v>
      </c>
      <c r="T109" s="70">
        <f t="shared" si="39"/>
        <v>9223.2865000000002</v>
      </c>
      <c r="U109" s="70">
        <f t="shared" si="39"/>
        <v>8597.6615000000002</v>
      </c>
      <c r="V109" s="70">
        <f t="shared" si="39"/>
        <v>7972.0365000000002</v>
      </c>
      <c r="W109" s="70">
        <f t="shared" si="39"/>
        <v>7346.4115000000002</v>
      </c>
      <c r="X109" s="70">
        <f t="shared" si="39"/>
        <v>6720.7865000000002</v>
      </c>
      <c r="Y109" s="70">
        <f t="shared" si="39"/>
        <v>6095.1615000000002</v>
      </c>
      <c r="Z109" s="70">
        <f t="shared" si="39"/>
        <v>5469.5365000000002</v>
      </c>
    </row>
    <row r="110" spans="2:26">
      <c r="B110" s="57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2:26">
      <c r="B111" s="58" t="s">
        <v>54</v>
      </c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2:26">
      <c r="B112" s="57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spans="2:26" ht="15" thickBot="1">
      <c r="B113" s="57" t="s">
        <v>11</v>
      </c>
      <c r="C113" s="56">
        <f>C100+C109</f>
        <v>132784.95000000001</v>
      </c>
      <c r="D113" s="56">
        <f>D109</f>
        <v>19208.325000000001</v>
      </c>
      <c r="E113" s="56">
        <f t="shared" ref="E113:Z113" si="40">E109</f>
        <v>18582.7</v>
      </c>
      <c r="F113" s="56">
        <f t="shared" si="40"/>
        <v>17957.075000000001</v>
      </c>
      <c r="G113" s="56">
        <f t="shared" si="40"/>
        <v>17331.45</v>
      </c>
      <c r="H113" s="56">
        <f t="shared" si="40"/>
        <v>16705.825000000001</v>
      </c>
      <c r="I113" s="56">
        <f t="shared" si="40"/>
        <v>16080.2</v>
      </c>
      <c r="J113" s="56">
        <f t="shared" si="40"/>
        <v>15454.575000000001</v>
      </c>
      <c r="K113" s="56">
        <f t="shared" si="40"/>
        <v>14828.95</v>
      </c>
      <c r="L113" s="56">
        <f t="shared" si="40"/>
        <v>14203.325000000001</v>
      </c>
      <c r="M113" s="56">
        <f t="shared" si="40"/>
        <v>13577.7</v>
      </c>
      <c r="N113" s="56">
        <f t="shared" si="40"/>
        <v>12952.075000000001</v>
      </c>
      <c r="O113" s="56">
        <f t="shared" si="40"/>
        <v>12351.4115</v>
      </c>
      <c r="P113" s="56">
        <f t="shared" si="40"/>
        <v>11725.7865</v>
      </c>
      <c r="Q113" s="56">
        <f t="shared" si="40"/>
        <v>11100.1615</v>
      </c>
      <c r="R113" s="56">
        <f t="shared" si="40"/>
        <v>10474.5365</v>
      </c>
      <c r="S113" s="56">
        <f t="shared" si="40"/>
        <v>9848.9115000000002</v>
      </c>
      <c r="T113" s="56">
        <f t="shared" si="40"/>
        <v>9223.2865000000002</v>
      </c>
      <c r="U113" s="56">
        <f t="shared" si="40"/>
        <v>8597.6615000000002</v>
      </c>
      <c r="V113" s="56">
        <f t="shared" si="40"/>
        <v>7972.0365000000002</v>
      </c>
      <c r="W113" s="56">
        <f t="shared" si="40"/>
        <v>7346.4115000000002</v>
      </c>
      <c r="X113" s="56">
        <f t="shared" si="40"/>
        <v>6720.7865000000002</v>
      </c>
      <c r="Y113" s="56">
        <f t="shared" si="40"/>
        <v>6095.1615000000002</v>
      </c>
      <c r="Z113" s="56">
        <f t="shared" si="40"/>
        <v>5469.5365000000002</v>
      </c>
    </row>
    <row r="114" spans="2:26">
      <c r="B114" s="57" t="s">
        <v>118</v>
      </c>
      <c r="C114" s="44">
        <f>SUM(C113:N113)</f>
        <v>309667.15000000014</v>
      </c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spans="2:26">
      <c r="B115" s="57" t="s">
        <v>117</v>
      </c>
      <c r="C115" s="44">
        <f>SUM(O113:Z113)</f>
        <v>106925.68800000001</v>
      </c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spans="2:26">
      <c r="B116" s="57" t="s">
        <v>114</v>
      </c>
      <c r="C116" s="70">
        <f>SUM(C114:C115)</f>
        <v>416592.83800000016</v>
      </c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spans="2:26">
      <c r="B117" s="57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spans="2:26">
      <c r="B118" s="55" t="s">
        <v>73</v>
      </c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 spans="2:26">
      <c r="B119" s="46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spans="2:26" ht="15" thickBot="1">
      <c r="B120" s="100" t="s">
        <v>64</v>
      </c>
      <c r="C120" s="106">
        <v>1</v>
      </c>
      <c r="D120" s="106">
        <f>C120+1</f>
        <v>2</v>
      </c>
      <c r="E120" s="106">
        <f t="shared" ref="E120:Z120" si="41">D120+1</f>
        <v>3</v>
      </c>
      <c r="F120" s="106">
        <f t="shared" si="41"/>
        <v>4</v>
      </c>
      <c r="G120" s="106">
        <f t="shared" si="41"/>
        <v>5</v>
      </c>
      <c r="H120" s="106">
        <f t="shared" si="41"/>
        <v>6</v>
      </c>
      <c r="I120" s="106">
        <f t="shared" si="41"/>
        <v>7</v>
      </c>
      <c r="J120" s="106">
        <f t="shared" si="41"/>
        <v>8</v>
      </c>
      <c r="K120" s="106">
        <f t="shared" si="41"/>
        <v>9</v>
      </c>
      <c r="L120" s="106">
        <f t="shared" si="41"/>
        <v>10</v>
      </c>
      <c r="M120" s="106">
        <f t="shared" si="41"/>
        <v>11</v>
      </c>
      <c r="N120" s="106">
        <f t="shared" si="41"/>
        <v>12</v>
      </c>
      <c r="O120" s="106">
        <f t="shared" si="41"/>
        <v>13</v>
      </c>
      <c r="P120" s="106">
        <f t="shared" si="41"/>
        <v>14</v>
      </c>
      <c r="Q120" s="106">
        <f t="shared" si="41"/>
        <v>15</v>
      </c>
      <c r="R120" s="106">
        <f t="shared" si="41"/>
        <v>16</v>
      </c>
      <c r="S120" s="106">
        <f t="shared" si="41"/>
        <v>17</v>
      </c>
      <c r="T120" s="106">
        <f t="shared" si="41"/>
        <v>18</v>
      </c>
      <c r="U120" s="106">
        <f t="shared" si="41"/>
        <v>19</v>
      </c>
      <c r="V120" s="106">
        <f t="shared" si="41"/>
        <v>20</v>
      </c>
      <c r="W120" s="106">
        <f t="shared" si="41"/>
        <v>21</v>
      </c>
      <c r="X120" s="106">
        <f t="shared" si="41"/>
        <v>22</v>
      </c>
      <c r="Y120" s="106">
        <f t="shared" si="41"/>
        <v>23</v>
      </c>
      <c r="Z120" s="106">
        <f t="shared" si="41"/>
        <v>24</v>
      </c>
    </row>
    <row r="121" spans="2:26"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spans="2:26">
      <c r="B122" s="62" t="s">
        <v>14</v>
      </c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2:26">
      <c r="B123" s="62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2:26">
      <c r="B124" s="101" t="s">
        <v>15</v>
      </c>
      <c r="C124" s="102">
        <v>0</v>
      </c>
      <c r="D124" s="102">
        <v>0</v>
      </c>
      <c r="E124" s="102">
        <v>0</v>
      </c>
      <c r="F124" s="102">
        <v>0</v>
      </c>
      <c r="G124" s="102">
        <v>0</v>
      </c>
      <c r="H124" s="102">
        <v>0</v>
      </c>
      <c r="I124" s="102">
        <v>0</v>
      </c>
      <c r="J124" s="102">
        <v>0</v>
      </c>
      <c r="K124" s="102">
        <v>0</v>
      </c>
      <c r="L124" s="102">
        <v>0</v>
      </c>
      <c r="M124" s="102">
        <v>0</v>
      </c>
      <c r="N124" s="102">
        <v>0</v>
      </c>
      <c r="O124" s="102">
        <v>0</v>
      </c>
      <c r="P124" s="102">
        <v>0</v>
      </c>
      <c r="Q124" s="102">
        <v>0</v>
      </c>
      <c r="R124" s="102">
        <v>0</v>
      </c>
      <c r="S124" s="102">
        <v>0</v>
      </c>
      <c r="T124" s="102">
        <v>0</v>
      </c>
      <c r="U124" s="102">
        <v>0</v>
      </c>
      <c r="V124" s="102">
        <v>0</v>
      </c>
      <c r="W124" s="102">
        <v>0</v>
      </c>
      <c r="X124" s="102">
        <v>0</v>
      </c>
      <c r="Y124" s="102">
        <v>0</v>
      </c>
      <c r="Z124" s="102">
        <v>0</v>
      </c>
    </row>
    <row r="125" spans="2:26">
      <c r="B125" s="101" t="s">
        <v>16</v>
      </c>
      <c r="C125" s="100">
        <f>Umstellungskosten_Software_pro_Zerspanungsapparat*Anzahl_Zerspanungsapparate</f>
        <v>6600</v>
      </c>
      <c r="D125" s="100">
        <v>0</v>
      </c>
      <c r="E125" s="100">
        <v>0</v>
      </c>
      <c r="F125" s="100">
        <v>0</v>
      </c>
      <c r="G125" s="100">
        <v>0</v>
      </c>
      <c r="H125" s="100">
        <v>0</v>
      </c>
      <c r="I125" s="100">
        <v>0</v>
      </c>
      <c r="J125" s="100">
        <v>0</v>
      </c>
      <c r="K125" s="100">
        <v>0</v>
      </c>
      <c r="L125" s="100">
        <v>0</v>
      </c>
      <c r="M125" s="100">
        <v>0</v>
      </c>
      <c r="N125" s="100">
        <v>0</v>
      </c>
      <c r="O125" s="100">
        <v>0</v>
      </c>
      <c r="P125" s="100">
        <v>0</v>
      </c>
      <c r="Q125" s="100">
        <v>0</v>
      </c>
      <c r="R125" s="100">
        <v>0</v>
      </c>
      <c r="S125" s="100">
        <v>0</v>
      </c>
      <c r="T125" s="100">
        <v>0</v>
      </c>
      <c r="U125" s="100">
        <v>0</v>
      </c>
      <c r="V125" s="100">
        <v>0</v>
      </c>
      <c r="W125" s="100">
        <v>0</v>
      </c>
      <c r="X125" s="100">
        <v>0</v>
      </c>
      <c r="Y125" s="100">
        <v>0</v>
      </c>
      <c r="Z125" s="100">
        <v>0</v>
      </c>
    </row>
    <row r="126" spans="2:26">
      <c r="B126" s="101" t="s">
        <v>17</v>
      </c>
      <c r="C126" s="100">
        <f>Implementierungskosten_Software_total</f>
        <v>100</v>
      </c>
      <c r="D126" s="100">
        <v>0</v>
      </c>
      <c r="E126" s="100">
        <v>0</v>
      </c>
      <c r="F126" s="100">
        <v>0</v>
      </c>
      <c r="G126" s="100">
        <v>0</v>
      </c>
      <c r="H126" s="100">
        <v>0</v>
      </c>
      <c r="I126" s="100">
        <v>0</v>
      </c>
      <c r="J126" s="100">
        <v>0</v>
      </c>
      <c r="K126" s="100">
        <v>0</v>
      </c>
      <c r="L126" s="100">
        <v>0</v>
      </c>
      <c r="M126" s="100">
        <v>0</v>
      </c>
      <c r="N126" s="100">
        <v>0</v>
      </c>
      <c r="O126" s="100">
        <v>0</v>
      </c>
      <c r="P126" s="100">
        <v>0</v>
      </c>
      <c r="Q126" s="100">
        <v>0</v>
      </c>
      <c r="R126" s="100">
        <v>0</v>
      </c>
      <c r="S126" s="100">
        <v>0</v>
      </c>
      <c r="T126" s="100">
        <v>0</v>
      </c>
      <c r="U126" s="100">
        <v>0</v>
      </c>
      <c r="V126" s="100">
        <v>0</v>
      </c>
      <c r="W126" s="100">
        <v>0</v>
      </c>
      <c r="X126" s="100">
        <v>0</v>
      </c>
      <c r="Y126" s="100">
        <v>0</v>
      </c>
      <c r="Z126" s="100">
        <v>0</v>
      </c>
    </row>
    <row r="127" spans="2:26">
      <c r="B127" s="101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  <c r="X127" s="100"/>
      <c r="Y127" s="100"/>
      <c r="Z127" s="100"/>
    </row>
    <row r="128" spans="2:26">
      <c r="B128" s="103" t="s">
        <v>58</v>
      </c>
      <c r="C128" s="112">
        <f>SUM(C124:C126)</f>
        <v>6700</v>
      </c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  <c r="X128" s="100"/>
      <c r="Y128" s="100"/>
      <c r="Z128" s="100"/>
    </row>
    <row r="129" spans="2:26">
      <c r="B129" s="101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</row>
    <row r="130" spans="2:26">
      <c r="B130" s="62" t="s">
        <v>18</v>
      </c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  <c r="X130" s="100"/>
      <c r="Y130" s="100"/>
      <c r="Z130" s="100"/>
    </row>
    <row r="131" spans="2:26">
      <c r="B131" s="62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  <c r="X131" s="100"/>
      <c r="Y131" s="100"/>
      <c r="Z131" s="100"/>
    </row>
    <row r="132" spans="2:26">
      <c r="B132" s="101" t="s">
        <v>19</v>
      </c>
      <c r="C132" s="100">
        <f t="shared" ref="C132:Z132" si="42">C133*Lizenzgebühr_an_Frauenhofer</f>
        <v>115.85000000000001</v>
      </c>
      <c r="D132" s="100">
        <f t="shared" si="42"/>
        <v>115.85000000000001</v>
      </c>
      <c r="E132" s="100">
        <f t="shared" si="42"/>
        <v>115.85000000000001</v>
      </c>
      <c r="F132" s="100">
        <f t="shared" si="42"/>
        <v>115.85000000000001</v>
      </c>
      <c r="G132" s="100">
        <f t="shared" si="42"/>
        <v>115.85000000000001</v>
      </c>
      <c r="H132" s="100">
        <f t="shared" si="42"/>
        <v>115.85000000000001</v>
      </c>
      <c r="I132" s="100">
        <f t="shared" si="42"/>
        <v>115.85000000000001</v>
      </c>
      <c r="J132" s="100">
        <f t="shared" si="42"/>
        <v>115.85000000000001</v>
      </c>
      <c r="K132" s="100">
        <f t="shared" si="42"/>
        <v>115.85000000000001</v>
      </c>
      <c r="L132" s="100">
        <f t="shared" si="42"/>
        <v>115.85000000000001</v>
      </c>
      <c r="M132" s="100">
        <f t="shared" si="42"/>
        <v>115.85000000000001</v>
      </c>
      <c r="N132" s="100">
        <f t="shared" si="42"/>
        <v>115.85000000000001</v>
      </c>
      <c r="O132" s="100">
        <f t="shared" si="42"/>
        <v>115.85000000000001</v>
      </c>
      <c r="P132" s="100">
        <f t="shared" si="42"/>
        <v>115.85000000000001</v>
      </c>
      <c r="Q132" s="100">
        <f t="shared" si="42"/>
        <v>115.85000000000001</v>
      </c>
      <c r="R132" s="100">
        <f t="shared" si="42"/>
        <v>115.85000000000001</v>
      </c>
      <c r="S132" s="100">
        <f t="shared" si="42"/>
        <v>115.85000000000001</v>
      </c>
      <c r="T132" s="100">
        <f t="shared" si="42"/>
        <v>115.85000000000001</v>
      </c>
      <c r="U132" s="100">
        <f t="shared" si="42"/>
        <v>115.85000000000001</v>
      </c>
      <c r="V132" s="100">
        <f t="shared" si="42"/>
        <v>115.85000000000001</v>
      </c>
      <c r="W132" s="100">
        <f t="shared" si="42"/>
        <v>115.85000000000001</v>
      </c>
      <c r="X132" s="100">
        <f t="shared" si="42"/>
        <v>115.85000000000001</v>
      </c>
      <c r="Y132" s="100">
        <f t="shared" si="42"/>
        <v>115.85000000000001</v>
      </c>
      <c r="Z132" s="100">
        <f t="shared" si="42"/>
        <v>115.85000000000001</v>
      </c>
    </row>
    <row r="133" spans="2:26">
      <c r="B133" s="101" t="s">
        <v>20</v>
      </c>
      <c r="C133" s="100">
        <f t="shared" ref="C133:Z133" si="43">Grundpreis_Abomodell+(Preisaufschlag_pro_Zerspanungsapparat_Abomodell*Anzahl_Zerspanungsapparate)</f>
        <v>1655</v>
      </c>
      <c r="D133" s="100">
        <f t="shared" si="43"/>
        <v>1655</v>
      </c>
      <c r="E133" s="100">
        <f t="shared" si="43"/>
        <v>1655</v>
      </c>
      <c r="F133" s="100">
        <f t="shared" si="43"/>
        <v>1655</v>
      </c>
      <c r="G133" s="100">
        <f t="shared" si="43"/>
        <v>1655</v>
      </c>
      <c r="H133" s="100">
        <f t="shared" si="43"/>
        <v>1655</v>
      </c>
      <c r="I133" s="100">
        <f t="shared" si="43"/>
        <v>1655</v>
      </c>
      <c r="J133" s="100">
        <f t="shared" si="43"/>
        <v>1655</v>
      </c>
      <c r="K133" s="100">
        <f t="shared" si="43"/>
        <v>1655</v>
      </c>
      <c r="L133" s="100">
        <f t="shared" si="43"/>
        <v>1655</v>
      </c>
      <c r="M133" s="100">
        <f t="shared" si="43"/>
        <v>1655</v>
      </c>
      <c r="N133" s="100">
        <f t="shared" si="43"/>
        <v>1655</v>
      </c>
      <c r="O133" s="100">
        <f t="shared" si="43"/>
        <v>1655</v>
      </c>
      <c r="P133" s="100">
        <f t="shared" si="43"/>
        <v>1655</v>
      </c>
      <c r="Q133" s="100">
        <f t="shared" si="43"/>
        <v>1655</v>
      </c>
      <c r="R133" s="100">
        <f t="shared" si="43"/>
        <v>1655</v>
      </c>
      <c r="S133" s="100">
        <f t="shared" si="43"/>
        <v>1655</v>
      </c>
      <c r="T133" s="100">
        <f t="shared" si="43"/>
        <v>1655</v>
      </c>
      <c r="U133" s="100">
        <f t="shared" si="43"/>
        <v>1655</v>
      </c>
      <c r="V133" s="100">
        <f t="shared" si="43"/>
        <v>1655</v>
      </c>
      <c r="W133" s="100">
        <f t="shared" si="43"/>
        <v>1655</v>
      </c>
      <c r="X133" s="100">
        <f t="shared" si="43"/>
        <v>1655</v>
      </c>
      <c r="Y133" s="100">
        <f t="shared" si="43"/>
        <v>1655</v>
      </c>
      <c r="Z133" s="100">
        <f t="shared" si="43"/>
        <v>1655</v>
      </c>
    </row>
    <row r="134" spans="2:26">
      <c r="B134" s="104" t="s">
        <v>81</v>
      </c>
      <c r="C134" s="100">
        <f t="shared" ref="C134:N134" si="44">Materialaufwand_für_Zerspanungswerkzeuge_pro_Monat*(1-Verschleiss_vor_Entsorgung_mit_TD)</f>
        <v>6.4499999999999984</v>
      </c>
      <c r="D134" s="100">
        <f t="shared" si="44"/>
        <v>6.4499999999999984</v>
      </c>
      <c r="E134" s="100">
        <f t="shared" si="44"/>
        <v>6.4499999999999984</v>
      </c>
      <c r="F134" s="100">
        <f t="shared" si="44"/>
        <v>6.4499999999999984</v>
      </c>
      <c r="G134" s="100">
        <f t="shared" si="44"/>
        <v>6.4499999999999984</v>
      </c>
      <c r="H134" s="100">
        <f t="shared" si="44"/>
        <v>6.4499999999999984</v>
      </c>
      <c r="I134" s="100">
        <f t="shared" si="44"/>
        <v>6.4499999999999984</v>
      </c>
      <c r="J134" s="100">
        <f t="shared" si="44"/>
        <v>6.4499999999999984</v>
      </c>
      <c r="K134" s="100">
        <f t="shared" si="44"/>
        <v>6.4499999999999984</v>
      </c>
      <c r="L134" s="100">
        <f t="shared" si="44"/>
        <v>6.4499999999999984</v>
      </c>
      <c r="M134" s="100">
        <f t="shared" si="44"/>
        <v>6.4499999999999984</v>
      </c>
      <c r="N134" s="100">
        <f t="shared" si="44"/>
        <v>6.4499999999999984</v>
      </c>
      <c r="O134" s="100">
        <f t="shared" ref="O134:Z134" si="45">Materialaufwand_für_Zerspanungswerkzeuge_pro_Monat*(1-Verschleiss_vor_Entsorgung_mit_TD)*(1+Preissteigerung_Materialaufwand_für_Zerspanungswerkzeuge)</f>
        <v>31.411499999999993</v>
      </c>
      <c r="P134" s="100">
        <f t="shared" si="45"/>
        <v>31.411499999999993</v>
      </c>
      <c r="Q134" s="100">
        <f t="shared" si="45"/>
        <v>31.411499999999993</v>
      </c>
      <c r="R134" s="100">
        <f t="shared" si="45"/>
        <v>31.411499999999993</v>
      </c>
      <c r="S134" s="100">
        <f t="shared" si="45"/>
        <v>31.411499999999993</v>
      </c>
      <c r="T134" s="100">
        <f t="shared" si="45"/>
        <v>31.411499999999993</v>
      </c>
      <c r="U134" s="100">
        <f t="shared" si="45"/>
        <v>31.411499999999993</v>
      </c>
      <c r="V134" s="100">
        <f t="shared" si="45"/>
        <v>31.411499999999993</v>
      </c>
      <c r="W134" s="100">
        <f t="shared" si="45"/>
        <v>31.411499999999993</v>
      </c>
      <c r="X134" s="100">
        <f t="shared" si="45"/>
        <v>31.411499999999993</v>
      </c>
      <c r="Y134" s="100">
        <f t="shared" si="45"/>
        <v>31.411499999999993</v>
      </c>
      <c r="Z134" s="100">
        <f t="shared" si="45"/>
        <v>31.411499999999993</v>
      </c>
    </row>
    <row r="135" spans="2:26">
      <c r="B135" s="104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  <c r="X135" s="100"/>
      <c r="Y135" s="100"/>
      <c r="Z135" s="100"/>
    </row>
    <row r="136" spans="2:26">
      <c r="B136" s="105" t="s">
        <v>57</v>
      </c>
      <c r="C136" s="112">
        <f t="shared" ref="C136:Z136" si="46">SUM(C132:C134)</f>
        <v>1777.3</v>
      </c>
      <c r="D136" s="112">
        <f t="shared" si="46"/>
        <v>1777.3</v>
      </c>
      <c r="E136" s="112">
        <f t="shared" si="46"/>
        <v>1777.3</v>
      </c>
      <c r="F136" s="112">
        <f t="shared" si="46"/>
        <v>1777.3</v>
      </c>
      <c r="G136" s="112">
        <f t="shared" si="46"/>
        <v>1777.3</v>
      </c>
      <c r="H136" s="112">
        <f t="shared" si="46"/>
        <v>1777.3</v>
      </c>
      <c r="I136" s="112">
        <f t="shared" si="46"/>
        <v>1777.3</v>
      </c>
      <c r="J136" s="112">
        <f t="shared" si="46"/>
        <v>1777.3</v>
      </c>
      <c r="K136" s="112">
        <f t="shared" si="46"/>
        <v>1777.3</v>
      </c>
      <c r="L136" s="112">
        <f t="shared" si="46"/>
        <v>1777.3</v>
      </c>
      <c r="M136" s="112">
        <f t="shared" si="46"/>
        <v>1777.3</v>
      </c>
      <c r="N136" s="112">
        <f t="shared" si="46"/>
        <v>1777.3</v>
      </c>
      <c r="O136" s="112">
        <f t="shared" si="46"/>
        <v>1802.2614999999998</v>
      </c>
      <c r="P136" s="112">
        <f t="shared" si="46"/>
        <v>1802.2614999999998</v>
      </c>
      <c r="Q136" s="112">
        <f t="shared" si="46"/>
        <v>1802.2614999999998</v>
      </c>
      <c r="R136" s="112">
        <f t="shared" si="46"/>
        <v>1802.2614999999998</v>
      </c>
      <c r="S136" s="112">
        <f t="shared" si="46"/>
        <v>1802.2614999999998</v>
      </c>
      <c r="T136" s="112">
        <f t="shared" si="46"/>
        <v>1802.2614999999998</v>
      </c>
      <c r="U136" s="112">
        <f t="shared" si="46"/>
        <v>1802.2614999999998</v>
      </c>
      <c r="V136" s="112">
        <f t="shared" si="46"/>
        <v>1802.2614999999998</v>
      </c>
      <c r="W136" s="112">
        <f t="shared" si="46"/>
        <v>1802.2614999999998</v>
      </c>
      <c r="X136" s="112">
        <f t="shared" si="46"/>
        <v>1802.2614999999998</v>
      </c>
      <c r="Y136" s="112">
        <f t="shared" si="46"/>
        <v>1802.2614999999998</v>
      </c>
      <c r="Z136" s="112">
        <f t="shared" si="46"/>
        <v>1802.2614999999998</v>
      </c>
    </row>
    <row r="137" spans="2:26">
      <c r="B137" s="101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  <c r="X137" s="100"/>
      <c r="Y137" s="100"/>
      <c r="Z137" s="100"/>
    </row>
    <row r="138" spans="2:26">
      <c r="B138" s="103" t="s">
        <v>54</v>
      </c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  <c r="Z138" s="100"/>
    </row>
    <row r="139" spans="2:26">
      <c r="B139" s="101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  <c r="X139" s="100"/>
      <c r="Y139" s="100"/>
      <c r="Z139" s="100"/>
    </row>
    <row r="140" spans="2:26" ht="15" thickBot="1">
      <c r="B140" s="101" t="s">
        <v>11</v>
      </c>
      <c r="C140" s="113">
        <f>C128+C136</f>
        <v>8477.2999999999993</v>
      </c>
      <c r="D140" s="113">
        <f t="shared" ref="D140:Z140" si="47">D136</f>
        <v>1777.3</v>
      </c>
      <c r="E140" s="113">
        <f t="shared" si="47"/>
        <v>1777.3</v>
      </c>
      <c r="F140" s="113">
        <f t="shared" si="47"/>
        <v>1777.3</v>
      </c>
      <c r="G140" s="113">
        <f t="shared" si="47"/>
        <v>1777.3</v>
      </c>
      <c r="H140" s="113">
        <f t="shared" si="47"/>
        <v>1777.3</v>
      </c>
      <c r="I140" s="113">
        <f t="shared" si="47"/>
        <v>1777.3</v>
      </c>
      <c r="J140" s="113">
        <f t="shared" si="47"/>
        <v>1777.3</v>
      </c>
      <c r="K140" s="113">
        <f t="shared" si="47"/>
        <v>1777.3</v>
      </c>
      <c r="L140" s="113">
        <f t="shared" si="47"/>
        <v>1777.3</v>
      </c>
      <c r="M140" s="113">
        <f t="shared" si="47"/>
        <v>1777.3</v>
      </c>
      <c r="N140" s="113">
        <f t="shared" si="47"/>
        <v>1777.3</v>
      </c>
      <c r="O140" s="113">
        <f t="shared" si="47"/>
        <v>1802.2614999999998</v>
      </c>
      <c r="P140" s="113">
        <f t="shared" si="47"/>
        <v>1802.2614999999998</v>
      </c>
      <c r="Q140" s="113">
        <f t="shared" si="47"/>
        <v>1802.2614999999998</v>
      </c>
      <c r="R140" s="113">
        <f t="shared" si="47"/>
        <v>1802.2614999999998</v>
      </c>
      <c r="S140" s="113">
        <f t="shared" si="47"/>
        <v>1802.2614999999998</v>
      </c>
      <c r="T140" s="113">
        <f t="shared" si="47"/>
        <v>1802.2614999999998</v>
      </c>
      <c r="U140" s="113">
        <f t="shared" si="47"/>
        <v>1802.2614999999998</v>
      </c>
      <c r="V140" s="113">
        <f t="shared" si="47"/>
        <v>1802.2614999999998</v>
      </c>
      <c r="W140" s="113">
        <f t="shared" si="47"/>
        <v>1802.2614999999998</v>
      </c>
      <c r="X140" s="113">
        <f t="shared" si="47"/>
        <v>1802.2614999999998</v>
      </c>
      <c r="Y140" s="113">
        <f t="shared" si="47"/>
        <v>1802.2614999999998</v>
      </c>
      <c r="Z140" s="113">
        <f t="shared" si="47"/>
        <v>1802.2614999999998</v>
      </c>
    </row>
    <row r="141" spans="2:26">
      <c r="B141" s="101" t="s">
        <v>12</v>
      </c>
      <c r="C141" s="100">
        <f>SUM(C140:N140)</f>
        <v>28027.599999999991</v>
      </c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  <c r="X141" s="100"/>
      <c r="Y141" s="100"/>
      <c r="Z141" s="100"/>
    </row>
    <row r="142" spans="2:26">
      <c r="B142" s="101" t="s">
        <v>115</v>
      </c>
      <c r="C142" s="100">
        <f>SUM(O140:Z140)</f>
        <v>21627.138000000003</v>
      </c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  <c r="X142" s="100"/>
      <c r="Y142" s="100"/>
      <c r="Z142" s="100"/>
    </row>
    <row r="143" spans="2:26">
      <c r="B143" s="101" t="s">
        <v>116</v>
      </c>
      <c r="C143" s="112">
        <f>SUM(C141:C142)</f>
        <v>49654.737999999998</v>
      </c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</row>
    <row r="144" spans="2:26">
      <c r="B144" s="4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2:26">
      <c r="B145" s="4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</sheetData>
  <phoneticPr fontId="21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7F638-6B6C-5747-95D3-C2E259F8BA36}">
  <dimension ref="A2:BB229"/>
  <sheetViews>
    <sheetView showGridLines="0" zoomScale="50" zoomScaleNormal="25" workbookViewId="0">
      <selection activeCell="C24" sqref="C24"/>
    </sheetView>
  </sheetViews>
  <sheetFormatPr defaultColWidth="11" defaultRowHeight="14.4"/>
  <cols>
    <col min="1" max="1" width="3.796875" style="2" customWidth="1"/>
    <col min="2" max="2" width="49" style="2" customWidth="1"/>
    <col min="3" max="3" width="18.296875" style="2" customWidth="1"/>
    <col min="4" max="10" width="22.19921875" style="2" bestFit="1" customWidth="1"/>
    <col min="11" max="11" width="14.796875" style="2" customWidth="1"/>
    <col min="12" max="12" width="15.19921875" style="2" customWidth="1"/>
    <col min="13" max="13" width="14.69921875" style="2" customWidth="1"/>
    <col min="14" max="14" width="15" style="2" customWidth="1"/>
    <col min="15" max="15" width="16.19921875" style="2" customWidth="1"/>
    <col min="16" max="16" width="16.5" style="2" customWidth="1"/>
    <col min="17" max="18" width="14.296875" style="2" customWidth="1"/>
    <col min="19" max="19" width="15" style="2" customWidth="1"/>
    <col min="20" max="20" width="15.5" style="2" customWidth="1"/>
    <col min="21" max="26" width="22.19921875" style="2" bestFit="1" customWidth="1"/>
    <col min="27" max="28" width="15.69921875" style="2" customWidth="1"/>
    <col min="29" max="29" width="39.19921875" style="2" customWidth="1"/>
    <col min="30" max="32" width="16.796875" style="2" bestFit="1" customWidth="1"/>
    <col min="33" max="37" width="17.19921875" style="2" bestFit="1" customWidth="1"/>
    <col min="38" max="38" width="16.796875" style="2" bestFit="1" customWidth="1"/>
    <col min="39" max="41" width="17.19921875" style="2" bestFit="1" customWidth="1"/>
    <col min="42" max="42" width="16.5" style="2" bestFit="1" customWidth="1"/>
    <col min="43" max="43" width="16.796875" style="2" bestFit="1" customWidth="1"/>
    <col min="44" max="47" width="17.19921875" style="2" bestFit="1" customWidth="1"/>
    <col min="48" max="51" width="16.796875" style="2" bestFit="1" customWidth="1"/>
    <col min="52" max="53" width="17.19921875" style="2" bestFit="1" customWidth="1"/>
    <col min="54" max="16384" width="11" style="2"/>
  </cols>
  <sheetData>
    <row r="2" spans="2:53" s="18" customFormat="1" ht="33.6">
      <c r="B2" s="34" t="s">
        <v>25</v>
      </c>
      <c r="AB2" s="30"/>
    </row>
    <row r="4" spans="2:53">
      <c r="B4" s="75" t="s">
        <v>56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11"/>
      <c r="AB4" s="11"/>
    </row>
    <row r="5" spans="2:53">
      <c r="B5" s="14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2:53" ht="15" thickBot="1">
      <c r="B6" s="14" t="s">
        <v>68</v>
      </c>
      <c r="C6" s="76">
        <v>1</v>
      </c>
      <c r="D6" s="76">
        <f>C6+1</f>
        <v>2</v>
      </c>
      <c r="E6" s="76">
        <f t="shared" ref="E6:Z6" si="0">D6+1</f>
        <v>3</v>
      </c>
      <c r="F6" s="76">
        <f t="shared" si="0"/>
        <v>4</v>
      </c>
      <c r="G6" s="76">
        <f t="shared" si="0"/>
        <v>5</v>
      </c>
      <c r="H6" s="76">
        <f t="shared" si="0"/>
        <v>6</v>
      </c>
      <c r="I6" s="76">
        <f t="shared" si="0"/>
        <v>7</v>
      </c>
      <c r="J6" s="76">
        <f t="shared" si="0"/>
        <v>8</v>
      </c>
      <c r="K6" s="76">
        <f t="shared" si="0"/>
        <v>9</v>
      </c>
      <c r="L6" s="76">
        <f t="shared" si="0"/>
        <v>10</v>
      </c>
      <c r="M6" s="76">
        <f t="shared" si="0"/>
        <v>11</v>
      </c>
      <c r="N6" s="76">
        <f t="shared" si="0"/>
        <v>12</v>
      </c>
      <c r="O6" s="76">
        <f t="shared" si="0"/>
        <v>13</v>
      </c>
      <c r="P6" s="76">
        <f t="shared" si="0"/>
        <v>14</v>
      </c>
      <c r="Q6" s="76">
        <f t="shared" si="0"/>
        <v>15</v>
      </c>
      <c r="R6" s="76">
        <f t="shared" si="0"/>
        <v>16</v>
      </c>
      <c r="S6" s="76">
        <f t="shared" si="0"/>
        <v>17</v>
      </c>
      <c r="T6" s="76">
        <f t="shared" si="0"/>
        <v>18</v>
      </c>
      <c r="U6" s="76">
        <f t="shared" si="0"/>
        <v>19</v>
      </c>
      <c r="V6" s="76">
        <f t="shared" si="0"/>
        <v>20</v>
      </c>
      <c r="W6" s="76">
        <f t="shared" si="0"/>
        <v>21</v>
      </c>
      <c r="X6" s="76">
        <f t="shared" si="0"/>
        <v>22</v>
      </c>
      <c r="Y6" s="76">
        <f t="shared" si="0"/>
        <v>23</v>
      </c>
      <c r="Z6" s="76">
        <f t="shared" si="0"/>
        <v>24</v>
      </c>
      <c r="AA6" s="11"/>
      <c r="AB6" s="11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</row>
    <row r="7" spans="2:53">
      <c r="B7" s="14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</row>
    <row r="8" spans="2:53">
      <c r="B8" s="77" t="s">
        <v>65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</row>
    <row r="9" spans="2:53">
      <c r="B9" s="1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11"/>
      <c r="AB9" s="11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</row>
    <row r="10" spans="2:53">
      <c r="B10" s="78" t="s">
        <v>26</v>
      </c>
      <c r="C10" s="44">
        <f>'Kosten ohne TD'!C21</f>
        <v>149940712.90000001</v>
      </c>
      <c r="D10" s="44">
        <f>'Kosten ohne TD'!D21</f>
        <v>149940712.90000001</v>
      </c>
      <c r="E10" s="44">
        <f>'Kosten ohne TD'!E21</f>
        <v>149940712.90000001</v>
      </c>
      <c r="F10" s="44">
        <f>'Kosten ohne TD'!F21</f>
        <v>149940712.90000001</v>
      </c>
      <c r="G10" s="44">
        <f>'Kosten ohne TD'!G21</f>
        <v>149940712.90000001</v>
      </c>
      <c r="H10" s="44">
        <f>'Kosten ohne TD'!H21</f>
        <v>149940712.90000001</v>
      </c>
      <c r="I10" s="44">
        <f>'Kosten ohne TD'!I21</f>
        <v>149940712.90000001</v>
      </c>
      <c r="J10" s="44">
        <f>'Kosten ohne TD'!J21</f>
        <v>149940712.90000001</v>
      </c>
      <c r="K10" s="44">
        <f>'Kosten ohne TD'!K21</f>
        <v>149940712.90000001</v>
      </c>
      <c r="L10" s="44">
        <f>'Kosten ohne TD'!L21</f>
        <v>149940712.90000001</v>
      </c>
      <c r="M10" s="44">
        <f>'Kosten ohne TD'!M21</f>
        <v>149940712.90000001</v>
      </c>
      <c r="N10" s="44">
        <f>'Kosten ohne TD'!N21</f>
        <v>149940712.90000001</v>
      </c>
      <c r="O10" s="44">
        <f>'Kosten ohne TD'!O21</f>
        <v>149940762.82300001</v>
      </c>
      <c r="P10" s="44">
        <f>'Kosten ohne TD'!P21</f>
        <v>149940762.82300001</v>
      </c>
      <c r="Q10" s="44">
        <f>'Kosten ohne TD'!Q21</f>
        <v>149940762.82300001</v>
      </c>
      <c r="R10" s="44">
        <f>'Kosten ohne TD'!R21</f>
        <v>149940762.82300001</v>
      </c>
      <c r="S10" s="44">
        <f>'Kosten ohne TD'!S21</f>
        <v>149940762.82300001</v>
      </c>
      <c r="T10" s="44">
        <f>'Kosten ohne TD'!T21</f>
        <v>149940762.82300001</v>
      </c>
      <c r="U10" s="44">
        <f>'Kosten ohne TD'!U21</f>
        <v>149940762.82300001</v>
      </c>
      <c r="V10" s="44">
        <f>'Kosten ohne TD'!V21</f>
        <v>149940762.82300001</v>
      </c>
      <c r="W10" s="44">
        <f>'Kosten ohne TD'!W21</f>
        <v>149940762.82300001</v>
      </c>
      <c r="X10" s="44">
        <f>'Kosten ohne TD'!X21</f>
        <v>149940762.82300001</v>
      </c>
      <c r="Y10" s="44">
        <f>'Kosten ohne TD'!Y21</f>
        <v>149940762.82300001</v>
      </c>
      <c r="Z10" s="44">
        <f>'Kosten ohne TD'!Z21</f>
        <v>149940762.82300001</v>
      </c>
      <c r="AA10" s="11"/>
      <c r="AB10" s="12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</row>
    <row r="11" spans="2:53">
      <c r="B11" s="78" t="s">
        <v>27</v>
      </c>
      <c r="C11" s="44">
        <f>'Kosten mit TD'!C25</f>
        <v>123977.3</v>
      </c>
      <c r="D11" s="44">
        <f>'Kosten mit TD'!D25</f>
        <v>1777.3</v>
      </c>
      <c r="E11" s="44">
        <f>'Kosten mit TD'!E25</f>
        <v>1777.3</v>
      </c>
      <c r="F11" s="44">
        <f>'Kosten mit TD'!F25</f>
        <v>1777.3</v>
      </c>
      <c r="G11" s="44">
        <f>'Kosten mit TD'!G25</f>
        <v>1777.3</v>
      </c>
      <c r="H11" s="44">
        <f>'Kosten mit TD'!H25</f>
        <v>1777.3</v>
      </c>
      <c r="I11" s="44">
        <f>'Kosten mit TD'!I25</f>
        <v>1777.3</v>
      </c>
      <c r="J11" s="44">
        <f>'Kosten mit TD'!J25</f>
        <v>1777.3</v>
      </c>
      <c r="K11" s="44">
        <f>'Kosten mit TD'!K25</f>
        <v>1777.3</v>
      </c>
      <c r="L11" s="44">
        <f>'Kosten mit TD'!L25</f>
        <v>1777.3</v>
      </c>
      <c r="M11" s="44">
        <f>'Kosten mit TD'!M25</f>
        <v>1777.3</v>
      </c>
      <c r="N11" s="44">
        <f>'Kosten mit TD'!N25</f>
        <v>1777.3</v>
      </c>
      <c r="O11" s="44">
        <f>'Kosten mit TD'!O25</f>
        <v>1802.2614999999998</v>
      </c>
      <c r="P11" s="44">
        <f>'Kosten mit TD'!P25</f>
        <v>1802.2614999999998</v>
      </c>
      <c r="Q11" s="44">
        <f>'Kosten mit TD'!Q25</f>
        <v>1802.2614999999998</v>
      </c>
      <c r="R11" s="44">
        <f>'Kosten mit TD'!R25</f>
        <v>1802.2614999999998</v>
      </c>
      <c r="S11" s="44">
        <f>'Kosten mit TD'!S25</f>
        <v>1802.2614999999998</v>
      </c>
      <c r="T11" s="44">
        <f>'Kosten mit TD'!T25</f>
        <v>1802.2614999999998</v>
      </c>
      <c r="U11" s="44">
        <f>'Kosten mit TD'!U25</f>
        <v>1802.2614999999998</v>
      </c>
      <c r="V11" s="44">
        <f>'Kosten mit TD'!V25</f>
        <v>1802.2614999999998</v>
      </c>
      <c r="W11" s="44">
        <f>'Kosten mit TD'!W25</f>
        <v>1802.2614999999998</v>
      </c>
      <c r="X11" s="44">
        <f>'Kosten mit TD'!X25</f>
        <v>1802.2614999999998</v>
      </c>
      <c r="Y11" s="44">
        <f>'Kosten mit TD'!Y25</f>
        <v>1802.2614999999998</v>
      </c>
      <c r="Z11" s="44">
        <f>'Kosten mit TD'!Z25</f>
        <v>1802.2614999999998</v>
      </c>
      <c r="AA11" s="11"/>
      <c r="AB11" s="12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2:53">
      <c r="B12" s="78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11"/>
      <c r="AB12" s="12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2:53">
      <c r="B13" s="79" t="s">
        <v>66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11"/>
      <c r="AB13" s="12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2:53">
      <c r="B14" s="78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11"/>
      <c r="AB14" s="12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2:53" ht="15" thickBot="1">
      <c r="B15" s="78" t="s">
        <v>28</v>
      </c>
      <c r="C15" s="56">
        <f t="shared" ref="C15:Z15" si="1">C10-C11</f>
        <v>149816735.59999999</v>
      </c>
      <c r="D15" s="56">
        <f t="shared" si="1"/>
        <v>149938935.59999999</v>
      </c>
      <c r="E15" s="56">
        <f t="shared" si="1"/>
        <v>149938935.59999999</v>
      </c>
      <c r="F15" s="56">
        <f t="shared" si="1"/>
        <v>149938935.59999999</v>
      </c>
      <c r="G15" s="56">
        <f t="shared" si="1"/>
        <v>149938935.59999999</v>
      </c>
      <c r="H15" s="56">
        <f t="shared" si="1"/>
        <v>149938935.59999999</v>
      </c>
      <c r="I15" s="56">
        <f t="shared" si="1"/>
        <v>149938935.59999999</v>
      </c>
      <c r="J15" s="56">
        <f t="shared" si="1"/>
        <v>149938935.59999999</v>
      </c>
      <c r="K15" s="56">
        <f t="shared" si="1"/>
        <v>149938935.59999999</v>
      </c>
      <c r="L15" s="56">
        <f t="shared" si="1"/>
        <v>149938935.59999999</v>
      </c>
      <c r="M15" s="56">
        <f t="shared" si="1"/>
        <v>149938935.59999999</v>
      </c>
      <c r="N15" s="56">
        <f t="shared" si="1"/>
        <v>149938935.59999999</v>
      </c>
      <c r="O15" s="56">
        <f t="shared" si="1"/>
        <v>149938960.56150001</v>
      </c>
      <c r="P15" s="56">
        <f t="shared" si="1"/>
        <v>149938960.56150001</v>
      </c>
      <c r="Q15" s="56">
        <f t="shared" si="1"/>
        <v>149938960.56150001</v>
      </c>
      <c r="R15" s="56">
        <f t="shared" si="1"/>
        <v>149938960.56150001</v>
      </c>
      <c r="S15" s="56">
        <f t="shared" si="1"/>
        <v>149938960.56150001</v>
      </c>
      <c r="T15" s="56">
        <f t="shared" si="1"/>
        <v>149938960.56150001</v>
      </c>
      <c r="U15" s="56">
        <f t="shared" si="1"/>
        <v>149938960.56150001</v>
      </c>
      <c r="V15" s="56">
        <f t="shared" si="1"/>
        <v>149938960.56150001</v>
      </c>
      <c r="W15" s="56">
        <f t="shared" si="1"/>
        <v>149938960.56150001</v>
      </c>
      <c r="X15" s="56">
        <f t="shared" si="1"/>
        <v>149938960.56150001</v>
      </c>
      <c r="Y15" s="56">
        <f t="shared" si="1"/>
        <v>149938960.56150001</v>
      </c>
      <c r="Z15" s="56">
        <f t="shared" si="1"/>
        <v>149938960.56150001</v>
      </c>
      <c r="AA15" s="11"/>
      <c r="AB15" s="12"/>
    </row>
    <row r="16" spans="2:53">
      <c r="B16" s="78" t="s">
        <v>119</v>
      </c>
      <c r="C16" s="44">
        <f>SUM(C10:N10) - SUM(C11:N11)</f>
        <v>1799145027.2000005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11"/>
      <c r="AB16" s="12"/>
    </row>
    <row r="17" spans="2:53">
      <c r="B17" s="78" t="s">
        <v>120</v>
      </c>
      <c r="C17" s="44">
        <f>SUM(O10:Z10) - SUM(O11:Z11)</f>
        <v>1799267526.7379997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11"/>
      <c r="AB17" s="12"/>
    </row>
    <row r="18" spans="2:53">
      <c r="B18" s="78" t="s">
        <v>31</v>
      </c>
      <c r="C18" s="70">
        <f>SUM(C16:C17)</f>
        <v>3598412553.9380002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11"/>
      <c r="AB18" s="12"/>
    </row>
    <row r="19" spans="2:53">
      <c r="B19" s="78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11"/>
      <c r="AB19" s="12"/>
    </row>
    <row r="20" spans="2:53">
      <c r="B20" s="79" t="s">
        <v>67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2"/>
      <c r="AB20" s="12"/>
    </row>
    <row r="21" spans="2:53">
      <c r="B21" s="7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2"/>
      <c r="AB21" s="12"/>
    </row>
    <row r="22" spans="2:53">
      <c r="B22" s="78" t="s">
        <v>32</v>
      </c>
      <c r="C22" s="80">
        <f xml:space="preserve"> C18/KostenTD_24m_Abo_mit_Kameraeinkauf</f>
        <v>21788.127894568799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2"/>
      <c r="AB22" s="12"/>
    </row>
    <row r="23" spans="2:53">
      <c r="B23" s="38" t="s">
        <v>33</v>
      </c>
      <c r="C23" s="80">
        <f>C16/KostenTD_1Jahr_Abo_mit_Kameraeinkauf</f>
        <v>12535.185059876996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2:53">
      <c r="B24" s="38" t="s">
        <v>34</v>
      </c>
      <c r="C24" s="80">
        <f>C17/KostenTD_2Jahr_Abo_mit_Kameraeinkauf</f>
        <v>83194.897389474252</v>
      </c>
    </row>
    <row r="25" spans="2:53">
      <c r="B25" s="38"/>
      <c r="C25" s="80"/>
    </row>
    <row r="27" spans="2:53">
      <c r="B27" s="81" t="s">
        <v>90</v>
      </c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11"/>
      <c r="AB27" s="11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</row>
    <row r="28" spans="2:53">
      <c r="B28" s="7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</row>
    <row r="29" spans="2:53" ht="15" thickBot="1">
      <c r="B29" s="7"/>
      <c r="C29" s="76">
        <v>1</v>
      </c>
      <c r="D29" s="76">
        <f>C29+1</f>
        <v>2</v>
      </c>
      <c r="E29" s="76">
        <f t="shared" ref="E29:Z29" si="2">D29+1</f>
        <v>3</v>
      </c>
      <c r="F29" s="76">
        <f t="shared" si="2"/>
        <v>4</v>
      </c>
      <c r="G29" s="76">
        <f t="shared" si="2"/>
        <v>5</v>
      </c>
      <c r="H29" s="76">
        <f t="shared" si="2"/>
        <v>6</v>
      </c>
      <c r="I29" s="76">
        <f t="shared" si="2"/>
        <v>7</v>
      </c>
      <c r="J29" s="76">
        <f t="shared" si="2"/>
        <v>8</v>
      </c>
      <c r="K29" s="76">
        <f t="shared" si="2"/>
        <v>9</v>
      </c>
      <c r="L29" s="76">
        <f t="shared" si="2"/>
        <v>10</v>
      </c>
      <c r="M29" s="76">
        <f t="shared" si="2"/>
        <v>11</v>
      </c>
      <c r="N29" s="76">
        <f t="shared" si="2"/>
        <v>12</v>
      </c>
      <c r="O29" s="76">
        <f t="shared" si="2"/>
        <v>13</v>
      </c>
      <c r="P29" s="76">
        <f t="shared" si="2"/>
        <v>14</v>
      </c>
      <c r="Q29" s="76">
        <f t="shared" si="2"/>
        <v>15</v>
      </c>
      <c r="R29" s="76">
        <f t="shared" si="2"/>
        <v>16</v>
      </c>
      <c r="S29" s="76">
        <f t="shared" si="2"/>
        <v>17</v>
      </c>
      <c r="T29" s="76">
        <f t="shared" si="2"/>
        <v>18</v>
      </c>
      <c r="U29" s="76">
        <f t="shared" si="2"/>
        <v>19</v>
      </c>
      <c r="V29" s="76">
        <f t="shared" si="2"/>
        <v>20</v>
      </c>
      <c r="W29" s="76">
        <f t="shared" si="2"/>
        <v>21</v>
      </c>
      <c r="X29" s="76">
        <f t="shared" si="2"/>
        <v>22</v>
      </c>
      <c r="Y29" s="76">
        <f t="shared" si="2"/>
        <v>23</v>
      </c>
      <c r="Z29" s="76">
        <f t="shared" si="2"/>
        <v>24</v>
      </c>
      <c r="AA29" s="11"/>
      <c r="AB29" s="11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</row>
    <row r="30" spans="2:53">
      <c r="B30" s="7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</row>
    <row r="31" spans="2:53">
      <c r="B31" s="82" t="s">
        <v>65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</row>
    <row r="32" spans="2:53">
      <c r="B32" s="7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11"/>
      <c r="AB32" s="11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</row>
    <row r="33" spans="2:53">
      <c r="B33" s="83" t="s">
        <v>26</v>
      </c>
      <c r="C33" s="44">
        <f>'Kosten ohne TD'!C21</f>
        <v>149940712.90000001</v>
      </c>
      <c r="D33" s="44">
        <f>'Kosten ohne TD'!D21</f>
        <v>149940712.90000001</v>
      </c>
      <c r="E33" s="44">
        <f>'Kosten ohne TD'!E21</f>
        <v>149940712.90000001</v>
      </c>
      <c r="F33" s="44">
        <f>'Kosten ohne TD'!F21</f>
        <v>149940712.90000001</v>
      </c>
      <c r="G33" s="44">
        <f>'Kosten ohne TD'!G21</f>
        <v>149940712.90000001</v>
      </c>
      <c r="H33" s="44">
        <f>'Kosten ohne TD'!H21</f>
        <v>149940712.90000001</v>
      </c>
      <c r="I33" s="44">
        <f>'Kosten ohne TD'!I21</f>
        <v>149940712.90000001</v>
      </c>
      <c r="J33" s="44">
        <f>'Kosten ohne TD'!J21</f>
        <v>149940712.90000001</v>
      </c>
      <c r="K33" s="44">
        <f>'Kosten ohne TD'!K21</f>
        <v>149940712.90000001</v>
      </c>
      <c r="L33" s="44">
        <f>'Kosten ohne TD'!L21</f>
        <v>149940712.90000001</v>
      </c>
      <c r="M33" s="44">
        <f>'Kosten ohne TD'!M21</f>
        <v>149940712.90000001</v>
      </c>
      <c r="N33" s="44">
        <f>'Kosten ohne TD'!N21</f>
        <v>149940712.90000001</v>
      </c>
      <c r="O33" s="44">
        <f>'Kosten ohne TD'!O21</f>
        <v>149940762.82300001</v>
      </c>
      <c r="P33" s="44">
        <f>'Kosten ohne TD'!P21</f>
        <v>149940762.82300001</v>
      </c>
      <c r="Q33" s="44">
        <f>'Kosten ohne TD'!Q21</f>
        <v>149940762.82300001</v>
      </c>
      <c r="R33" s="44">
        <f>'Kosten ohne TD'!R21</f>
        <v>149940762.82300001</v>
      </c>
      <c r="S33" s="44">
        <f>'Kosten ohne TD'!S21</f>
        <v>149940762.82300001</v>
      </c>
      <c r="T33" s="44">
        <f>'Kosten ohne TD'!T21</f>
        <v>149940762.82300001</v>
      </c>
      <c r="U33" s="44">
        <f>'Kosten ohne TD'!U21</f>
        <v>149940762.82300001</v>
      </c>
      <c r="V33" s="44">
        <f>'Kosten ohne TD'!V21</f>
        <v>149940762.82300001</v>
      </c>
      <c r="W33" s="44">
        <f>'Kosten ohne TD'!W21</f>
        <v>149940762.82300001</v>
      </c>
      <c r="X33" s="44">
        <f>'Kosten ohne TD'!X21</f>
        <v>149940762.82300001</v>
      </c>
      <c r="Y33" s="44">
        <f>'Kosten ohne TD'!Y21</f>
        <v>149940762.82300001</v>
      </c>
      <c r="Z33" s="44">
        <f>'Kosten ohne TD'!Z21</f>
        <v>149940762.82300001</v>
      </c>
      <c r="AA33" s="3"/>
      <c r="AB33" s="3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</row>
    <row r="34" spans="2:53">
      <c r="B34" s="83" t="s">
        <v>27</v>
      </c>
      <c r="C34" s="44">
        <f>'Kosten mit TD'!C55</f>
        <v>28304.799999999999</v>
      </c>
      <c r="D34" s="44">
        <f>'Kosten mit TD'!D55</f>
        <v>20979.174999999999</v>
      </c>
      <c r="E34" s="44">
        <f>'Kosten mit TD'!E55</f>
        <v>20353.55</v>
      </c>
      <c r="F34" s="44">
        <f>'Kosten mit TD'!F55</f>
        <v>19727.924999999999</v>
      </c>
      <c r="G34" s="44">
        <f>'Kosten mit TD'!G55</f>
        <v>19102.3</v>
      </c>
      <c r="H34" s="44">
        <f>'Kosten mit TD'!H55</f>
        <v>18476.674999999999</v>
      </c>
      <c r="I34" s="44">
        <f>'Kosten mit TD'!I55</f>
        <v>17851.05</v>
      </c>
      <c r="J34" s="44">
        <f>'Kosten mit TD'!J55</f>
        <v>17225.424999999999</v>
      </c>
      <c r="K34" s="44">
        <f>'Kosten mit TD'!K55</f>
        <v>16599.8</v>
      </c>
      <c r="L34" s="44">
        <f>'Kosten mit TD'!L55</f>
        <v>15974.175000000001</v>
      </c>
      <c r="M34" s="44">
        <f>'Kosten mit TD'!M55</f>
        <v>15348.550000000001</v>
      </c>
      <c r="N34" s="44">
        <f>'Kosten mit TD'!N55</f>
        <v>14722.925000000001</v>
      </c>
      <c r="O34" s="44">
        <f>'Kosten mit TD'!O55</f>
        <v>14122.261500000001</v>
      </c>
      <c r="P34" s="44">
        <f>'Kosten mit TD'!P55</f>
        <v>13496.636500000001</v>
      </c>
      <c r="Q34" s="44">
        <f>'Kosten mit TD'!Q55</f>
        <v>12871.011500000001</v>
      </c>
      <c r="R34" s="44">
        <f>'Kosten mit TD'!R55</f>
        <v>12245.386500000001</v>
      </c>
      <c r="S34" s="44">
        <f>'Kosten mit TD'!S55</f>
        <v>11619.761500000001</v>
      </c>
      <c r="T34" s="44">
        <f>'Kosten mit TD'!T55</f>
        <v>10994.136500000001</v>
      </c>
      <c r="U34" s="44">
        <f>'Kosten mit TD'!U55</f>
        <v>10368.511500000001</v>
      </c>
      <c r="V34" s="44">
        <f>'Kosten mit TD'!V55</f>
        <v>9742.8865000000005</v>
      </c>
      <c r="W34" s="44">
        <f>'Kosten mit TD'!W55</f>
        <v>9117.2615000000005</v>
      </c>
      <c r="X34" s="44">
        <f>'Kosten mit TD'!X55</f>
        <v>8491.6365000000005</v>
      </c>
      <c r="Y34" s="44">
        <f>'Kosten mit TD'!Y55</f>
        <v>7866.0115000000005</v>
      </c>
      <c r="Z34" s="44">
        <f>'Kosten mit TD'!Z55</f>
        <v>7240.3865000000005</v>
      </c>
      <c r="AA34" s="3"/>
      <c r="AB34" s="3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</row>
    <row r="35" spans="2:53">
      <c r="B35" s="7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3"/>
      <c r="AB35" s="3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</row>
    <row r="36" spans="2:53">
      <c r="B36" s="82" t="s">
        <v>66</v>
      </c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3"/>
      <c r="AB36" s="3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</row>
    <row r="37" spans="2:53">
      <c r="B37" s="7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3"/>
      <c r="AB37" s="3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</row>
    <row r="38" spans="2:53" ht="15" thickBot="1">
      <c r="B38" s="83" t="s">
        <v>35</v>
      </c>
      <c r="C38" s="56">
        <f t="shared" ref="C38:Z38" si="3">C33-C34</f>
        <v>149912408.09999999</v>
      </c>
      <c r="D38" s="56">
        <f>D33-D34</f>
        <v>149919733.72499999</v>
      </c>
      <c r="E38" s="56">
        <f t="shared" si="3"/>
        <v>149920359.34999999</v>
      </c>
      <c r="F38" s="56">
        <f t="shared" si="3"/>
        <v>149920984.97499999</v>
      </c>
      <c r="G38" s="56">
        <f t="shared" si="3"/>
        <v>149921610.59999999</v>
      </c>
      <c r="H38" s="56">
        <f t="shared" si="3"/>
        <v>149922236.22499999</v>
      </c>
      <c r="I38" s="56">
        <f t="shared" si="3"/>
        <v>149922861.84999999</v>
      </c>
      <c r="J38" s="56">
        <f t="shared" si="3"/>
        <v>149923487.47499999</v>
      </c>
      <c r="K38" s="56">
        <f t="shared" si="3"/>
        <v>149924113.09999999</v>
      </c>
      <c r="L38" s="56">
        <f t="shared" si="3"/>
        <v>149924738.72499999</v>
      </c>
      <c r="M38" s="56">
        <f t="shared" si="3"/>
        <v>149925364.34999999</v>
      </c>
      <c r="N38" s="56">
        <f t="shared" si="3"/>
        <v>149925989.97499999</v>
      </c>
      <c r="O38" s="56">
        <f t="shared" si="3"/>
        <v>149926640.56150001</v>
      </c>
      <c r="P38" s="56">
        <f t="shared" si="3"/>
        <v>149927266.18650001</v>
      </c>
      <c r="Q38" s="56">
        <f t="shared" si="3"/>
        <v>149927891.81150001</v>
      </c>
      <c r="R38" s="56">
        <f t="shared" si="3"/>
        <v>149928517.43650001</v>
      </c>
      <c r="S38" s="56">
        <f t="shared" si="3"/>
        <v>149929143.06150001</v>
      </c>
      <c r="T38" s="56">
        <f t="shared" si="3"/>
        <v>149929768.68650001</v>
      </c>
      <c r="U38" s="56">
        <f t="shared" si="3"/>
        <v>149930394.31150001</v>
      </c>
      <c r="V38" s="56">
        <f t="shared" si="3"/>
        <v>149931019.93650001</v>
      </c>
      <c r="W38" s="56">
        <f t="shared" si="3"/>
        <v>149931645.56150001</v>
      </c>
      <c r="X38" s="56">
        <f t="shared" si="3"/>
        <v>149932271.18650001</v>
      </c>
      <c r="Y38" s="56">
        <f t="shared" si="3"/>
        <v>149932896.81150001</v>
      </c>
      <c r="Z38" s="56">
        <f t="shared" si="3"/>
        <v>149933522.43650001</v>
      </c>
      <c r="AA38" s="3"/>
      <c r="AB38" s="3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</row>
    <row r="39" spans="2:53">
      <c r="B39" s="83" t="s">
        <v>29</v>
      </c>
      <c r="C39" s="44">
        <f>SUM(C33:N33) - SUM(C34:N34)</f>
        <v>1799063888.4500005</v>
      </c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3"/>
      <c r="AB39" s="3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</row>
    <row r="40" spans="2:53">
      <c r="B40" s="83" t="s">
        <v>30</v>
      </c>
      <c r="C40" s="44">
        <f>SUM(O33:Z33) - SUM(O34:Z34)</f>
        <v>1799160977.9879997</v>
      </c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3"/>
      <c r="AB40" s="3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</row>
    <row r="41" spans="2:53">
      <c r="B41" s="83" t="s">
        <v>36</v>
      </c>
      <c r="C41" s="70">
        <f>SUM(C39:C40)</f>
        <v>3598224866.4380002</v>
      </c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3"/>
      <c r="AB41" s="3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</row>
    <row r="42" spans="2:53">
      <c r="B42" s="7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3"/>
      <c r="AB42" s="3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</row>
    <row r="43" spans="2:53">
      <c r="B43" s="82" t="s">
        <v>67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</row>
    <row r="44" spans="2:53">
      <c r="B44" s="7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</row>
    <row r="45" spans="2:53">
      <c r="B45" s="83" t="s">
        <v>37</v>
      </c>
      <c r="C45" s="80">
        <f>C41/KostenTD_24m_Abo_mit_Kameraleasing</f>
        <v>10197.829168167789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</row>
    <row r="46" spans="2:53">
      <c r="B46" s="38" t="s">
        <v>38</v>
      </c>
      <c r="C46" s="80">
        <f>C39/KostenTD_1Jahr_Abo_mit_Kameraleasing</f>
        <v>8007.7140544189233</v>
      </c>
    </row>
    <row r="47" spans="2:53">
      <c r="B47" s="38" t="s">
        <v>34</v>
      </c>
      <c r="C47" s="80">
        <f>C40/KostenTD_2Jahr_Abo_mit_Kameraleasing</f>
        <v>14036.657019204735</v>
      </c>
    </row>
    <row r="48" spans="2:53">
      <c r="B48" s="38"/>
      <c r="C48" s="80"/>
    </row>
    <row r="50" spans="2:53">
      <c r="B50" s="22" t="s">
        <v>59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</row>
    <row r="51" spans="2:53"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</row>
    <row r="52" spans="2:53" ht="15" thickBot="1">
      <c r="C52" s="40">
        <v>1</v>
      </c>
      <c r="D52" s="40">
        <f>C52+1</f>
        <v>2</v>
      </c>
      <c r="E52" s="40">
        <f t="shared" ref="E52:Z52" si="4">D52+1</f>
        <v>3</v>
      </c>
      <c r="F52" s="40">
        <f t="shared" si="4"/>
        <v>4</v>
      </c>
      <c r="G52" s="40">
        <f t="shared" si="4"/>
        <v>5</v>
      </c>
      <c r="H52" s="40">
        <f t="shared" si="4"/>
        <v>6</v>
      </c>
      <c r="I52" s="40">
        <f t="shared" si="4"/>
        <v>7</v>
      </c>
      <c r="J52" s="40">
        <f t="shared" si="4"/>
        <v>8</v>
      </c>
      <c r="K52" s="40">
        <f t="shared" si="4"/>
        <v>9</v>
      </c>
      <c r="L52" s="40">
        <f t="shared" si="4"/>
        <v>10</v>
      </c>
      <c r="M52" s="40">
        <f t="shared" si="4"/>
        <v>11</v>
      </c>
      <c r="N52" s="40">
        <f t="shared" si="4"/>
        <v>12</v>
      </c>
      <c r="O52" s="40">
        <f t="shared" si="4"/>
        <v>13</v>
      </c>
      <c r="P52" s="40">
        <f t="shared" si="4"/>
        <v>14</v>
      </c>
      <c r="Q52" s="40">
        <f t="shared" si="4"/>
        <v>15</v>
      </c>
      <c r="R52" s="40">
        <f t="shared" si="4"/>
        <v>16</v>
      </c>
      <c r="S52" s="40">
        <f t="shared" si="4"/>
        <v>17</v>
      </c>
      <c r="T52" s="40">
        <f t="shared" si="4"/>
        <v>18</v>
      </c>
      <c r="U52" s="40">
        <f t="shared" si="4"/>
        <v>19</v>
      </c>
      <c r="V52" s="40">
        <f t="shared" si="4"/>
        <v>20</v>
      </c>
      <c r="W52" s="40">
        <f t="shared" si="4"/>
        <v>21</v>
      </c>
      <c r="X52" s="40">
        <f t="shared" si="4"/>
        <v>22</v>
      </c>
      <c r="Y52" s="40">
        <f t="shared" si="4"/>
        <v>23</v>
      </c>
      <c r="Z52" s="40">
        <f t="shared" si="4"/>
        <v>24</v>
      </c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</row>
    <row r="53" spans="2:53"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</row>
    <row r="54" spans="2:53">
      <c r="B54" s="4" t="s">
        <v>65</v>
      </c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</row>
    <row r="55" spans="2:53"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</row>
    <row r="56" spans="2:53">
      <c r="B56" s="38" t="s">
        <v>26</v>
      </c>
      <c r="C56" s="44">
        <f>'Kosten ohne TD'!C21</f>
        <v>149940712.90000001</v>
      </c>
      <c r="D56" s="44">
        <f>'Kosten ohne TD'!D21</f>
        <v>149940712.90000001</v>
      </c>
      <c r="E56" s="44">
        <f>'Kosten ohne TD'!E21</f>
        <v>149940712.90000001</v>
      </c>
      <c r="F56" s="44">
        <f>'Kosten ohne TD'!F21</f>
        <v>149940712.90000001</v>
      </c>
      <c r="G56" s="44">
        <f>'Kosten ohne TD'!G21</f>
        <v>149940712.90000001</v>
      </c>
      <c r="H56" s="44">
        <f>'Kosten ohne TD'!H21</f>
        <v>149940712.90000001</v>
      </c>
      <c r="I56" s="44">
        <f>'Kosten ohne TD'!I21</f>
        <v>149940712.90000001</v>
      </c>
      <c r="J56" s="44">
        <f>'Kosten ohne TD'!J21</f>
        <v>149940712.90000001</v>
      </c>
      <c r="K56" s="44">
        <f>'Kosten ohne TD'!K21</f>
        <v>149940712.90000001</v>
      </c>
      <c r="L56" s="44">
        <f>'Kosten ohne TD'!L21</f>
        <v>149940712.90000001</v>
      </c>
      <c r="M56" s="44">
        <f>'Kosten ohne TD'!M21</f>
        <v>149940712.90000001</v>
      </c>
      <c r="N56" s="44">
        <f>'Kosten ohne TD'!N21</f>
        <v>149940712.90000001</v>
      </c>
      <c r="O56" s="44">
        <f>'Kosten ohne TD'!O21</f>
        <v>149940762.82300001</v>
      </c>
      <c r="P56" s="44">
        <f>'Kosten ohne TD'!P21</f>
        <v>149940762.82300001</v>
      </c>
      <c r="Q56" s="44">
        <f>'Kosten ohne TD'!Q21</f>
        <v>149940762.82300001</v>
      </c>
      <c r="R56" s="44">
        <f>'Kosten ohne TD'!R21</f>
        <v>149940762.82300001</v>
      </c>
      <c r="S56" s="44">
        <f>'Kosten ohne TD'!S21</f>
        <v>149940762.82300001</v>
      </c>
      <c r="T56" s="44">
        <f>'Kosten ohne TD'!T21</f>
        <v>149940762.82300001</v>
      </c>
      <c r="U56" s="44">
        <f>'Kosten ohne TD'!U21</f>
        <v>149940762.82300001</v>
      </c>
      <c r="V56" s="44">
        <f>'Kosten ohne TD'!V21</f>
        <v>149940762.82300001</v>
      </c>
      <c r="W56" s="44">
        <f>'Kosten ohne TD'!W21</f>
        <v>149940762.82300001</v>
      </c>
      <c r="X56" s="44">
        <f>'Kosten ohne TD'!X21</f>
        <v>149940762.82300001</v>
      </c>
      <c r="Y56" s="44">
        <f>'Kosten ohne TD'!Y21</f>
        <v>149940762.82300001</v>
      </c>
      <c r="Z56" s="44">
        <f>'Kosten ohne TD'!Z21</f>
        <v>149940762.82300001</v>
      </c>
      <c r="AA56" s="12"/>
      <c r="AB56" s="12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</row>
    <row r="57" spans="2:53">
      <c r="B57" s="38" t="s">
        <v>39</v>
      </c>
      <c r="C57" s="44">
        <f>'Kosten mit TD'!C83</f>
        <v>228457.45</v>
      </c>
      <c r="D57" s="44">
        <f>'Kosten mit TD'!D83</f>
        <v>6.4499999999999984</v>
      </c>
      <c r="E57" s="44">
        <f>'Kosten mit TD'!E83</f>
        <v>6.4499999999999984</v>
      </c>
      <c r="F57" s="44">
        <f>'Kosten mit TD'!F83</f>
        <v>6.4499999999999984</v>
      </c>
      <c r="G57" s="44">
        <f>'Kosten mit TD'!G83</f>
        <v>6.4499999999999984</v>
      </c>
      <c r="H57" s="44">
        <f>'Kosten mit TD'!H83</f>
        <v>6.4499999999999984</v>
      </c>
      <c r="I57" s="44">
        <f>'Kosten mit TD'!I83</f>
        <v>6.4499999999999984</v>
      </c>
      <c r="J57" s="44">
        <f>'Kosten mit TD'!J83</f>
        <v>6.4499999999999984</v>
      </c>
      <c r="K57" s="44">
        <f>'Kosten mit TD'!K83</f>
        <v>6.4499999999999984</v>
      </c>
      <c r="L57" s="44">
        <f>'Kosten mit TD'!L83</f>
        <v>6.4499999999999984</v>
      </c>
      <c r="M57" s="44">
        <f>'Kosten mit TD'!M83</f>
        <v>6.4499999999999984</v>
      </c>
      <c r="N57" s="44">
        <f>'Kosten mit TD'!N83</f>
        <v>6.4499999999999984</v>
      </c>
      <c r="O57" s="44">
        <f>'Kosten mit TD'!O83</f>
        <v>31.411499999999993</v>
      </c>
      <c r="P57" s="44">
        <f>'Kosten mit TD'!P83</f>
        <v>31.411499999999993</v>
      </c>
      <c r="Q57" s="44">
        <f>'Kosten mit TD'!Q83</f>
        <v>31.411499999999993</v>
      </c>
      <c r="R57" s="44">
        <f>'Kosten mit TD'!R83</f>
        <v>31.411499999999993</v>
      </c>
      <c r="S57" s="44">
        <f>'Kosten mit TD'!S83</f>
        <v>31.411499999999993</v>
      </c>
      <c r="T57" s="44">
        <f>'Kosten mit TD'!T83</f>
        <v>31.411499999999993</v>
      </c>
      <c r="U57" s="44">
        <f>'Kosten mit TD'!U83</f>
        <v>31.411499999999993</v>
      </c>
      <c r="V57" s="44">
        <f>'Kosten mit TD'!V83</f>
        <v>31.411499999999993</v>
      </c>
      <c r="W57" s="44">
        <f>'Kosten mit TD'!W83</f>
        <v>31.411499999999993</v>
      </c>
      <c r="X57" s="44">
        <f>'Kosten mit TD'!X83</f>
        <v>31.411499999999993</v>
      </c>
      <c r="Y57" s="44">
        <f>'Kosten mit TD'!Y83</f>
        <v>31.411499999999993</v>
      </c>
      <c r="Z57" s="44">
        <f>'Kosten mit TD'!Z83</f>
        <v>31.411499999999993</v>
      </c>
      <c r="AA57" s="12"/>
      <c r="AB57" s="12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</row>
    <row r="58" spans="2:53"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12"/>
      <c r="AB58" s="12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</row>
    <row r="59" spans="2:53">
      <c r="B59" s="4" t="s">
        <v>66</v>
      </c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12"/>
      <c r="AB59" s="12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</row>
    <row r="60" spans="2:53"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12"/>
      <c r="AB60" s="12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</row>
    <row r="61" spans="2:53" ht="15" thickBot="1">
      <c r="B61" s="38" t="s">
        <v>35</v>
      </c>
      <c r="C61" s="56">
        <f t="shared" ref="C61:Z61" si="5">C56-C57</f>
        <v>149712255.45000002</v>
      </c>
      <c r="D61" s="56">
        <f t="shared" si="5"/>
        <v>149940706.45000002</v>
      </c>
      <c r="E61" s="56">
        <f t="shared" si="5"/>
        <v>149940706.45000002</v>
      </c>
      <c r="F61" s="56">
        <f t="shared" si="5"/>
        <v>149940706.45000002</v>
      </c>
      <c r="G61" s="56">
        <f t="shared" si="5"/>
        <v>149940706.45000002</v>
      </c>
      <c r="H61" s="56">
        <f t="shared" si="5"/>
        <v>149940706.45000002</v>
      </c>
      <c r="I61" s="56">
        <f t="shared" si="5"/>
        <v>149940706.45000002</v>
      </c>
      <c r="J61" s="56">
        <f t="shared" si="5"/>
        <v>149940706.45000002</v>
      </c>
      <c r="K61" s="56">
        <f t="shared" si="5"/>
        <v>149940706.45000002</v>
      </c>
      <c r="L61" s="56">
        <f t="shared" si="5"/>
        <v>149940706.45000002</v>
      </c>
      <c r="M61" s="56">
        <f t="shared" si="5"/>
        <v>149940706.45000002</v>
      </c>
      <c r="N61" s="56">
        <f t="shared" si="5"/>
        <v>149940706.45000002</v>
      </c>
      <c r="O61" s="56">
        <f t="shared" si="5"/>
        <v>149940731.41150001</v>
      </c>
      <c r="P61" s="56">
        <f t="shared" si="5"/>
        <v>149940731.41150001</v>
      </c>
      <c r="Q61" s="56">
        <f t="shared" si="5"/>
        <v>149940731.41150001</v>
      </c>
      <c r="R61" s="56">
        <f t="shared" si="5"/>
        <v>149940731.41150001</v>
      </c>
      <c r="S61" s="56">
        <f t="shared" si="5"/>
        <v>149940731.41150001</v>
      </c>
      <c r="T61" s="56">
        <f t="shared" si="5"/>
        <v>149940731.41150001</v>
      </c>
      <c r="U61" s="56">
        <f t="shared" si="5"/>
        <v>149940731.41150001</v>
      </c>
      <c r="V61" s="56">
        <f t="shared" si="5"/>
        <v>149940731.41150001</v>
      </c>
      <c r="W61" s="56">
        <f t="shared" si="5"/>
        <v>149940731.41150001</v>
      </c>
      <c r="X61" s="56">
        <f t="shared" si="5"/>
        <v>149940731.41150001</v>
      </c>
      <c r="Y61" s="56">
        <f t="shared" si="5"/>
        <v>149940731.41150001</v>
      </c>
      <c r="Z61" s="56">
        <f t="shared" si="5"/>
        <v>149940731.41150001</v>
      </c>
      <c r="AA61" s="12"/>
      <c r="AB61" s="12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</row>
    <row r="62" spans="2:53">
      <c r="B62" s="38" t="s">
        <v>29</v>
      </c>
      <c r="C62" s="44">
        <f>SUM(C56:N56) - SUM(C57:N57)</f>
        <v>1799060026.4000003</v>
      </c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</row>
    <row r="63" spans="2:53">
      <c r="B63" s="38" t="s">
        <v>30</v>
      </c>
      <c r="C63" s="44">
        <f>SUM(O56:Z56) - SUM(O57:Z57)</f>
        <v>1799288776.9379997</v>
      </c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2:53">
      <c r="B64" s="38" t="s">
        <v>36</v>
      </c>
      <c r="C64" s="70">
        <f>SUM(C62:C63)</f>
        <v>3598348803.3380003</v>
      </c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2:53">
      <c r="B65" s="38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2:53">
      <c r="B66" s="42" t="s">
        <v>67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2:53">
      <c r="B67" s="38"/>
      <c r="C67" s="12"/>
    </row>
    <row r="68" spans="2:53">
      <c r="B68" s="38" t="s">
        <v>37</v>
      </c>
      <c r="C68" s="80">
        <f>C64/KostenTD_24m_Einmalzahlung_mit_Kameraeinkauf</f>
        <v>15719.811668778113</v>
      </c>
    </row>
    <row r="69" spans="2:53">
      <c r="B69" s="38" t="s">
        <v>38</v>
      </c>
      <c r="C69" s="80">
        <f>C62/KostenTD_1Jahr_Einmalzahlung_mit_Kameraeinkauf</f>
        <v>7872.3695890751396</v>
      </c>
    </row>
    <row r="70" spans="2:53">
      <c r="B70" s="38" t="s">
        <v>34</v>
      </c>
      <c r="C70" s="80">
        <f>C63/KostenTD_2Jahr_Einmalzahlung_mit_Kameraeinkauf</f>
        <v>4773434.2967225378</v>
      </c>
    </row>
    <row r="72" spans="2:53">
      <c r="B72" s="22" t="s">
        <v>89</v>
      </c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</row>
    <row r="73" spans="2:53">
      <c r="B73" s="20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</row>
    <row r="74" spans="2:53" ht="15" thickBot="1">
      <c r="B74" s="20"/>
      <c r="C74" s="40">
        <v>1</v>
      </c>
      <c r="D74" s="40">
        <f>C74+1</f>
        <v>2</v>
      </c>
      <c r="E74" s="40">
        <f t="shared" ref="E74:Z74" si="6">D74+1</f>
        <v>3</v>
      </c>
      <c r="F74" s="40">
        <f t="shared" si="6"/>
        <v>4</v>
      </c>
      <c r="G74" s="40">
        <f t="shared" si="6"/>
        <v>5</v>
      </c>
      <c r="H74" s="40">
        <f t="shared" si="6"/>
        <v>6</v>
      </c>
      <c r="I74" s="40">
        <f t="shared" si="6"/>
        <v>7</v>
      </c>
      <c r="J74" s="40">
        <f t="shared" si="6"/>
        <v>8</v>
      </c>
      <c r="K74" s="40">
        <f t="shared" si="6"/>
        <v>9</v>
      </c>
      <c r="L74" s="40">
        <f t="shared" si="6"/>
        <v>10</v>
      </c>
      <c r="M74" s="40">
        <f t="shared" si="6"/>
        <v>11</v>
      </c>
      <c r="N74" s="40">
        <f t="shared" si="6"/>
        <v>12</v>
      </c>
      <c r="O74" s="40">
        <f t="shared" si="6"/>
        <v>13</v>
      </c>
      <c r="P74" s="40">
        <f t="shared" si="6"/>
        <v>14</v>
      </c>
      <c r="Q74" s="40">
        <f t="shared" si="6"/>
        <v>15</v>
      </c>
      <c r="R74" s="40">
        <f t="shared" si="6"/>
        <v>16</v>
      </c>
      <c r="S74" s="40">
        <f t="shared" si="6"/>
        <v>17</v>
      </c>
      <c r="T74" s="40">
        <f t="shared" si="6"/>
        <v>18</v>
      </c>
      <c r="U74" s="40">
        <f t="shared" si="6"/>
        <v>19</v>
      </c>
      <c r="V74" s="40">
        <f t="shared" si="6"/>
        <v>20</v>
      </c>
      <c r="W74" s="40">
        <f t="shared" si="6"/>
        <v>21</v>
      </c>
      <c r="X74" s="40">
        <f t="shared" si="6"/>
        <v>22</v>
      </c>
      <c r="Y74" s="40">
        <f t="shared" si="6"/>
        <v>23</v>
      </c>
      <c r="Z74" s="40">
        <f t="shared" si="6"/>
        <v>24</v>
      </c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</row>
    <row r="75" spans="2:53">
      <c r="B75" s="20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</row>
    <row r="76" spans="2:53">
      <c r="B76" s="84" t="s">
        <v>65</v>
      </c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</row>
    <row r="77" spans="2:53">
      <c r="B77" s="20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</row>
    <row r="78" spans="2:53">
      <c r="B78" s="38" t="s">
        <v>26</v>
      </c>
      <c r="C78" s="44">
        <f>'Kosten ohne TD'!C21</f>
        <v>149940712.90000001</v>
      </c>
      <c r="D78" s="44">
        <f>'Kosten ohne TD'!D21</f>
        <v>149940712.90000001</v>
      </c>
      <c r="E78" s="44">
        <f>'Kosten ohne TD'!E21</f>
        <v>149940712.90000001</v>
      </c>
      <c r="F78" s="44">
        <f>'Kosten ohne TD'!F21</f>
        <v>149940712.90000001</v>
      </c>
      <c r="G78" s="44">
        <f>'Kosten ohne TD'!G21</f>
        <v>149940712.90000001</v>
      </c>
      <c r="H78" s="44">
        <f>'Kosten ohne TD'!H21</f>
        <v>149940712.90000001</v>
      </c>
      <c r="I78" s="44">
        <f>'Kosten ohne TD'!I21</f>
        <v>149940712.90000001</v>
      </c>
      <c r="J78" s="44">
        <f>'Kosten ohne TD'!J21</f>
        <v>149940712.90000001</v>
      </c>
      <c r="K78" s="44">
        <f>'Kosten ohne TD'!K21</f>
        <v>149940712.90000001</v>
      </c>
      <c r="L78" s="44">
        <f>'Kosten ohne TD'!L21</f>
        <v>149940712.90000001</v>
      </c>
      <c r="M78" s="44">
        <f>'Kosten ohne TD'!M21</f>
        <v>149940712.90000001</v>
      </c>
      <c r="N78" s="44">
        <f>'Kosten ohne TD'!N21</f>
        <v>149940712.90000001</v>
      </c>
      <c r="O78" s="44">
        <f>'Kosten ohne TD'!O21</f>
        <v>149940762.82300001</v>
      </c>
      <c r="P78" s="44">
        <f>'Kosten ohne TD'!P21</f>
        <v>149940762.82300001</v>
      </c>
      <c r="Q78" s="44">
        <f>'Kosten ohne TD'!Q21</f>
        <v>149940762.82300001</v>
      </c>
      <c r="R78" s="44">
        <f>'Kosten ohne TD'!R21</f>
        <v>149940762.82300001</v>
      </c>
      <c r="S78" s="44">
        <f>'Kosten ohne TD'!S21</f>
        <v>149940762.82300001</v>
      </c>
      <c r="T78" s="44">
        <f>'Kosten ohne TD'!T21</f>
        <v>149940762.82300001</v>
      </c>
      <c r="U78" s="44">
        <f>'Kosten ohne TD'!U21</f>
        <v>149940762.82300001</v>
      </c>
      <c r="V78" s="44">
        <f>'Kosten ohne TD'!V21</f>
        <v>149940762.82300001</v>
      </c>
      <c r="W78" s="44">
        <f>'Kosten ohne TD'!W21</f>
        <v>149940762.82300001</v>
      </c>
      <c r="X78" s="44">
        <f>'Kosten ohne TD'!X21</f>
        <v>149940762.82300001</v>
      </c>
      <c r="Y78" s="44">
        <f>'Kosten ohne TD'!Y21</f>
        <v>149940762.82300001</v>
      </c>
      <c r="Z78" s="44">
        <f>'Kosten ohne TD'!Z21</f>
        <v>149940762.82300001</v>
      </c>
      <c r="AA78" s="12"/>
      <c r="AB78" s="12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</row>
    <row r="79" spans="2:53">
      <c r="B79" s="38" t="s">
        <v>27</v>
      </c>
      <c r="C79" s="44">
        <f>'Kosten mit TD'!C113</f>
        <v>132784.95000000001</v>
      </c>
      <c r="D79" s="44">
        <f>'Kosten mit TD'!D113</f>
        <v>19208.325000000001</v>
      </c>
      <c r="E79" s="44">
        <f>'Kosten mit TD'!E113</f>
        <v>18582.7</v>
      </c>
      <c r="F79" s="44">
        <f>'Kosten mit TD'!F113</f>
        <v>17957.075000000001</v>
      </c>
      <c r="G79" s="44">
        <f>'Kosten mit TD'!G113</f>
        <v>17331.45</v>
      </c>
      <c r="H79" s="44">
        <f>'Kosten mit TD'!H113</f>
        <v>16705.825000000001</v>
      </c>
      <c r="I79" s="44">
        <f>'Kosten mit TD'!I113</f>
        <v>16080.2</v>
      </c>
      <c r="J79" s="44">
        <f>'Kosten mit TD'!J113</f>
        <v>15454.575000000001</v>
      </c>
      <c r="K79" s="44">
        <f>'Kosten mit TD'!K113</f>
        <v>14828.95</v>
      </c>
      <c r="L79" s="44">
        <f>'Kosten mit TD'!L113</f>
        <v>14203.325000000001</v>
      </c>
      <c r="M79" s="44">
        <f>'Kosten mit TD'!M113</f>
        <v>13577.7</v>
      </c>
      <c r="N79" s="44">
        <f>'Kosten mit TD'!N113</f>
        <v>12952.075000000001</v>
      </c>
      <c r="O79" s="44">
        <f>'Kosten mit TD'!O113</f>
        <v>12351.4115</v>
      </c>
      <c r="P79" s="44">
        <f>'Kosten mit TD'!P113</f>
        <v>11725.7865</v>
      </c>
      <c r="Q79" s="44">
        <f>'Kosten mit TD'!Q113</f>
        <v>11100.1615</v>
      </c>
      <c r="R79" s="44">
        <f>'Kosten mit TD'!R113</f>
        <v>10474.5365</v>
      </c>
      <c r="S79" s="44">
        <f>'Kosten mit TD'!S113</f>
        <v>9848.9115000000002</v>
      </c>
      <c r="T79" s="44">
        <f>'Kosten mit TD'!T113</f>
        <v>9223.2865000000002</v>
      </c>
      <c r="U79" s="44">
        <f>'Kosten mit TD'!U113</f>
        <v>8597.6615000000002</v>
      </c>
      <c r="V79" s="44">
        <f>'Kosten mit TD'!V113</f>
        <v>7972.0365000000002</v>
      </c>
      <c r="W79" s="44">
        <f>'Kosten mit TD'!W113</f>
        <v>7346.4115000000002</v>
      </c>
      <c r="X79" s="44">
        <f>'Kosten mit TD'!X113</f>
        <v>6720.7865000000002</v>
      </c>
      <c r="Y79" s="44">
        <f>'Kosten mit TD'!Y113</f>
        <v>6095.1615000000002</v>
      </c>
      <c r="Z79" s="44">
        <f>'Kosten mit TD'!Z113</f>
        <v>5469.5365000000002</v>
      </c>
      <c r="AA79" s="12"/>
      <c r="AB79" s="12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</row>
    <row r="80" spans="2:53"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12"/>
      <c r="AB80" s="12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</row>
    <row r="81" spans="2:53">
      <c r="B81" s="4" t="s">
        <v>66</v>
      </c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12"/>
      <c r="AB81" s="12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</row>
    <row r="82" spans="2:53"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12"/>
      <c r="AB82" s="12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</row>
    <row r="83" spans="2:53" ht="15" thickBot="1">
      <c r="B83" s="38" t="s">
        <v>35</v>
      </c>
      <c r="C83" s="56">
        <f t="shared" ref="C83:Z83" si="7">C78-C79</f>
        <v>149807927.95000002</v>
      </c>
      <c r="D83" s="56">
        <f t="shared" si="7"/>
        <v>149921504.57500002</v>
      </c>
      <c r="E83" s="56">
        <f t="shared" si="7"/>
        <v>149922130.20000002</v>
      </c>
      <c r="F83" s="56">
        <f t="shared" si="7"/>
        <v>149922755.82500002</v>
      </c>
      <c r="G83" s="56">
        <f t="shared" si="7"/>
        <v>149923381.45000002</v>
      </c>
      <c r="H83" s="56">
        <f t="shared" si="7"/>
        <v>149924007.07500002</v>
      </c>
      <c r="I83" s="56">
        <f t="shared" si="7"/>
        <v>149924632.70000002</v>
      </c>
      <c r="J83" s="56">
        <f t="shared" si="7"/>
        <v>149925258.32500002</v>
      </c>
      <c r="K83" s="56">
        <f t="shared" si="7"/>
        <v>149925883.95000002</v>
      </c>
      <c r="L83" s="56">
        <f t="shared" si="7"/>
        <v>149926509.57500002</v>
      </c>
      <c r="M83" s="56">
        <f t="shared" si="7"/>
        <v>149927135.20000002</v>
      </c>
      <c r="N83" s="56">
        <f t="shared" si="7"/>
        <v>149927760.82500002</v>
      </c>
      <c r="O83" s="56">
        <f t="shared" si="7"/>
        <v>149928411.41150001</v>
      </c>
      <c r="P83" s="56">
        <f t="shared" si="7"/>
        <v>149929037.03650001</v>
      </c>
      <c r="Q83" s="56">
        <f t="shared" si="7"/>
        <v>149929662.66150001</v>
      </c>
      <c r="R83" s="56">
        <f t="shared" si="7"/>
        <v>149930288.28650001</v>
      </c>
      <c r="S83" s="56">
        <f t="shared" si="7"/>
        <v>149930913.91150001</v>
      </c>
      <c r="T83" s="56">
        <f t="shared" si="7"/>
        <v>149931539.53650001</v>
      </c>
      <c r="U83" s="56">
        <f t="shared" si="7"/>
        <v>149932165.16150001</v>
      </c>
      <c r="V83" s="56">
        <f t="shared" si="7"/>
        <v>149932790.78650001</v>
      </c>
      <c r="W83" s="56">
        <f t="shared" si="7"/>
        <v>149933416.41150001</v>
      </c>
      <c r="X83" s="56">
        <f t="shared" si="7"/>
        <v>149934042.03650001</v>
      </c>
      <c r="Y83" s="56">
        <f t="shared" si="7"/>
        <v>149934667.66150001</v>
      </c>
      <c r="Z83" s="56">
        <f t="shared" si="7"/>
        <v>149935293.28650001</v>
      </c>
      <c r="AA83" s="12"/>
      <c r="AB83" s="12"/>
    </row>
    <row r="84" spans="2:53">
      <c r="B84" s="38" t="s">
        <v>29</v>
      </c>
      <c r="C84" s="44">
        <f>SUM(C78:N78)-SUM(C79:N79)</f>
        <v>1798978887.6500003</v>
      </c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spans="2:53">
      <c r="B85" s="38" t="s">
        <v>30</v>
      </c>
      <c r="C85" s="44">
        <f>SUM(O78:Z78) - SUM(O79:Z79)</f>
        <v>1799182228.1879997</v>
      </c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spans="2:53">
      <c r="B86" s="38" t="s">
        <v>36</v>
      </c>
      <c r="C86" s="70">
        <f>SUM(C84:C85)</f>
        <v>3598161115.8380003</v>
      </c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spans="2:53">
      <c r="B87" s="38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2:53">
      <c r="B88" s="42" t="s">
        <v>67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2:53">
      <c r="B89" s="38"/>
      <c r="C89" s="12"/>
    </row>
    <row r="90" spans="2:53">
      <c r="B90" s="38" t="s">
        <v>37</v>
      </c>
      <c r="C90" s="80">
        <f>C86/KostenTD_24m_Einmalzahlung_mit_Kameraleasing</f>
        <v>8637.1170784217829</v>
      </c>
    </row>
    <row r="91" spans="2:53">
      <c r="B91" s="38" t="s">
        <v>38</v>
      </c>
      <c r="C91" s="80">
        <f>C84/KostenTD_1Jahr_Einmalzahlung_mit_Kameraleasing</f>
        <v>5809.3953060568401</v>
      </c>
    </row>
    <row r="92" spans="2:53">
      <c r="B92" s="38" t="s">
        <v>34</v>
      </c>
      <c r="C92" s="80">
        <f>C85/KostenTD_24m_Einmalzahlung_mit_Kameraleasing</f>
        <v>4318.8025910997512</v>
      </c>
    </row>
    <row r="93" spans="2:53" ht="22.5" customHeight="1">
      <c r="B93" s="38"/>
      <c r="C93" s="80"/>
    </row>
    <row r="94" spans="2:53" ht="17.7" customHeight="1">
      <c r="B94" s="75" t="s">
        <v>73</v>
      </c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</row>
    <row r="95" spans="2:53" ht="16.95" customHeight="1">
      <c r="B95" s="14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2:53" ht="19.2" customHeight="1" thickBot="1">
      <c r="B96" s="14" t="s">
        <v>68</v>
      </c>
      <c r="C96" s="106">
        <v>1</v>
      </c>
      <c r="D96" s="106">
        <f>C96+1</f>
        <v>2</v>
      </c>
      <c r="E96" s="106">
        <f t="shared" ref="E96:Z96" si="8">D96+1</f>
        <v>3</v>
      </c>
      <c r="F96" s="106">
        <f t="shared" si="8"/>
        <v>4</v>
      </c>
      <c r="G96" s="106">
        <f t="shared" si="8"/>
        <v>5</v>
      </c>
      <c r="H96" s="106">
        <f t="shared" si="8"/>
        <v>6</v>
      </c>
      <c r="I96" s="106">
        <f t="shared" si="8"/>
        <v>7</v>
      </c>
      <c r="J96" s="106">
        <f t="shared" si="8"/>
        <v>8</v>
      </c>
      <c r="K96" s="106">
        <f t="shared" si="8"/>
        <v>9</v>
      </c>
      <c r="L96" s="106">
        <f t="shared" si="8"/>
        <v>10</v>
      </c>
      <c r="M96" s="106">
        <f t="shared" si="8"/>
        <v>11</v>
      </c>
      <c r="N96" s="106">
        <f t="shared" si="8"/>
        <v>12</v>
      </c>
      <c r="O96" s="106">
        <f t="shared" si="8"/>
        <v>13</v>
      </c>
      <c r="P96" s="106">
        <f t="shared" si="8"/>
        <v>14</v>
      </c>
      <c r="Q96" s="106">
        <f t="shared" si="8"/>
        <v>15</v>
      </c>
      <c r="R96" s="106">
        <f t="shared" si="8"/>
        <v>16</v>
      </c>
      <c r="S96" s="106">
        <f t="shared" si="8"/>
        <v>17</v>
      </c>
      <c r="T96" s="106">
        <f t="shared" si="8"/>
        <v>18</v>
      </c>
      <c r="U96" s="106">
        <f t="shared" si="8"/>
        <v>19</v>
      </c>
      <c r="V96" s="106">
        <f t="shared" si="8"/>
        <v>20</v>
      </c>
      <c r="W96" s="106">
        <f t="shared" si="8"/>
        <v>21</v>
      </c>
      <c r="X96" s="106">
        <f t="shared" si="8"/>
        <v>22</v>
      </c>
      <c r="Y96" s="106">
        <f t="shared" si="8"/>
        <v>23</v>
      </c>
      <c r="Z96" s="106">
        <f t="shared" si="8"/>
        <v>24</v>
      </c>
    </row>
    <row r="97" spans="2:26" ht="14.25" customHeight="1">
      <c r="B97" s="14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2:26" ht="22.5" customHeight="1">
      <c r="B98" s="77" t="s">
        <v>65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2:26" ht="22.5" customHeight="1">
      <c r="B99" s="14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2:26" ht="22.5" customHeight="1">
      <c r="B100" s="78" t="s">
        <v>26</v>
      </c>
      <c r="C100" s="45">
        <f>'Kosten ohne TD'!C21</f>
        <v>149940712.90000001</v>
      </c>
      <c r="D100" s="45">
        <f>'Kosten ohne TD'!D21</f>
        <v>149940712.90000001</v>
      </c>
      <c r="E100" s="45">
        <f>'Kosten ohne TD'!E21</f>
        <v>149940712.90000001</v>
      </c>
      <c r="F100" s="45">
        <f>'Kosten ohne TD'!F21</f>
        <v>149940712.90000001</v>
      </c>
      <c r="G100" s="45">
        <f>'Kosten ohne TD'!G21</f>
        <v>149940712.90000001</v>
      </c>
      <c r="H100" s="45">
        <f>'Kosten ohne TD'!H21</f>
        <v>149940712.90000001</v>
      </c>
      <c r="I100" s="45">
        <f>'Kosten ohne TD'!I21</f>
        <v>149940712.90000001</v>
      </c>
      <c r="J100" s="45">
        <f>'Kosten ohne TD'!J21</f>
        <v>149940712.90000001</v>
      </c>
      <c r="K100" s="45">
        <f>'Kosten ohne TD'!K21</f>
        <v>149940712.90000001</v>
      </c>
      <c r="L100" s="45">
        <f>'Kosten ohne TD'!L21</f>
        <v>149940712.90000001</v>
      </c>
      <c r="M100" s="45">
        <f>'Kosten ohne TD'!M21</f>
        <v>149940712.90000001</v>
      </c>
      <c r="N100" s="45">
        <f>'Kosten ohne TD'!N21</f>
        <v>149940712.90000001</v>
      </c>
      <c r="O100" s="45">
        <f>'Kosten ohne TD'!O21</f>
        <v>149940762.82300001</v>
      </c>
      <c r="P100" s="45">
        <f>'Kosten ohne TD'!P21</f>
        <v>149940762.82300001</v>
      </c>
      <c r="Q100" s="45">
        <f>'Kosten ohne TD'!Q21</f>
        <v>149940762.82300001</v>
      </c>
      <c r="R100" s="45">
        <f>'Kosten ohne TD'!R21</f>
        <v>149940762.82300001</v>
      </c>
      <c r="S100" s="45">
        <f>'Kosten ohne TD'!S21</f>
        <v>149940762.82300001</v>
      </c>
      <c r="T100" s="45">
        <f>'Kosten ohne TD'!T21</f>
        <v>149940762.82300001</v>
      </c>
      <c r="U100" s="45">
        <f>'Kosten ohne TD'!U21</f>
        <v>149940762.82300001</v>
      </c>
      <c r="V100" s="45">
        <f>'Kosten ohne TD'!V21</f>
        <v>149940762.82300001</v>
      </c>
      <c r="W100" s="45">
        <f>'Kosten ohne TD'!W21</f>
        <v>149940762.82300001</v>
      </c>
      <c r="X100" s="45">
        <f>'Kosten ohne TD'!X21</f>
        <v>149940762.82300001</v>
      </c>
      <c r="Y100" s="45">
        <f>'Kosten ohne TD'!Y21</f>
        <v>149940762.82300001</v>
      </c>
      <c r="Z100" s="45">
        <f>'Kosten ohne TD'!Z21</f>
        <v>149940762.82300001</v>
      </c>
    </row>
    <row r="101" spans="2:26" ht="22.5" customHeight="1">
      <c r="B101" s="78" t="s">
        <v>27</v>
      </c>
      <c r="C101" s="45">
        <f>'Kosten mit TD'!C140</f>
        <v>8477.2999999999993</v>
      </c>
      <c r="D101" s="45">
        <f>'Kosten mit TD'!D140</f>
        <v>1777.3</v>
      </c>
      <c r="E101" s="45">
        <f>'Kosten mit TD'!E140</f>
        <v>1777.3</v>
      </c>
      <c r="F101" s="45">
        <f>'Kosten mit TD'!F140</f>
        <v>1777.3</v>
      </c>
      <c r="G101" s="45">
        <f>'Kosten mit TD'!G140</f>
        <v>1777.3</v>
      </c>
      <c r="H101" s="45">
        <f>'Kosten mit TD'!H140</f>
        <v>1777.3</v>
      </c>
      <c r="I101" s="45">
        <f>'Kosten mit TD'!I140</f>
        <v>1777.3</v>
      </c>
      <c r="J101" s="45">
        <f>'Kosten mit TD'!J140</f>
        <v>1777.3</v>
      </c>
      <c r="K101" s="45">
        <f>'Kosten mit TD'!K140</f>
        <v>1777.3</v>
      </c>
      <c r="L101" s="45">
        <f>'Kosten mit TD'!L140</f>
        <v>1777.3</v>
      </c>
      <c r="M101" s="45">
        <f>'Kosten mit TD'!M140</f>
        <v>1777.3</v>
      </c>
      <c r="N101" s="45">
        <f>'Kosten mit TD'!N140</f>
        <v>1777.3</v>
      </c>
      <c r="O101" s="45">
        <f>'Kosten mit TD'!O140</f>
        <v>1802.2614999999998</v>
      </c>
      <c r="P101" s="45">
        <f>'Kosten mit TD'!P140</f>
        <v>1802.2614999999998</v>
      </c>
      <c r="Q101" s="45">
        <f>'Kosten mit TD'!Q140</f>
        <v>1802.2614999999998</v>
      </c>
      <c r="R101" s="45">
        <f>'Kosten mit TD'!R140</f>
        <v>1802.2614999999998</v>
      </c>
      <c r="S101" s="45">
        <f>'Kosten mit TD'!S140</f>
        <v>1802.2614999999998</v>
      </c>
      <c r="T101" s="45">
        <f>'Kosten mit TD'!T140</f>
        <v>1802.2614999999998</v>
      </c>
      <c r="U101" s="45">
        <f>'Kosten mit TD'!U140</f>
        <v>1802.2614999999998</v>
      </c>
      <c r="V101" s="45">
        <f>'Kosten mit TD'!V140</f>
        <v>1802.2614999999998</v>
      </c>
      <c r="W101" s="45">
        <f>'Kosten mit TD'!W140</f>
        <v>1802.2614999999998</v>
      </c>
      <c r="X101" s="45">
        <f>'Kosten mit TD'!X140</f>
        <v>1802.2614999999998</v>
      </c>
      <c r="Y101" s="45">
        <f>'Kosten mit TD'!Y140</f>
        <v>1802.2614999999998</v>
      </c>
      <c r="Z101" s="45">
        <f>'Kosten mit TD'!Z140</f>
        <v>1802.2614999999998</v>
      </c>
    </row>
    <row r="102" spans="2:26" ht="22.5" customHeight="1">
      <c r="B102" s="78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spans="2:26" ht="22.5" customHeight="1">
      <c r="B103" s="79" t="s">
        <v>66</v>
      </c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spans="2:26" ht="22.5" customHeight="1">
      <c r="B104" s="78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spans="2:26" ht="22.5" customHeight="1" thickBot="1">
      <c r="B105" s="78" t="s">
        <v>28</v>
      </c>
      <c r="C105" s="114">
        <f t="shared" ref="C105:Z105" si="9">C100-C101</f>
        <v>149932235.59999999</v>
      </c>
      <c r="D105" s="114">
        <f t="shared" si="9"/>
        <v>149938935.59999999</v>
      </c>
      <c r="E105" s="114">
        <f t="shared" si="9"/>
        <v>149938935.59999999</v>
      </c>
      <c r="F105" s="114">
        <f t="shared" si="9"/>
        <v>149938935.59999999</v>
      </c>
      <c r="G105" s="114">
        <f t="shared" si="9"/>
        <v>149938935.59999999</v>
      </c>
      <c r="H105" s="114">
        <f t="shared" si="9"/>
        <v>149938935.59999999</v>
      </c>
      <c r="I105" s="114">
        <f t="shared" si="9"/>
        <v>149938935.59999999</v>
      </c>
      <c r="J105" s="114">
        <f t="shared" si="9"/>
        <v>149938935.59999999</v>
      </c>
      <c r="K105" s="114">
        <f t="shared" si="9"/>
        <v>149938935.59999999</v>
      </c>
      <c r="L105" s="114">
        <f t="shared" si="9"/>
        <v>149938935.59999999</v>
      </c>
      <c r="M105" s="114">
        <f t="shared" si="9"/>
        <v>149938935.59999999</v>
      </c>
      <c r="N105" s="114">
        <f t="shared" si="9"/>
        <v>149938935.59999999</v>
      </c>
      <c r="O105" s="114">
        <f t="shared" si="9"/>
        <v>149938960.56150001</v>
      </c>
      <c r="P105" s="114">
        <f t="shared" si="9"/>
        <v>149938960.56150001</v>
      </c>
      <c r="Q105" s="114">
        <f t="shared" si="9"/>
        <v>149938960.56150001</v>
      </c>
      <c r="R105" s="114">
        <f t="shared" si="9"/>
        <v>149938960.56150001</v>
      </c>
      <c r="S105" s="114">
        <f t="shared" si="9"/>
        <v>149938960.56150001</v>
      </c>
      <c r="T105" s="114">
        <f t="shared" si="9"/>
        <v>149938960.56150001</v>
      </c>
      <c r="U105" s="114">
        <f t="shared" si="9"/>
        <v>149938960.56150001</v>
      </c>
      <c r="V105" s="114">
        <f t="shared" si="9"/>
        <v>149938960.56150001</v>
      </c>
      <c r="W105" s="114">
        <f t="shared" si="9"/>
        <v>149938960.56150001</v>
      </c>
      <c r="X105" s="114">
        <f t="shared" si="9"/>
        <v>149938960.56150001</v>
      </c>
      <c r="Y105" s="114">
        <f t="shared" si="9"/>
        <v>149938960.56150001</v>
      </c>
      <c r="Z105" s="114">
        <f t="shared" si="9"/>
        <v>149938960.56150001</v>
      </c>
    </row>
    <row r="106" spans="2:26" ht="22.5" customHeight="1">
      <c r="B106" s="78" t="s">
        <v>29</v>
      </c>
      <c r="C106" s="45">
        <f>SUM(C100:N100) - SUM(C101:N101)</f>
        <v>1799260527.2000005</v>
      </c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spans="2:26" ht="22.5" customHeight="1">
      <c r="B107" s="78" t="s">
        <v>30</v>
      </c>
      <c r="C107" s="45">
        <f>SUM(O100:Z100) - SUM(O101:Z101)</f>
        <v>1799267526.7379997</v>
      </c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spans="2:26" ht="22.5" customHeight="1">
      <c r="B108" s="78" t="s">
        <v>31</v>
      </c>
      <c r="C108" s="115">
        <f>SUM(C106:C107)</f>
        <v>3598528053.9380002</v>
      </c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spans="2:26" ht="22.5" customHeight="1">
      <c r="B109" s="78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spans="2:26" ht="22.5" customHeight="1">
      <c r="B110" s="79" t="s">
        <v>67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2:26" ht="22.5" customHeight="1">
      <c r="B111" s="78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2:26" ht="22.5" customHeight="1">
      <c r="B112" s="78" t="s">
        <v>32</v>
      </c>
      <c r="C112" s="80">
        <f xml:space="preserve"> C108/KostenTD_24m_Abo_ohne_Kameraeinkauf</f>
        <v>72470.990662321099</v>
      </c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2:54" ht="22.5" customHeight="1">
      <c r="B113" s="38" t="s">
        <v>33</v>
      </c>
      <c r="C113" s="80">
        <f>C106/KostenTD_1Jahr_Abo_ohne_Kameraeinkauf</f>
        <v>64196.025603333896</v>
      </c>
    </row>
    <row r="114" spans="2:54">
      <c r="B114" s="38" t="s">
        <v>34</v>
      </c>
      <c r="C114" s="107">
        <f>C107/KostenTD_2Jahr_Abo_ohne_Kameraeinkauf</f>
        <v>83194.897389474252</v>
      </c>
    </row>
    <row r="115" spans="2:54">
      <c r="B115" s="38"/>
      <c r="C115" s="107"/>
    </row>
    <row r="119" spans="2:54" s="17" customFormat="1" ht="33.6">
      <c r="B119" s="34" t="s">
        <v>40</v>
      </c>
    </row>
    <row r="121" spans="2:54">
      <c r="B121" s="75" t="s">
        <v>56</v>
      </c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11"/>
      <c r="AB121" s="11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</row>
    <row r="122" spans="2:54">
      <c r="B122" s="14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</row>
    <row r="123" spans="2:54" ht="15" thickBot="1">
      <c r="B123" s="14"/>
      <c r="C123" s="106">
        <v>1</v>
      </c>
      <c r="D123" s="106">
        <f>C123+1</f>
        <v>2</v>
      </c>
      <c r="E123" s="106">
        <f t="shared" ref="E123:Z123" si="10">D123+1</f>
        <v>3</v>
      </c>
      <c r="F123" s="106">
        <f t="shared" si="10"/>
        <v>4</v>
      </c>
      <c r="G123" s="106">
        <f t="shared" si="10"/>
        <v>5</v>
      </c>
      <c r="H123" s="106">
        <f t="shared" si="10"/>
        <v>6</v>
      </c>
      <c r="I123" s="106">
        <f t="shared" si="10"/>
        <v>7</v>
      </c>
      <c r="J123" s="106">
        <f t="shared" si="10"/>
        <v>8</v>
      </c>
      <c r="K123" s="106">
        <f t="shared" si="10"/>
        <v>9</v>
      </c>
      <c r="L123" s="106">
        <f t="shared" si="10"/>
        <v>10</v>
      </c>
      <c r="M123" s="106">
        <f t="shared" si="10"/>
        <v>11</v>
      </c>
      <c r="N123" s="106">
        <f t="shared" si="10"/>
        <v>12</v>
      </c>
      <c r="O123" s="106">
        <f t="shared" si="10"/>
        <v>13</v>
      </c>
      <c r="P123" s="106">
        <f t="shared" si="10"/>
        <v>14</v>
      </c>
      <c r="Q123" s="106">
        <f t="shared" si="10"/>
        <v>15</v>
      </c>
      <c r="R123" s="106">
        <f t="shared" si="10"/>
        <v>16</v>
      </c>
      <c r="S123" s="106">
        <f t="shared" si="10"/>
        <v>17</v>
      </c>
      <c r="T123" s="106">
        <f t="shared" si="10"/>
        <v>18</v>
      </c>
      <c r="U123" s="106">
        <f t="shared" si="10"/>
        <v>19</v>
      </c>
      <c r="V123" s="106">
        <f t="shared" si="10"/>
        <v>20</v>
      </c>
      <c r="W123" s="106">
        <f t="shared" si="10"/>
        <v>21</v>
      </c>
      <c r="X123" s="106">
        <f t="shared" si="10"/>
        <v>22</v>
      </c>
      <c r="Y123" s="106">
        <f t="shared" si="10"/>
        <v>23</v>
      </c>
      <c r="Z123" s="106">
        <f t="shared" si="10"/>
        <v>24</v>
      </c>
      <c r="AA123" s="11"/>
      <c r="AB123" s="11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</row>
    <row r="124" spans="2:54">
      <c r="B124" s="14"/>
      <c r="C124" s="108"/>
      <c r="D124" s="108"/>
      <c r="E124" s="108"/>
      <c r="F124" s="108"/>
      <c r="G124" s="108"/>
      <c r="H124" s="108"/>
      <c r="I124" s="108"/>
      <c r="J124" s="108"/>
      <c r="K124" s="108"/>
      <c r="L124" s="108"/>
      <c r="M124" s="108"/>
      <c r="N124" s="108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  <c r="AA124" s="11"/>
      <c r="AB124" s="11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</row>
    <row r="125" spans="2:54">
      <c r="B125" s="77" t="s">
        <v>65</v>
      </c>
      <c r="C125" s="108"/>
      <c r="D125" s="108"/>
      <c r="E125" s="108"/>
      <c r="F125" s="108"/>
      <c r="G125" s="108"/>
      <c r="H125" s="108"/>
      <c r="I125" s="108"/>
      <c r="J125" s="108"/>
      <c r="K125" s="108"/>
      <c r="L125" s="108"/>
      <c r="M125" s="108"/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  <c r="AA125" s="11"/>
      <c r="AB125" s="11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</row>
    <row r="126" spans="2:54">
      <c r="B126" s="1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11"/>
      <c r="AB126" s="11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</row>
    <row r="127" spans="2:54">
      <c r="B127" s="78" t="s">
        <v>41</v>
      </c>
      <c r="C127" s="44">
        <f t="shared" ref="C127:Z127" si="11">Totale_Kosten_ohne_Lohnkosten</f>
        <v>1012.9</v>
      </c>
      <c r="D127" s="44">
        <f t="shared" si="11"/>
        <v>1012.9</v>
      </c>
      <c r="E127" s="44">
        <f t="shared" si="11"/>
        <v>1012.9</v>
      </c>
      <c r="F127" s="44">
        <f t="shared" si="11"/>
        <v>1012.9</v>
      </c>
      <c r="G127" s="44">
        <f t="shared" si="11"/>
        <v>1012.9</v>
      </c>
      <c r="H127" s="44">
        <f t="shared" si="11"/>
        <v>1012.9</v>
      </c>
      <c r="I127" s="44">
        <f t="shared" si="11"/>
        <v>1012.9</v>
      </c>
      <c r="J127" s="44">
        <f t="shared" si="11"/>
        <v>1012.9</v>
      </c>
      <c r="K127" s="44">
        <f t="shared" si="11"/>
        <v>1012.9</v>
      </c>
      <c r="L127" s="44">
        <f t="shared" si="11"/>
        <v>1012.9</v>
      </c>
      <c r="M127" s="44">
        <f t="shared" si="11"/>
        <v>1012.9</v>
      </c>
      <c r="N127" s="44">
        <f t="shared" si="11"/>
        <v>1012.9</v>
      </c>
      <c r="O127" s="44">
        <f t="shared" si="11"/>
        <v>1012.9</v>
      </c>
      <c r="P127" s="44">
        <f t="shared" si="11"/>
        <v>1012.9</v>
      </c>
      <c r="Q127" s="44">
        <f t="shared" si="11"/>
        <v>1012.9</v>
      </c>
      <c r="R127" s="44">
        <f t="shared" si="11"/>
        <v>1012.9</v>
      </c>
      <c r="S127" s="44">
        <f t="shared" si="11"/>
        <v>1012.9</v>
      </c>
      <c r="T127" s="44">
        <f t="shared" si="11"/>
        <v>1012.9</v>
      </c>
      <c r="U127" s="44">
        <f t="shared" si="11"/>
        <v>1012.9</v>
      </c>
      <c r="V127" s="44">
        <f t="shared" si="11"/>
        <v>1012.9</v>
      </c>
      <c r="W127" s="44">
        <f t="shared" si="11"/>
        <v>1012.9</v>
      </c>
      <c r="X127" s="44">
        <f t="shared" si="11"/>
        <v>1012.9</v>
      </c>
      <c r="Y127" s="44">
        <f t="shared" si="11"/>
        <v>1012.9</v>
      </c>
      <c r="Z127" s="44">
        <f t="shared" si="11"/>
        <v>1012.9</v>
      </c>
      <c r="AA127" s="14"/>
      <c r="AB127" s="14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</row>
    <row r="128" spans="2:54">
      <c r="B128" s="78" t="s">
        <v>27</v>
      </c>
      <c r="C128" s="45">
        <f>'Kosten mit TD'!C25</f>
        <v>123977.3</v>
      </c>
      <c r="D128" s="45">
        <f>'Kosten mit TD'!D25</f>
        <v>1777.3</v>
      </c>
      <c r="E128" s="45">
        <f>'Kosten mit TD'!E25</f>
        <v>1777.3</v>
      </c>
      <c r="F128" s="45">
        <f>'Kosten mit TD'!F25</f>
        <v>1777.3</v>
      </c>
      <c r="G128" s="45">
        <f>'Kosten mit TD'!G25</f>
        <v>1777.3</v>
      </c>
      <c r="H128" s="45">
        <f>'Kosten mit TD'!H25</f>
        <v>1777.3</v>
      </c>
      <c r="I128" s="45">
        <f>'Kosten mit TD'!I25</f>
        <v>1777.3</v>
      </c>
      <c r="J128" s="45">
        <f>'Kosten mit TD'!J25</f>
        <v>1777.3</v>
      </c>
      <c r="K128" s="45">
        <f>'Kosten mit TD'!K25</f>
        <v>1777.3</v>
      </c>
      <c r="L128" s="45">
        <f>'Kosten mit TD'!L25</f>
        <v>1777.3</v>
      </c>
      <c r="M128" s="45">
        <f>'Kosten mit TD'!M25</f>
        <v>1777.3</v>
      </c>
      <c r="N128" s="45">
        <f>'Kosten mit TD'!N25</f>
        <v>1777.3</v>
      </c>
      <c r="O128" s="45">
        <f>'Kosten mit TD'!O25</f>
        <v>1802.2614999999998</v>
      </c>
      <c r="P128" s="45">
        <f>'Kosten mit TD'!P25</f>
        <v>1802.2614999999998</v>
      </c>
      <c r="Q128" s="45">
        <f>'Kosten mit TD'!Q25</f>
        <v>1802.2614999999998</v>
      </c>
      <c r="R128" s="45">
        <f>'Kosten mit TD'!R25</f>
        <v>1802.2614999999998</v>
      </c>
      <c r="S128" s="45">
        <f>'Kosten mit TD'!S25</f>
        <v>1802.2614999999998</v>
      </c>
      <c r="T128" s="45">
        <f>'Kosten mit TD'!T25</f>
        <v>1802.2614999999998</v>
      </c>
      <c r="U128" s="45">
        <f>'Kosten mit TD'!U25</f>
        <v>1802.2614999999998</v>
      </c>
      <c r="V128" s="45">
        <f>'Kosten mit TD'!V25</f>
        <v>1802.2614999999998</v>
      </c>
      <c r="W128" s="45">
        <f>'Kosten mit TD'!W25</f>
        <v>1802.2614999999998</v>
      </c>
      <c r="X128" s="45">
        <f>'Kosten mit TD'!X25</f>
        <v>1802.2614999999998</v>
      </c>
      <c r="Y128" s="45">
        <f>'Kosten mit TD'!Y25</f>
        <v>1802.2614999999998</v>
      </c>
      <c r="Z128" s="45">
        <f>'Kosten mit TD'!Z25</f>
        <v>1802.2614999999998</v>
      </c>
      <c r="AA128" s="14"/>
      <c r="AB128" s="14"/>
      <c r="AC128" s="14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</row>
    <row r="129" spans="2:54">
      <c r="B129" s="85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14"/>
      <c r="AB129" s="14"/>
      <c r="AC129" s="14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</row>
    <row r="130" spans="2:54">
      <c r="B130" s="79" t="s">
        <v>66</v>
      </c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14"/>
      <c r="AB130" s="14"/>
      <c r="AC130" s="14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</row>
    <row r="131" spans="2:54">
      <c r="B131" s="78"/>
      <c r="C131" s="45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14"/>
      <c r="AB131" s="14"/>
      <c r="AC131" s="14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</row>
    <row r="132" spans="2:54" ht="15" thickBot="1">
      <c r="B132" s="78" t="s">
        <v>28</v>
      </c>
      <c r="C132" s="114">
        <f t="shared" ref="C132:Z132" si="12">C127-C128</f>
        <v>-122964.40000000001</v>
      </c>
      <c r="D132" s="114">
        <f t="shared" si="12"/>
        <v>-764.4</v>
      </c>
      <c r="E132" s="114">
        <f t="shared" si="12"/>
        <v>-764.4</v>
      </c>
      <c r="F132" s="114">
        <f t="shared" si="12"/>
        <v>-764.4</v>
      </c>
      <c r="G132" s="114">
        <f t="shared" si="12"/>
        <v>-764.4</v>
      </c>
      <c r="H132" s="114">
        <f t="shared" si="12"/>
        <v>-764.4</v>
      </c>
      <c r="I132" s="114">
        <f t="shared" si="12"/>
        <v>-764.4</v>
      </c>
      <c r="J132" s="114">
        <f t="shared" si="12"/>
        <v>-764.4</v>
      </c>
      <c r="K132" s="114">
        <f t="shared" si="12"/>
        <v>-764.4</v>
      </c>
      <c r="L132" s="114">
        <f t="shared" si="12"/>
        <v>-764.4</v>
      </c>
      <c r="M132" s="114">
        <f t="shared" si="12"/>
        <v>-764.4</v>
      </c>
      <c r="N132" s="114">
        <f t="shared" si="12"/>
        <v>-764.4</v>
      </c>
      <c r="O132" s="114">
        <f t="shared" si="12"/>
        <v>-789.36149999999986</v>
      </c>
      <c r="P132" s="114">
        <f t="shared" si="12"/>
        <v>-789.36149999999986</v>
      </c>
      <c r="Q132" s="114">
        <f t="shared" si="12"/>
        <v>-789.36149999999986</v>
      </c>
      <c r="R132" s="114">
        <f t="shared" si="12"/>
        <v>-789.36149999999986</v>
      </c>
      <c r="S132" s="114">
        <f t="shared" si="12"/>
        <v>-789.36149999999986</v>
      </c>
      <c r="T132" s="114">
        <f t="shared" si="12"/>
        <v>-789.36149999999986</v>
      </c>
      <c r="U132" s="114">
        <f t="shared" si="12"/>
        <v>-789.36149999999986</v>
      </c>
      <c r="V132" s="114">
        <f t="shared" si="12"/>
        <v>-789.36149999999986</v>
      </c>
      <c r="W132" s="114">
        <f t="shared" si="12"/>
        <v>-789.36149999999986</v>
      </c>
      <c r="X132" s="114">
        <f t="shared" si="12"/>
        <v>-789.36149999999986</v>
      </c>
      <c r="Y132" s="114">
        <f t="shared" si="12"/>
        <v>-789.36149999999986</v>
      </c>
      <c r="Z132" s="114">
        <f t="shared" si="12"/>
        <v>-789.36149999999986</v>
      </c>
      <c r="AA132" s="14"/>
      <c r="AB132" s="14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</row>
    <row r="133" spans="2:54">
      <c r="B133" s="78" t="s">
        <v>29</v>
      </c>
      <c r="C133" s="45">
        <f>SUM(C127:N127)-SUM(C128:N128)</f>
        <v>-131372.79999999993</v>
      </c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14"/>
      <c r="AB133" s="14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</row>
    <row r="134" spans="2:54">
      <c r="B134" s="78" t="s">
        <v>30</v>
      </c>
      <c r="C134" s="45">
        <f>SUM(O127:Z127)-SUM(O128:Z128)</f>
        <v>-9472.3380000000052</v>
      </c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14"/>
      <c r="AB134" s="14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</row>
    <row r="135" spans="2:54">
      <c r="B135" s="78" t="s">
        <v>31</v>
      </c>
      <c r="C135" s="115">
        <f>SUM(C133:C134)</f>
        <v>-140845.13799999995</v>
      </c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14"/>
      <c r="AB135" s="14"/>
    </row>
    <row r="136" spans="2:54">
      <c r="B136" s="78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14"/>
      <c r="AB136" s="14"/>
    </row>
    <row r="137" spans="2:54">
      <c r="B137" s="79" t="s">
        <v>67</v>
      </c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14"/>
      <c r="AB137" s="14"/>
    </row>
    <row r="138" spans="2:54">
      <c r="B138" s="78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14"/>
      <c r="AB138" s="14"/>
    </row>
    <row r="139" spans="2:54">
      <c r="B139" s="78" t="s">
        <v>32</v>
      </c>
      <c r="C139" s="107">
        <f>C135/KostenTD_24m_Abo_mit_Kameraeinkauf</f>
        <v>-0.85280712927533453</v>
      </c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</row>
    <row r="140" spans="2:54">
      <c r="B140" s="38" t="s">
        <v>38</v>
      </c>
      <c r="C140" s="80">
        <f>C133/KostenTD_1Jahr_Abo_mit_Kameraeinkauf</f>
        <v>-0.9153138490436683</v>
      </c>
    </row>
    <row r="141" spans="2:54">
      <c r="B141" s="38" t="s">
        <v>34</v>
      </c>
      <c r="C141" s="80">
        <f>C134/KostenTD_2Jahr_Abo_mit_Kameraeinkauf</f>
        <v>-0.43798388857554821</v>
      </c>
    </row>
    <row r="143" spans="2:54">
      <c r="B143" s="88" t="s">
        <v>91</v>
      </c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11"/>
      <c r="AB143" s="11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</row>
    <row r="144" spans="2:54">
      <c r="B144" s="12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63"/>
    </row>
    <row r="145" spans="2:53" ht="15" thickBot="1">
      <c r="B145" s="12"/>
      <c r="C145" s="76">
        <v>1</v>
      </c>
      <c r="D145" s="76">
        <f>C145+1</f>
        <v>2</v>
      </c>
      <c r="E145" s="76">
        <f t="shared" ref="E145:Z145" si="13">D145+1</f>
        <v>3</v>
      </c>
      <c r="F145" s="76">
        <f t="shared" si="13"/>
        <v>4</v>
      </c>
      <c r="G145" s="76">
        <f t="shared" si="13"/>
        <v>5</v>
      </c>
      <c r="H145" s="76">
        <f t="shared" si="13"/>
        <v>6</v>
      </c>
      <c r="I145" s="76">
        <f t="shared" si="13"/>
        <v>7</v>
      </c>
      <c r="J145" s="76">
        <f t="shared" si="13"/>
        <v>8</v>
      </c>
      <c r="K145" s="76">
        <f t="shared" si="13"/>
        <v>9</v>
      </c>
      <c r="L145" s="76">
        <f t="shared" si="13"/>
        <v>10</v>
      </c>
      <c r="M145" s="76">
        <f t="shared" si="13"/>
        <v>11</v>
      </c>
      <c r="N145" s="76">
        <f t="shared" si="13"/>
        <v>12</v>
      </c>
      <c r="O145" s="76">
        <f t="shared" si="13"/>
        <v>13</v>
      </c>
      <c r="P145" s="76">
        <f t="shared" si="13"/>
        <v>14</v>
      </c>
      <c r="Q145" s="76">
        <f t="shared" si="13"/>
        <v>15</v>
      </c>
      <c r="R145" s="76">
        <f t="shared" si="13"/>
        <v>16</v>
      </c>
      <c r="S145" s="76">
        <f t="shared" si="13"/>
        <v>17</v>
      </c>
      <c r="T145" s="76">
        <f t="shared" si="13"/>
        <v>18</v>
      </c>
      <c r="U145" s="76">
        <f t="shared" si="13"/>
        <v>19</v>
      </c>
      <c r="V145" s="76">
        <f t="shared" si="13"/>
        <v>20</v>
      </c>
      <c r="W145" s="76">
        <f t="shared" si="13"/>
        <v>21</v>
      </c>
      <c r="X145" s="76">
        <f t="shared" si="13"/>
        <v>22</v>
      </c>
      <c r="Y145" s="76">
        <f t="shared" si="13"/>
        <v>23</v>
      </c>
      <c r="Z145" s="76">
        <f t="shared" si="13"/>
        <v>24</v>
      </c>
      <c r="AA145" s="11"/>
      <c r="AB145" s="11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</row>
    <row r="146" spans="2:53">
      <c r="B146" s="12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</row>
    <row r="147" spans="2:53">
      <c r="B147" s="86" t="s">
        <v>65</v>
      </c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</row>
    <row r="148" spans="2:53">
      <c r="B148" s="87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3"/>
      <c r="BA148" s="63"/>
    </row>
    <row r="149" spans="2:53">
      <c r="B149" s="87" t="s">
        <v>41</v>
      </c>
      <c r="C149" s="44">
        <f t="shared" ref="C149:Z149" si="14">Totale_Kosten_ohne_Lohnkosten</f>
        <v>1012.9</v>
      </c>
      <c r="D149" s="44">
        <f t="shared" si="14"/>
        <v>1012.9</v>
      </c>
      <c r="E149" s="44">
        <f t="shared" si="14"/>
        <v>1012.9</v>
      </c>
      <c r="F149" s="44">
        <f t="shared" si="14"/>
        <v>1012.9</v>
      </c>
      <c r="G149" s="44">
        <f t="shared" si="14"/>
        <v>1012.9</v>
      </c>
      <c r="H149" s="44">
        <f t="shared" si="14"/>
        <v>1012.9</v>
      </c>
      <c r="I149" s="44">
        <f t="shared" si="14"/>
        <v>1012.9</v>
      </c>
      <c r="J149" s="44">
        <f t="shared" si="14"/>
        <v>1012.9</v>
      </c>
      <c r="K149" s="44">
        <f t="shared" si="14"/>
        <v>1012.9</v>
      </c>
      <c r="L149" s="44">
        <f t="shared" si="14"/>
        <v>1012.9</v>
      </c>
      <c r="M149" s="44">
        <f t="shared" si="14"/>
        <v>1012.9</v>
      </c>
      <c r="N149" s="44">
        <f t="shared" si="14"/>
        <v>1012.9</v>
      </c>
      <c r="O149" s="44">
        <f t="shared" si="14"/>
        <v>1012.9</v>
      </c>
      <c r="P149" s="44">
        <f t="shared" si="14"/>
        <v>1012.9</v>
      </c>
      <c r="Q149" s="44">
        <f t="shared" si="14"/>
        <v>1012.9</v>
      </c>
      <c r="R149" s="44">
        <f t="shared" si="14"/>
        <v>1012.9</v>
      </c>
      <c r="S149" s="44">
        <f t="shared" si="14"/>
        <v>1012.9</v>
      </c>
      <c r="T149" s="44">
        <f t="shared" si="14"/>
        <v>1012.9</v>
      </c>
      <c r="U149" s="44">
        <f t="shared" si="14"/>
        <v>1012.9</v>
      </c>
      <c r="V149" s="44">
        <f t="shared" si="14"/>
        <v>1012.9</v>
      </c>
      <c r="W149" s="44">
        <f t="shared" si="14"/>
        <v>1012.9</v>
      </c>
      <c r="X149" s="44">
        <f t="shared" si="14"/>
        <v>1012.9</v>
      </c>
      <c r="Y149" s="44">
        <f t="shared" si="14"/>
        <v>1012.9</v>
      </c>
      <c r="Z149" s="44">
        <f t="shared" si="14"/>
        <v>1012.9</v>
      </c>
      <c r="AA149" s="12"/>
      <c r="AB149" s="12"/>
      <c r="AD149" s="12"/>
      <c r="AE149" s="129"/>
      <c r="AF149" s="129"/>
      <c r="AG149" s="129"/>
      <c r="AH149" s="129"/>
      <c r="AI149" s="129"/>
      <c r="AJ149" s="129"/>
      <c r="AK149" s="129"/>
      <c r="AL149" s="129"/>
      <c r="AM149" s="129"/>
      <c r="AN149" s="129"/>
      <c r="AO149" s="129"/>
      <c r="AP149" s="129"/>
      <c r="AQ149" s="129"/>
      <c r="AR149" s="129"/>
      <c r="AS149" s="129"/>
      <c r="AT149" s="129"/>
      <c r="AU149" s="129"/>
      <c r="AV149" s="129"/>
      <c r="AW149" s="129"/>
      <c r="AX149" s="129"/>
      <c r="AY149" s="129"/>
      <c r="AZ149" s="129"/>
      <c r="BA149" s="129"/>
    </row>
    <row r="150" spans="2:53">
      <c r="B150" s="87" t="s">
        <v>27</v>
      </c>
      <c r="C150" s="44">
        <f>'Kosten mit TD'!C55</f>
        <v>28304.799999999999</v>
      </c>
      <c r="D150" s="44">
        <f>'Kosten mit TD'!D55</f>
        <v>20979.174999999999</v>
      </c>
      <c r="E150" s="44">
        <f>'Kosten mit TD'!E55</f>
        <v>20353.55</v>
      </c>
      <c r="F150" s="44">
        <f>'Kosten mit TD'!F55</f>
        <v>19727.924999999999</v>
      </c>
      <c r="G150" s="44">
        <f>'Kosten mit TD'!G55</f>
        <v>19102.3</v>
      </c>
      <c r="H150" s="44">
        <f>'Kosten mit TD'!H55</f>
        <v>18476.674999999999</v>
      </c>
      <c r="I150" s="44">
        <f>'Kosten mit TD'!I55</f>
        <v>17851.05</v>
      </c>
      <c r="J150" s="44">
        <f>'Kosten mit TD'!J55</f>
        <v>17225.424999999999</v>
      </c>
      <c r="K150" s="44">
        <f>'Kosten mit TD'!K55</f>
        <v>16599.8</v>
      </c>
      <c r="L150" s="44">
        <f>'Kosten mit TD'!L55</f>
        <v>15974.175000000001</v>
      </c>
      <c r="M150" s="44">
        <f>'Kosten mit TD'!M55</f>
        <v>15348.550000000001</v>
      </c>
      <c r="N150" s="44">
        <f>'Kosten mit TD'!N55</f>
        <v>14722.925000000001</v>
      </c>
      <c r="O150" s="44">
        <f>'Kosten mit TD'!O55</f>
        <v>14122.261500000001</v>
      </c>
      <c r="P150" s="44">
        <f>'Kosten mit TD'!P55</f>
        <v>13496.636500000001</v>
      </c>
      <c r="Q150" s="44">
        <f>'Kosten mit TD'!Q55</f>
        <v>12871.011500000001</v>
      </c>
      <c r="R150" s="44">
        <f>'Kosten mit TD'!R55</f>
        <v>12245.386500000001</v>
      </c>
      <c r="S150" s="44">
        <f>'Kosten mit TD'!S55</f>
        <v>11619.761500000001</v>
      </c>
      <c r="T150" s="44">
        <f>'Kosten mit TD'!T55</f>
        <v>10994.136500000001</v>
      </c>
      <c r="U150" s="44">
        <f>'Kosten mit TD'!U55</f>
        <v>10368.511500000001</v>
      </c>
      <c r="V150" s="44">
        <f>'Kosten mit TD'!V55</f>
        <v>9742.8865000000005</v>
      </c>
      <c r="W150" s="44">
        <f>'Kosten mit TD'!W55</f>
        <v>9117.2615000000005</v>
      </c>
      <c r="X150" s="44">
        <f>'Kosten mit TD'!X55</f>
        <v>8491.6365000000005</v>
      </c>
      <c r="Y150" s="44">
        <f>'Kosten mit TD'!Y55</f>
        <v>7866.0115000000005</v>
      </c>
      <c r="Z150" s="44">
        <f>'Kosten mit TD'!Z55</f>
        <v>7240.3865000000005</v>
      </c>
      <c r="AA150" s="12"/>
      <c r="AB150" s="12"/>
      <c r="AC150" s="12"/>
      <c r="AD150" s="12"/>
      <c r="AE150" s="129"/>
      <c r="AF150" s="129"/>
      <c r="AG150" s="129"/>
      <c r="AH150" s="129"/>
      <c r="AI150" s="129"/>
      <c r="AJ150" s="129"/>
      <c r="AK150" s="129"/>
      <c r="AL150" s="129"/>
      <c r="AM150" s="129"/>
      <c r="AN150" s="129"/>
      <c r="AO150" s="129"/>
      <c r="AP150" s="129"/>
      <c r="AQ150" s="129"/>
      <c r="AR150" s="129"/>
      <c r="AS150" s="129"/>
      <c r="AT150" s="129"/>
      <c r="AU150" s="129"/>
      <c r="AV150" s="129"/>
      <c r="AW150" s="129"/>
      <c r="AX150" s="129"/>
      <c r="AY150" s="129"/>
      <c r="AZ150" s="129"/>
      <c r="BA150" s="129"/>
    </row>
    <row r="151" spans="2:53">
      <c r="B151" s="87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12"/>
      <c r="AB151" s="12"/>
      <c r="AC151" s="12"/>
      <c r="AD151" s="12"/>
      <c r="AE151" s="129"/>
      <c r="AF151" s="129"/>
      <c r="AG151" s="129"/>
      <c r="AH151" s="129"/>
      <c r="AI151" s="129"/>
      <c r="AJ151" s="129"/>
      <c r="AK151" s="129"/>
      <c r="AL151" s="129"/>
      <c r="AM151" s="129"/>
      <c r="AN151" s="129"/>
      <c r="AO151" s="129"/>
      <c r="AP151" s="129"/>
      <c r="AQ151" s="129"/>
      <c r="AR151" s="129"/>
      <c r="AS151" s="129"/>
      <c r="AT151" s="129"/>
      <c r="AU151" s="129"/>
      <c r="AV151" s="129"/>
      <c r="AW151" s="129"/>
      <c r="AX151" s="129"/>
      <c r="AY151" s="129"/>
      <c r="AZ151" s="129"/>
      <c r="BA151" s="129"/>
    </row>
    <row r="152" spans="2:53">
      <c r="B152" s="86" t="s">
        <v>66</v>
      </c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12"/>
      <c r="AB152" s="12"/>
      <c r="AC152" s="12"/>
      <c r="AD152" s="12"/>
      <c r="AE152" s="129"/>
      <c r="AF152" s="129"/>
      <c r="AG152" s="129"/>
      <c r="AH152" s="129"/>
      <c r="AI152" s="129"/>
      <c r="AJ152" s="129"/>
      <c r="AK152" s="129"/>
      <c r="AL152" s="129"/>
      <c r="AM152" s="129"/>
      <c r="AN152" s="129"/>
      <c r="AO152" s="129"/>
      <c r="AP152" s="129"/>
      <c r="AQ152" s="129"/>
      <c r="AR152" s="129"/>
      <c r="AS152" s="129"/>
      <c r="AT152" s="129"/>
      <c r="AU152" s="129"/>
      <c r="AV152" s="129"/>
      <c r="AW152" s="129"/>
      <c r="AX152" s="129"/>
      <c r="AY152" s="129"/>
      <c r="AZ152" s="129"/>
      <c r="BA152" s="129"/>
    </row>
    <row r="153" spans="2:53">
      <c r="B153" s="12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12"/>
      <c r="AB153" s="12"/>
      <c r="AC153" s="12"/>
      <c r="AD153" s="12"/>
      <c r="AE153" s="129"/>
      <c r="AF153" s="129"/>
      <c r="AG153" s="129"/>
      <c r="AH153" s="129"/>
      <c r="AI153" s="129"/>
      <c r="AJ153" s="129"/>
      <c r="AK153" s="129"/>
      <c r="AL153" s="129"/>
      <c r="AM153" s="129"/>
      <c r="AN153" s="129"/>
      <c r="AO153" s="129"/>
      <c r="AP153" s="129"/>
      <c r="AQ153" s="129"/>
      <c r="AR153" s="129"/>
      <c r="AS153" s="129"/>
      <c r="AT153" s="129"/>
      <c r="AU153" s="129"/>
      <c r="AV153" s="129"/>
      <c r="AW153" s="129"/>
      <c r="AX153" s="129"/>
      <c r="AY153" s="129"/>
      <c r="AZ153" s="129"/>
      <c r="BA153" s="129"/>
    </row>
    <row r="154" spans="2:53" ht="15" thickBot="1">
      <c r="B154" s="87" t="s">
        <v>35</v>
      </c>
      <c r="C154" s="56">
        <f>C149-C150</f>
        <v>-27291.899999999998</v>
      </c>
      <c r="D154" s="56">
        <f t="shared" ref="D154:Z154" si="15">D149-D150</f>
        <v>-19966.274999999998</v>
      </c>
      <c r="E154" s="56">
        <f t="shared" si="15"/>
        <v>-19340.649999999998</v>
      </c>
      <c r="F154" s="56">
        <f t="shared" si="15"/>
        <v>-18715.024999999998</v>
      </c>
      <c r="G154" s="56">
        <f t="shared" si="15"/>
        <v>-18089.399999999998</v>
      </c>
      <c r="H154" s="56">
        <f t="shared" si="15"/>
        <v>-17463.774999999998</v>
      </c>
      <c r="I154" s="56">
        <f t="shared" si="15"/>
        <v>-16838.149999999998</v>
      </c>
      <c r="J154" s="56">
        <f t="shared" si="15"/>
        <v>-16212.525</v>
      </c>
      <c r="K154" s="56">
        <f t="shared" si="15"/>
        <v>-15586.9</v>
      </c>
      <c r="L154" s="56">
        <f t="shared" si="15"/>
        <v>-14961.275000000001</v>
      </c>
      <c r="M154" s="56">
        <f t="shared" si="15"/>
        <v>-14335.650000000001</v>
      </c>
      <c r="N154" s="56">
        <f t="shared" si="15"/>
        <v>-13710.025000000001</v>
      </c>
      <c r="O154" s="56">
        <f t="shared" si="15"/>
        <v>-13109.361500000001</v>
      </c>
      <c r="P154" s="56">
        <f t="shared" si="15"/>
        <v>-12483.736500000001</v>
      </c>
      <c r="Q154" s="56">
        <f t="shared" si="15"/>
        <v>-11858.111500000001</v>
      </c>
      <c r="R154" s="56">
        <f t="shared" si="15"/>
        <v>-11232.486500000001</v>
      </c>
      <c r="S154" s="56">
        <f t="shared" si="15"/>
        <v>-10606.861500000001</v>
      </c>
      <c r="T154" s="56">
        <f t="shared" si="15"/>
        <v>-9981.2365000000009</v>
      </c>
      <c r="U154" s="56">
        <f t="shared" si="15"/>
        <v>-9355.6115000000009</v>
      </c>
      <c r="V154" s="56">
        <f t="shared" si="15"/>
        <v>-8729.9865000000009</v>
      </c>
      <c r="W154" s="56">
        <f t="shared" si="15"/>
        <v>-8104.3615000000009</v>
      </c>
      <c r="X154" s="56">
        <f t="shared" si="15"/>
        <v>-7478.7365000000009</v>
      </c>
      <c r="Y154" s="56">
        <f t="shared" si="15"/>
        <v>-6853.1115000000009</v>
      </c>
      <c r="Z154" s="56">
        <f t="shared" si="15"/>
        <v>-6227.4865000000009</v>
      </c>
      <c r="AA154" s="12"/>
      <c r="AB154" s="12"/>
    </row>
    <row r="155" spans="2:53">
      <c r="B155" s="87" t="s">
        <v>29</v>
      </c>
      <c r="C155" s="44">
        <f>SUM(C149:N149)-SUM(C150:N150)</f>
        <v>-212511.54999999996</v>
      </c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12"/>
      <c r="AB155" s="12"/>
    </row>
    <row r="156" spans="2:53">
      <c r="B156" s="87" t="s">
        <v>30</v>
      </c>
      <c r="C156" s="44">
        <f>SUM(O149:Z149)-SUM(O150:Z150)</f>
        <v>-116021.08799999997</v>
      </c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12"/>
      <c r="AB156" s="12"/>
    </row>
    <row r="157" spans="2:53">
      <c r="B157" s="87" t="s">
        <v>36</v>
      </c>
      <c r="C157" s="70">
        <f>SUM(C155:C156)</f>
        <v>-328532.63799999992</v>
      </c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12"/>
      <c r="AB157" s="12"/>
    </row>
    <row r="158" spans="2:53">
      <c r="B158" s="12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12"/>
      <c r="AB158" s="12"/>
    </row>
    <row r="159" spans="2:53">
      <c r="B159" s="86" t="s">
        <v>67</v>
      </c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</row>
    <row r="160" spans="2:53"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</row>
    <row r="161" spans="1:53">
      <c r="B161" s="87" t="s">
        <v>37</v>
      </c>
      <c r="C161" s="80">
        <f>C157/KostenTD_24m_Abo_mit_Kameraleasing</f>
        <v>-0.93110348653893305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</row>
    <row r="162" spans="1:53">
      <c r="B162" s="38" t="s">
        <v>38</v>
      </c>
      <c r="C162" s="80">
        <f>C155/KostenTD_1Jahr_Abo_mit_Kameraleasing</f>
        <v>-0.94589844006456691</v>
      </c>
    </row>
    <row r="163" spans="1:53">
      <c r="B163" s="38" t="s">
        <v>34</v>
      </c>
      <c r="C163" s="80">
        <f>C156/KostenTD_2Jahr_Abo_mit_Kameraleasing</f>
        <v>-0.90517093199307497</v>
      </c>
    </row>
    <row r="165" spans="1:53">
      <c r="B165" s="22" t="s">
        <v>59</v>
      </c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3"/>
      <c r="AU165" s="63"/>
      <c r="AV165" s="63"/>
      <c r="AW165" s="63"/>
      <c r="AX165" s="63"/>
      <c r="AY165" s="63"/>
      <c r="AZ165" s="63"/>
      <c r="BA165" s="63"/>
    </row>
    <row r="166" spans="1:53">
      <c r="B166" s="20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  <c r="AO166" s="63"/>
      <c r="AP166" s="63"/>
      <c r="AQ166" s="63"/>
      <c r="AR166" s="63"/>
      <c r="AS166" s="63"/>
      <c r="AT166" s="63"/>
      <c r="AU166" s="63"/>
      <c r="AV166" s="63"/>
      <c r="AW166" s="63"/>
      <c r="AX166" s="63"/>
      <c r="AY166" s="63"/>
      <c r="AZ166" s="63"/>
      <c r="BA166" s="63"/>
    </row>
    <row r="167" spans="1:53" ht="15" thickBot="1">
      <c r="B167" s="20"/>
      <c r="C167" s="40">
        <v>1</v>
      </c>
      <c r="D167" s="40">
        <f>C167+1</f>
        <v>2</v>
      </c>
      <c r="E167" s="40">
        <f t="shared" ref="E167:Z167" si="16">D167+1</f>
        <v>3</v>
      </c>
      <c r="F167" s="40">
        <f t="shared" si="16"/>
        <v>4</v>
      </c>
      <c r="G167" s="40">
        <f t="shared" si="16"/>
        <v>5</v>
      </c>
      <c r="H167" s="40">
        <f t="shared" si="16"/>
        <v>6</v>
      </c>
      <c r="I167" s="40">
        <f t="shared" si="16"/>
        <v>7</v>
      </c>
      <c r="J167" s="40">
        <f t="shared" si="16"/>
        <v>8</v>
      </c>
      <c r="K167" s="40">
        <f t="shared" si="16"/>
        <v>9</v>
      </c>
      <c r="L167" s="40">
        <f t="shared" si="16"/>
        <v>10</v>
      </c>
      <c r="M167" s="40">
        <f t="shared" si="16"/>
        <v>11</v>
      </c>
      <c r="N167" s="40">
        <f t="shared" si="16"/>
        <v>12</v>
      </c>
      <c r="O167" s="40">
        <f t="shared" si="16"/>
        <v>13</v>
      </c>
      <c r="P167" s="40">
        <f t="shared" si="16"/>
        <v>14</v>
      </c>
      <c r="Q167" s="40">
        <f t="shared" si="16"/>
        <v>15</v>
      </c>
      <c r="R167" s="40">
        <f t="shared" si="16"/>
        <v>16</v>
      </c>
      <c r="S167" s="40">
        <f t="shared" si="16"/>
        <v>17</v>
      </c>
      <c r="T167" s="40">
        <f t="shared" si="16"/>
        <v>18</v>
      </c>
      <c r="U167" s="40">
        <f t="shared" si="16"/>
        <v>19</v>
      </c>
      <c r="V167" s="40">
        <f t="shared" si="16"/>
        <v>20</v>
      </c>
      <c r="W167" s="40">
        <f t="shared" si="16"/>
        <v>21</v>
      </c>
      <c r="X167" s="40">
        <f t="shared" si="16"/>
        <v>22</v>
      </c>
      <c r="Y167" s="40">
        <f t="shared" si="16"/>
        <v>23</v>
      </c>
      <c r="Z167" s="40">
        <f t="shared" si="16"/>
        <v>24</v>
      </c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  <c r="AO167" s="63"/>
      <c r="AP167" s="63"/>
      <c r="AQ167" s="63"/>
      <c r="AR167" s="63"/>
      <c r="AS167" s="63"/>
      <c r="AT167" s="63"/>
      <c r="AU167" s="63"/>
      <c r="AV167" s="63"/>
      <c r="AW167" s="63"/>
      <c r="AX167" s="63"/>
      <c r="AY167" s="63"/>
      <c r="AZ167" s="63"/>
      <c r="BA167" s="63"/>
    </row>
    <row r="168" spans="1:53">
      <c r="B168" s="20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/>
      <c r="AO168" s="63"/>
      <c r="AP168" s="63"/>
      <c r="AQ168" s="63"/>
      <c r="AR168" s="63"/>
      <c r="AS168" s="63"/>
      <c r="AT168" s="63"/>
      <c r="AU168" s="63"/>
      <c r="AV168" s="63"/>
      <c r="AW168" s="63"/>
      <c r="AX168" s="63"/>
      <c r="AY168" s="63"/>
      <c r="AZ168" s="63"/>
      <c r="BA168" s="63"/>
    </row>
    <row r="169" spans="1:53">
      <c r="B169" s="84" t="s">
        <v>65</v>
      </c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3"/>
      <c r="AP169" s="63"/>
      <c r="AQ169" s="63"/>
      <c r="AR169" s="63"/>
      <c r="AS169" s="63"/>
      <c r="AT169" s="63"/>
      <c r="AU169" s="63"/>
      <c r="AV169" s="63"/>
      <c r="AW169" s="63"/>
      <c r="AX169" s="63"/>
      <c r="AY169" s="63"/>
      <c r="AZ169" s="63"/>
      <c r="BA169" s="63"/>
    </row>
    <row r="170" spans="1:53">
      <c r="B170" s="20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  <c r="AO170" s="63"/>
      <c r="AP170" s="63"/>
      <c r="AQ170" s="63"/>
      <c r="AR170" s="63"/>
      <c r="AS170" s="63"/>
      <c r="AT170" s="63"/>
      <c r="AU170" s="63"/>
      <c r="AV170" s="63"/>
      <c r="AW170" s="63"/>
      <c r="AX170" s="63"/>
      <c r="AY170" s="63"/>
      <c r="AZ170" s="63"/>
      <c r="BA170" s="63"/>
    </row>
    <row r="171" spans="1:53">
      <c r="B171" s="38" t="s">
        <v>26</v>
      </c>
      <c r="C171" s="90">
        <f>Totale_Kosten_ohne_Lohnkosten</f>
        <v>1012.9</v>
      </c>
      <c r="D171" s="90">
        <f t="shared" ref="D171:Z171" si="17">Totale_Kosten_ohne_Lohnkosten</f>
        <v>1012.9</v>
      </c>
      <c r="E171" s="90">
        <f t="shared" si="17"/>
        <v>1012.9</v>
      </c>
      <c r="F171" s="90">
        <f t="shared" si="17"/>
        <v>1012.9</v>
      </c>
      <c r="G171" s="90">
        <f t="shared" si="17"/>
        <v>1012.9</v>
      </c>
      <c r="H171" s="90">
        <f t="shared" si="17"/>
        <v>1012.9</v>
      </c>
      <c r="I171" s="90">
        <f t="shared" si="17"/>
        <v>1012.9</v>
      </c>
      <c r="J171" s="90">
        <f t="shared" si="17"/>
        <v>1012.9</v>
      </c>
      <c r="K171" s="90">
        <f t="shared" si="17"/>
        <v>1012.9</v>
      </c>
      <c r="L171" s="90">
        <f t="shared" si="17"/>
        <v>1012.9</v>
      </c>
      <c r="M171" s="90">
        <f t="shared" si="17"/>
        <v>1012.9</v>
      </c>
      <c r="N171" s="90">
        <f t="shared" si="17"/>
        <v>1012.9</v>
      </c>
      <c r="O171" s="90">
        <f t="shared" si="17"/>
        <v>1012.9</v>
      </c>
      <c r="P171" s="90">
        <f t="shared" si="17"/>
        <v>1012.9</v>
      </c>
      <c r="Q171" s="90">
        <f t="shared" si="17"/>
        <v>1012.9</v>
      </c>
      <c r="R171" s="90">
        <f t="shared" si="17"/>
        <v>1012.9</v>
      </c>
      <c r="S171" s="90">
        <f t="shared" si="17"/>
        <v>1012.9</v>
      </c>
      <c r="T171" s="90">
        <f t="shared" si="17"/>
        <v>1012.9</v>
      </c>
      <c r="U171" s="90">
        <f t="shared" si="17"/>
        <v>1012.9</v>
      </c>
      <c r="V171" s="90">
        <f t="shared" si="17"/>
        <v>1012.9</v>
      </c>
      <c r="W171" s="90">
        <f t="shared" si="17"/>
        <v>1012.9</v>
      </c>
      <c r="X171" s="90">
        <f t="shared" si="17"/>
        <v>1012.9</v>
      </c>
      <c r="Y171" s="90">
        <f t="shared" si="17"/>
        <v>1012.9</v>
      </c>
      <c r="Z171" s="90">
        <f t="shared" si="17"/>
        <v>1012.9</v>
      </c>
      <c r="AA171" s="12"/>
      <c r="AB171" s="12"/>
      <c r="AD171" s="12"/>
      <c r="AE171" s="129"/>
      <c r="AF171" s="129"/>
      <c r="AG171" s="129"/>
      <c r="AH171" s="129"/>
      <c r="AI171" s="129"/>
      <c r="AJ171" s="129"/>
      <c r="AK171" s="129"/>
      <c r="AL171" s="129"/>
      <c r="AM171" s="129"/>
      <c r="AN171" s="129"/>
      <c r="AO171" s="129"/>
      <c r="AP171" s="129"/>
      <c r="AQ171" s="129"/>
      <c r="AR171" s="129"/>
      <c r="AS171" s="129"/>
      <c r="AT171" s="129"/>
      <c r="AU171" s="129"/>
      <c r="AV171" s="129"/>
      <c r="AW171" s="129"/>
      <c r="AX171" s="129"/>
      <c r="AY171" s="129"/>
      <c r="AZ171" s="129"/>
      <c r="BA171" s="129"/>
    </row>
    <row r="172" spans="1:53">
      <c r="B172" s="38" t="s">
        <v>39</v>
      </c>
      <c r="C172" s="90">
        <f>'Kosten mit TD'!C83</f>
        <v>228457.45</v>
      </c>
      <c r="D172" s="90">
        <f>'Kosten mit TD'!D83</f>
        <v>6.4499999999999984</v>
      </c>
      <c r="E172" s="90">
        <f>'Kosten mit TD'!E83</f>
        <v>6.4499999999999984</v>
      </c>
      <c r="F172" s="90">
        <f>'Kosten mit TD'!F83</f>
        <v>6.4499999999999984</v>
      </c>
      <c r="G172" s="90">
        <f>'Kosten mit TD'!G83</f>
        <v>6.4499999999999984</v>
      </c>
      <c r="H172" s="90">
        <f>'Kosten mit TD'!H83</f>
        <v>6.4499999999999984</v>
      </c>
      <c r="I172" s="90">
        <f>'Kosten mit TD'!I83</f>
        <v>6.4499999999999984</v>
      </c>
      <c r="J172" s="90">
        <f>'Kosten mit TD'!J83</f>
        <v>6.4499999999999984</v>
      </c>
      <c r="K172" s="90">
        <f>'Kosten mit TD'!K83</f>
        <v>6.4499999999999984</v>
      </c>
      <c r="L172" s="90">
        <f>'Kosten mit TD'!L83</f>
        <v>6.4499999999999984</v>
      </c>
      <c r="M172" s="90">
        <f>'Kosten mit TD'!M83</f>
        <v>6.4499999999999984</v>
      </c>
      <c r="N172" s="90">
        <f>'Kosten mit TD'!N83</f>
        <v>6.4499999999999984</v>
      </c>
      <c r="O172" s="90">
        <f>'Kosten mit TD'!O83</f>
        <v>31.411499999999993</v>
      </c>
      <c r="P172" s="90">
        <f>'Kosten mit TD'!P83</f>
        <v>31.411499999999993</v>
      </c>
      <c r="Q172" s="90">
        <f>'Kosten mit TD'!Q83</f>
        <v>31.411499999999993</v>
      </c>
      <c r="R172" s="90">
        <f>'Kosten mit TD'!R83</f>
        <v>31.411499999999993</v>
      </c>
      <c r="S172" s="90">
        <f>'Kosten mit TD'!S83</f>
        <v>31.411499999999993</v>
      </c>
      <c r="T172" s="90">
        <f>'Kosten mit TD'!T83</f>
        <v>31.411499999999993</v>
      </c>
      <c r="U172" s="90">
        <f>'Kosten mit TD'!U83</f>
        <v>31.411499999999993</v>
      </c>
      <c r="V172" s="90">
        <f>'Kosten mit TD'!V83</f>
        <v>31.411499999999993</v>
      </c>
      <c r="W172" s="90">
        <f>'Kosten mit TD'!W83</f>
        <v>31.411499999999993</v>
      </c>
      <c r="X172" s="90">
        <f>'Kosten mit TD'!X83</f>
        <v>31.411499999999993</v>
      </c>
      <c r="Y172" s="90">
        <f>'Kosten mit TD'!Y83</f>
        <v>31.411499999999993</v>
      </c>
      <c r="Z172" s="90">
        <f>'Kosten mit TD'!Z83</f>
        <v>31.411499999999993</v>
      </c>
      <c r="AA172" s="12"/>
      <c r="AB172" s="12"/>
      <c r="AD172" s="12"/>
      <c r="AE172" s="129"/>
      <c r="AF172" s="129"/>
      <c r="AG172" s="129"/>
      <c r="AH172" s="129"/>
      <c r="AI172" s="129"/>
      <c r="AJ172" s="129"/>
      <c r="AK172" s="129"/>
      <c r="AL172" s="129"/>
      <c r="AM172" s="129"/>
      <c r="AN172" s="129"/>
      <c r="AO172" s="129"/>
      <c r="AP172" s="129"/>
      <c r="AQ172" s="129"/>
      <c r="AR172" s="129"/>
      <c r="AS172" s="129"/>
      <c r="AT172" s="129"/>
      <c r="AU172" s="129"/>
      <c r="AV172" s="129"/>
      <c r="AW172" s="129"/>
      <c r="AX172" s="129"/>
      <c r="AY172" s="129"/>
      <c r="AZ172" s="129"/>
      <c r="BA172" s="129"/>
    </row>
    <row r="173" spans="1:53">
      <c r="B173" s="38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  <c r="AA173" s="12"/>
      <c r="AB173" s="12"/>
      <c r="AD173" s="12"/>
      <c r="AE173" s="129"/>
      <c r="AF173" s="129"/>
      <c r="AG173" s="129"/>
      <c r="AH173" s="129"/>
      <c r="AI173" s="129"/>
      <c r="AJ173" s="129"/>
      <c r="AK173" s="129"/>
      <c r="AL173" s="129"/>
      <c r="AM173" s="129"/>
      <c r="AN173" s="129"/>
      <c r="AO173" s="129"/>
      <c r="AP173" s="129"/>
      <c r="AQ173" s="129"/>
      <c r="AR173" s="129"/>
      <c r="AS173" s="129"/>
      <c r="AT173" s="129"/>
      <c r="AU173" s="129"/>
      <c r="AV173" s="129"/>
      <c r="AW173" s="129"/>
      <c r="AX173" s="129"/>
      <c r="AY173" s="129"/>
      <c r="AZ173" s="129"/>
      <c r="BA173" s="129"/>
    </row>
    <row r="174" spans="1:53">
      <c r="B174" s="89" t="s">
        <v>66</v>
      </c>
      <c r="C174" s="90"/>
      <c r="D174" s="90"/>
      <c r="E174" s="90"/>
      <c r="F174" s="90"/>
      <c r="G174" s="90"/>
      <c r="H174" s="90"/>
      <c r="I174" s="90"/>
      <c r="J174" s="90"/>
      <c r="K174" s="90"/>
      <c r="L174" s="90"/>
      <c r="M174" s="90"/>
      <c r="N174" s="90"/>
      <c r="O174" s="90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  <c r="AA174" s="12"/>
      <c r="AB174" s="12"/>
      <c r="AD174" s="12"/>
      <c r="AE174" s="129"/>
      <c r="AF174" s="129"/>
      <c r="AG174" s="129"/>
      <c r="AH174" s="129"/>
      <c r="AI174" s="129"/>
      <c r="AJ174" s="129"/>
      <c r="AK174" s="129"/>
      <c r="AL174" s="129"/>
      <c r="AM174" s="129"/>
      <c r="AN174" s="129"/>
      <c r="AO174" s="129"/>
      <c r="AP174" s="129"/>
      <c r="AQ174" s="129"/>
      <c r="AR174" s="129"/>
      <c r="AS174" s="129"/>
      <c r="AT174" s="129"/>
      <c r="AU174" s="129"/>
      <c r="AV174" s="129"/>
      <c r="AW174" s="129"/>
      <c r="AX174" s="129"/>
      <c r="AY174" s="129"/>
      <c r="AZ174" s="129"/>
      <c r="BA174" s="129"/>
    </row>
    <row r="175" spans="1:53">
      <c r="B175" s="38"/>
      <c r="C175" s="90"/>
      <c r="D175" s="90"/>
      <c r="E175" s="90"/>
      <c r="F175" s="90"/>
      <c r="G175" s="90"/>
      <c r="H175" s="90"/>
      <c r="I175" s="90"/>
      <c r="J175" s="90"/>
      <c r="K175" s="90"/>
      <c r="L175" s="90"/>
      <c r="M175" s="90"/>
      <c r="N175" s="90"/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  <c r="AA175" s="12"/>
      <c r="AB175" s="12"/>
      <c r="AD175" s="12"/>
      <c r="AE175" s="129"/>
      <c r="AF175" s="129"/>
      <c r="AG175" s="129"/>
      <c r="AH175" s="129"/>
      <c r="AI175" s="129"/>
      <c r="AJ175" s="129"/>
      <c r="AK175" s="129"/>
      <c r="AL175" s="129"/>
      <c r="AM175" s="129"/>
      <c r="AN175" s="129"/>
      <c r="AO175" s="129"/>
      <c r="AP175" s="129"/>
      <c r="AQ175" s="129"/>
      <c r="AR175" s="129"/>
      <c r="AS175" s="129"/>
      <c r="AT175" s="129"/>
      <c r="AU175" s="129"/>
      <c r="AV175" s="129"/>
      <c r="AW175" s="129"/>
      <c r="AX175" s="129"/>
      <c r="AY175" s="129"/>
      <c r="AZ175" s="129"/>
      <c r="BA175" s="129"/>
    </row>
    <row r="176" spans="1:53" ht="15" thickBot="1">
      <c r="A176" s="38"/>
      <c r="B176" s="38" t="s">
        <v>35</v>
      </c>
      <c r="C176" s="116">
        <f>C171-C172</f>
        <v>-227444.55000000002</v>
      </c>
      <c r="D176" s="116">
        <f t="shared" ref="D176:Z176" si="18">D171-D172</f>
        <v>1006.4499999999999</v>
      </c>
      <c r="E176" s="116">
        <f t="shared" si="18"/>
        <v>1006.4499999999999</v>
      </c>
      <c r="F176" s="116">
        <f t="shared" si="18"/>
        <v>1006.4499999999999</v>
      </c>
      <c r="G176" s="116">
        <f t="shared" si="18"/>
        <v>1006.4499999999999</v>
      </c>
      <c r="H176" s="116">
        <f t="shared" si="18"/>
        <v>1006.4499999999999</v>
      </c>
      <c r="I176" s="116">
        <f t="shared" si="18"/>
        <v>1006.4499999999999</v>
      </c>
      <c r="J176" s="116">
        <f t="shared" si="18"/>
        <v>1006.4499999999999</v>
      </c>
      <c r="K176" s="116">
        <f t="shared" si="18"/>
        <v>1006.4499999999999</v>
      </c>
      <c r="L176" s="116">
        <f t="shared" si="18"/>
        <v>1006.4499999999999</v>
      </c>
      <c r="M176" s="116">
        <f t="shared" si="18"/>
        <v>1006.4499999999999</v>
      </c>
      <c r="N176" s="116">
        <f t="shared" si="18"/>
        <v>1006.4499999999999</v>
      </c>
      <c r="O176" s="116">
        <f t="shared" si="18"/>
        <v>981.48849999999993</v>
      </c>
      <c r="P176" s="116">
        <f t="shared" si="18"/>
        <v>981.48849999999993</v>
      </c>
      <c r="Q176" s="116">
        <f t="shared" si="18"/>
        <v>981.48849999999993</v>
      </c>
      <c r="R176" s="116">
        <f t="shared" si="18"/>
        <v>981.48849999999993</v>
      </c>
      <c r="S176" s="116">
        <f t="shared" si="18"/>
        <v>981.48849999999993</v>
      </c>
      <c r="T176" s="116">
        <f t="shared" si="18"/>
        <v>981.48849999999993</v>
      </c>
      <c r="U176" s="116">
        <f t="shared" si="18"/>
        <v>981.48849999999993</v>
      </c>
      <c r="V176" s="116">
        <f t="shared" si="18"/>
        <v>981.48849999999993</v>
      </c>
      <c r="W176" s="116">
        <f t="shared" si="18"/>
        <v>981.48849999999993</v>
      </c>
      <c r="X176" s="116">
        <f t="shared" si="18"/>
        <v>981.48849999999993</v>
      </c>
      <c r="Y176" s="116">
        <f t="shared" si="18"/>
        <v>981.48849999999993</v>
      </c>
      <c r="Z176" s="116">
        <f t="shared" si="18"/>
        <v>981.48849999999993</v>
      </c>
      <c r="AA176" s="12"/>
      <c r="AB176" s="12"/>
    </row>
    <row r="177" spans="1:53">
      <c r="A177" s="38"/>
      <c r="B177" s="38" t="s">
        <v>29</v>
      </c>
      <c r="C177" s="90">
        <f>SUM(C171:N171)-SUM(C172:N172)</f>
        <v>-216373.60000000015</v>
      </c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</row>
    <row r="178" spans="1:53">
      <c r="A178" s="38"/>
      <c r="B178" s="38" t="s">
        <v>30</v>
      </c>
      <c r="C178" s="90">
        <f>SUM(O171:Z171)-SUM(O172:Z172)</f>
        <v>11777.861999999997</v>
      </c>
      <c r="D178" s="90"/>
      <c r="E178" s="90"/>
      <c r="F178" s="90"/>
      <c r="G178" s="90"/>
      <c r="H178" s="90"/>
      <c r="I178" s="90"/>
      <c r="J178" s="90"/>
      <c r="K178" s="90"/>
      <c r="L178" s="90"/>
      <c r="M178" s="90"/>
      <c r="N178" s="90"/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</row>
    <row r="179" spans="1:53">
      <c r="A179" s="38"/>
      <c r="B179" s="38" t="s">
        <v>36</v>
      </c>
      <c r="C179" s="117">
        <f>SUM(C177:C178)</f>
        <v>-204595.73800000016</v>
      </c>
      <c r="D179" s="90"/>
      <c r="E179" s="90"/>
      <c r="F179" s="90"/>
      <c r="G179" s="90"/>
      <c r="H179" s="90"/>
      <c r="I179" s="90"/>
      <c r="J179" s="90"/>
      <c r="K179" s="90"/>
      <c r="L179" s="90"/>
      <c r="M179" s="90"/>
      <c r="N179" s="90"/>
      <c r="O179" s="90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</row>
    <row r="180" spans="1:53">
      <c r="C180" s="12"/>
    </row>
    <row r="181" spans="1:53">
      <c r="B181" s="4" t="s">
        <v>67</v>
      </c>
      <c r="C181" s="12"/>
    </row>
    <row r="182" spans="1:53">
      <c r="C182" s="12"/>
    </row>
    <row r="183" spans="1:53">
      <c r="B183" s="38" t="s">
        <v>37</v>
      </c>
      <c r="C183" s="80">
        <f>C179/KostenTD_24m_Einmalzahlung_mit_Kameraeinkauf</f>
        <v>-0.89380064173077534</v>
      </c>
    </row>
    <row r="184" spans="1:53">
      <c r="B184" s="38" t="s">
        <v>38</v>
      </c>
      <c r="C184" s="80">
        <f>C177/KostenTD_1Jahr_Einmalzahlung_mit_Kameraeinkauf</f>
        <v>-0.94681273749783401</v>
      </c>
    </row>
    <row r="185" spans="1:53">
      <c r="B185" s="38" t="s">
        <v>34</v>
      </c>
      <c r="C185" s="80">
        <f>C178/KostenTD_2Jahr_Einmalzahlung_mit_Kameraeinkauf</f>
        <v>31.246151887047738</v>
      </c>
    </row>
    <row r="187" spans="1:53">
      <c r="B187" s="22" t="s">
        <v>89</v>
      </c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/>
      <c r="AO187" s="63"/>
      <c r="AP187" s="63"/>
      <c r="AQ187" s="63"/>
      <c r="AR187" s="63"/>
      <c r="AS187" s="63"/>
      <c r="AT187" s="63"/>
      <c r="AU187" s="63"/>
      <c r="AV187" s="63"/>
      <c r="AW187" s="63"/>
      <c r="AX187" s="63"/>
      <c r="AY187" s="63"/>
      <c r="AZ187" s="63"/>
      <c r="BA187" s="63"/>
    </row>
    <row r="188" spans="1:53">
      <c r="B188" s="20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  <c r="AO188" s="63"/>
      <c r="AP188" s="63"/>
      <c r="AQ188" s="63"/>
      <c r="AR188" s="63"/>
      <c r="AS188" s="63"/>
      <c r="AT188" s="63"/>
      <c r="AU188" s="63"/>
      <c r="AV188" s="63"/>
      <c r="AW188" s="63"/>
      <c r="AX188" s="63"/>
      <c r="AY188" s="63"/>
      <c r="AZ188" s="63"/>
      <c r="BA188" s="63"/>
    </row>
    <row r="189" spans="1:53" ht="15" thickBot="1">
      <c r="B189" s="20"/>
      <c r="C189" s="40">
        <v>1</v>
      </c>
      <c r="D189" s="40">
        <f>C189+1</f>
        <v>2</v>
      </c>
      <c r="E189" s="40">
        <f t="shared" ref="E189:Z189" si="19">D189+1</f>
        <v>3</v>
      </c>
      <c r="F189" s="40">
        <f t="shared" si="19"/>
        <v>4</v>
      </c>
      <c r="G189" s="40">
        <f t="shared" si="19"/>
        <v>5</v>
      </c>
      <c r="H189" s="40">
        <f t="shared" si="19"/>
        <v>6</v>
      </c>
      <c r="I189" s="40">
        <f t="shared" si="19"/>
        <v>7</v>
      </c>
      <c r="J189" s="40">
        <f t="shared" si="19"/>
        <v>8</v>
      </c>
      <c r="K189" s="40">
        <f t="shared" si="19"/>
        <v>9</v>
      </c>
      <c r="L189" s="40">
        <f t="shared" si="19"/>
        <v>10</v>
      </c>
      <c r="M189" s="40">
        <f t="shared" si="19"/>
        <v>11</v>
      </c>
      <c r="N189" s="40">
        <f t="shared" si="19"/>
        <v>12</v>
      </c>
      <c r="O189" s="40">
        <f t="shared" si="19"/>
        <v>13</v>
      </c>
      <c r="P189" s="40">
        <f t="shared" si="19"/>
        <v>14</v>
      </c>
      <c r="Q189" s="40">
        <f t="shared" si="19"/>
        <v>15</v>
      </c>
      <c r="R189" s="40">
        <f t="shared" si="19"/>
        <v>16</v>
      </c>
      <c r="S189" s="40">
        <f t="shared" si="19"/>
        <v>17</v>
      </c>
      <c r="T189" s="40">
        <f t="shared" si="19"/>
        <v>18</v>
      </c>
      <c r="U189" s="40">
        <f t="shared" si="19"/>
        <v>19</v>
      </c>
      <c r="V189" s="40">
        <f t="shared" si="19"/>
        <v>20</v>
      </c>
      <c r="W189" s="40">
        <f t="shared" si="19"/>
        <v>21</v>
      </c>
      <c r="X189" s="40">
        <f t="shared" si="19"/>
        <v>22</v>
      </c>
      <c r="Y189" s="40">
        <f t="shared" si="19"/>
        <v>23</v>
      </c>
      <c r="Z189" s="40">
        <f t="shared" si="19"/>
        <v>24</v>
      </c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/>
      <c r="AO189" s="63"/>
      <c r="AP189" s="63"/>
      <c r="AQ189" s="63"/>
      <c r="AR189" s="63"/>
      <c r="AS189" s="63"/>
      <c r="AT189" s="63"/>
      <c r="AU189" s="63"/>
      <c r="AV189" s="63"/>
      <c r="AW189" s="63"/>
      <c r="AX189" s="63"/>
      <c r="AY189" s="63"/>
      <c r="AZ189" s="63"/>
      <c r="BA189" s="63"/>
    </row>
    <row r="190" spans="1:53">
      <c r="B190" s="20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/>
      <c r="AO190" s="63"/>
      <c r="AP190" s="63"/>
      <c r="AQ190" s="63"/>
      <c r="AR190" s="63"/>
      <c r="AS190" s="63"/>
      <c r="AT190" s="63"/>
      <c r="AU190" s="63"/>
      <c r="AV190" s="63"/>
      <c r="AW190" s="63"/>
      <c r="AX190" s="63"/>
      <c r="AY190" s="63"/>
      <c r="AZ190" s="63"/>
      <c r="BA190" s="63"/>
    </row>
    <row r="191" spans="1:53">
      <c r="B191" s="84" t="s">
        <v>65</v>
      </c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  <c r="AQ191" s="63"/>
      <c r="AR191" s="63"/>
      <c r="AS191" s="63"/>
      <c r="AT191" s="63"/>
      <c r="AU191" s="63"/>
      <c r="AV191" s="63"/>
      <c r="AW191" s="63"/>
      <c r="AX191" s="63"/>
      <c r="AY191" s="63"/>
      <c r="AZ191" s="63"/>
      <c r="BA191" s="63"/>
    </row>
    <row r="192" spans="1:53">
      <c r="B192" s="91"/>
      <c r="AD192" s="63"/>
      <c r="AE192" s="63"/>
      <c r="AF192" s="63"/>
      <c r="AG192" s="63"/>
      <c r="AH192" s="63"/>
      <c r="AI192" s="63"/>
      <c r="AJ192" s="63"/>
      <c r="AK192" s="63"/>
      <c r="AL192" s="63"/>
      <c r="AM192" s="63"/>
      <c r="AN192" s="63"/>
      <c r="AO192" s="63"/>
      <c r="AP192" s="63"/>
      <c r="AQ192" s="63"/>
      <c r="AR192" s="63"/>
      <c r="AS192" s="63"/>
      <c r="AT192" s="63"/>
      <c r="AU192" s="63"/>
      <c r="AV192" s="63"/>
      <c r="AW192" s="63"/>
      <c r="AX192" s="63"/>
      <c r="AY192" s="63"/>
      <c r="AZ192" s="63"/>
      <c r="BA192" s="63"/>
    </row>
    <row r="193" spans="1:53">
      <c r="B193" s="38" t="s">
        <v>26</v>
      </c>
      <c r="C193" s="44">
        <f t="shared" ref="C193:Z193" si="20">Totale_Kosten_ohne_Lohnkosten</f>
        <v>1012.9</v>
      </c>
      <c r="D193" s="44">
        <f t="shared" si="20"/>
        <v>1012.9</v>
      </c>
      <c r="E193" s="44">
        <f t="shared" si="20"/>
        <v>1012.9</v>
      </c>
      <c r="F193" s="44">
        <f t="shared" si="20"/>
        <v>1012.9</v>
      </c>
      <c r="G193" s="44">
        <f t="shared" si="20"/>
        <v>1012.9</v>
      </c>
      <c r="H193" s="44">
        <f t="shared" si="20"/>
        <v>1012.9</v>
      </c>
      <c r="I193" s="44">
        <f t="shared" si="20"/>
        <v>1012.9</v>
      </c>
      <c r="J193" s="44">
        <f t="shared" si="20"/>
        <v>1012.9</v>
      </c>
      <c r="K193" s="44">
        <f t="shared" si="20"/>
        <v>1012.9</v>
      </c>
      <c r="L193" s="44">
        <f t="shared" si="20"/>
        <v>1012.9</v>
      </c>
      <c r="M193" s="44">
        <f t="shared" si="20"/>
        <v>1012.9</v>
      </c>
      <c r="N193" s="44">
        <f t="shared" si="20"/>
        <v>1012.9</v>
      </c>
      <c r="O193" s="44">
        <f t="shared" si="20"/>
        <v>1012.9</v>
      </c>
      <c r="P193" s="44">
        <f t="shared" si="20"/>
        <v>1012.9</v>
      </c>
      <c r="Q193" s="44">
        <f t="shared" si="20"/>
        <v>1012.9</v>
      </c>
      <c r="R193" s="44">
        <f t="shared" si="20"/>
        <v>1012.9</v>
      </c>
      <c r="S193" s="44">
        <f t="shared" si="20"/>
        <v>1012.9</v>
      </c>
      <c r="T193" s="44">
        <f t="shared" si="20"/>
        <v>1012.9</v>
      </c>
      <c r="U193" s="44">
        <f t="shared" si="20"/>
        <v>1012.9</v>
      </c>
      <c r="V193" s="44">
        <f t="shared" si="20"/>
        <v>1012.9</v>
      </c>
      <c r="W193" s="44">
        <f t="shared" si="20"/>
        <v>1012.9</v>
      </c>
      <c r="X193" s="44">
        <f t="shared" si="20"/>
        <v>1012.9</v>
      </c>
      <c r="Y193" s="44">
        <f t="shared" si="20"/>
        <v>1012.9</v>
      </c>
      <c r="Z193" s="44">
        <f t="shared" si="20"/>
        <v>1012.9</v>
      </c>
      <c r="AA193" s="12"/>
      <c r="AB193" s="12"/>
      <c r="AD193" s="12"/>
      <c r="AE193" s="129"/>
      <c r="AF193" s="129"/>
      <c r="AG193" s="129"/>
      <c r="AH193" s="129"/>
      <c r="AI193" s="129"/>
      <c r="AJ193" s="129"/>
      <c r="AK193" s="129"/>
      <c r="AL193" s="129"/>
      <c r="AM193" s="129"/>
      <c r="AN193" s="129"/>
      <c r="AO193" s="129"/>
      <c r="AP193" s="129"/>
      <c r="AQ193" s="129"/>
      <c r="AR193" s="129"/>
      <c r="AS193" s="129"/>
      <c r="AT193" s="129"/>
      <c r="AU193" s="129"/>
      <c r="AV193" s="129"/>
      <c r="AW193" s="129"/>
      <c r="AX193" s="129"/>
      <c r="AY193" s="129"/>
      <c r="AZ193" s="129"/>
      <c r="BA193" s="129"/>
    </row>
    <row r="194" spans="1:53">
      <c r="B194" s="38" t="s">
        <v>27</v>
      </c>
      <c r="C194" s="44">
        <f>'Kosten mit TD'!C113</f>
        <v>132784.95000000001</v>
      </c>
      <c r="D194" s="44">
        <f>'Kosten mit TD'!D113</f>
        <v>19208.325000000001</v>
      </c>
      <c r="E194" s="44">
        <f>'Kosten mit TD'!E113</f>
        <v>18582.7</v>
      </c>
      <c r="F194" s="44">
        <f>'Kosten mit TD'!F113</f>
        <v>17957.075000000001</v>
      </c>
      <c r="G194" s="44">
        <f>'Kosten mit TD'!G113</f>
        <v>17331.45</v>
      </c>
      <c r="H194" s="44">
        <f>'Kosten mit TD'!H113</f>
        <v>16705.825000000001</v>
      </c>
      <c r="I194" s="44">
        <f>'Kosten mit TD'!I113</f>
        <v>16080.2</v>
      </c>
      <c r="J194" s="44">
        <f>'Kosten mit TD'!J113</f>
        <v>15454.575000000001</v>
      </c>
      <c r="K194" s="44">
        <f>'Kosten mit TD'!K113</f>
        <v>14828.95</v>
      </c>
      <c r="L194" s="44">
        <f>'Kosten mit TD'!L113</f>
        <v>14203.325000000001</v>
      </c>
      <c r="M194" s="44">
        <f>'Kosten mit TD'!M113</f>
        <v>13577.7</v>
      </c>
      <c r="N194" s="44">
        <f>'Kosten mit TD'!N113</f>
        <v>12952.075000000001</v>
      </c>
      <c r="O194" s="44">
        <f>'Kosten mit TD'!O113</f>
        <v>12351.4115</v>
      </c>
      <c r="P194" s="44">
        <f>'Kosten mit TD'!P113</f>
        <v>11725.7865</v>
      </c>
      <c r="Q194" s="44">
        <f>'Kosten mit TD'!Q113</f>
        <v>11100.1615</v>
      </c>
      <c r="R194" s="44">
        <f>'Kosten mit TD'!R113</f>
        <v>10474.5365</v>
      </c>
      <c r="S194" s="44">
        <f>'Kosten mit TD'!S113</f>
        <v>9848.9115000000002</v>
      </c>
      <c r="T194" s="44">
        <f>'Kosten mit TD'!T113</f>
        <v>9223.2865000000002</v>
      </c>
      <c r="U194" s="44">
        <f>'Kosten mit TD'!U113</f>
        <v>8597.6615000000002</v>
      </c>
      <c r="V194" s="44">
        <f>'Kosten mit TD'!V113</f>
        <v>7972.0365000000002</v>
      </c>
      <c r="W194" s="44">
        <f>'Kosten mit TD'!W113</f>
        <v>7346.4115000000002</v>
      </c>
      <c r="X194" s="44">
        <f>'Kosten mit TD'!X113</f>
        <v>6720.7865000000002</v>
      </c>
      <c r="Y194" s="44">
        <f>'Kosten mit TD'!Y113</f>
        <v>6095.1615000000002</v>
      </c>
      <c r="Z194" s="44">
        <f>'Kosten mit TD'!Z113</f>
        <v>5469.5365000000002</v>
      </c>
      <c r="AA194" s="12"/>
      <c r="AB194" s="12"/>
      <c r="AD194" s="12"/>
      <c r="AE194" s="129"/>
      <c r="AF194" s="129"/>
      <c r="AG194" s="129"/>
      <c r="AH194" s="129"/>
      <c r="AI194" s="129"/>
      <c r="AJ194" s="129"/>
      <c r="AK194" s="129"/>
      <c r="AL194" s="129"/>
      <c r="AM194" s="129"/>
      <c r="AN194" s="129"/>
      <c r="AO194" s="129"/>
      <c r="AP194" s="129"/>
      <c r="AQ194" s="129"/>
      <c r="AR194" s="129"/>
      <c r="AS194" s="129"/>
      <c r="AT194" s="129"/>
      <c r="AU194" s="129"/>
      <c r="AV194" s="129"/>
      <c r="AW194" s="129"/>
      <c r="AX194" s="129"/>
      <c r="AY194" s="129"/>
      <c r="AZ194" s="129"/>
      <c r="BA194" s="129"/>
    </row>
    <row r="195" spans="1:53">
      <c r="B195" s="38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12"/>
      <c r="AB195" s="12"/>
      <c r="AD195" s="12"/>
      <c r="AE195" s="129"/>
      <c r="AF195" s="129"/>
      <c r="AG195" s="129"/>
      <c r="AH195" s="129"/>
      <c r="AI195" s="129"/>
      <c r="AJ195" s="129"/>
      <c r="AK195" s="129"/>
      <c r="AL195" s="129"/>
      <c r="AM195" s="129"/>
      <c r="AN195" s="129"/>
      <c r="AO195" s="129"/>
      <c r="AP195" s="129"/>
      <c r="AQ195" s="129"/>
      <c r="AR195" s="129"/>
      <c r="AS195" s="129"/>
      <c r="AT195" s="129"/>
      <c r="AU195" s="129"/>
      <c r="AV195" s="129"/>
      <c r="AW195" s="129"/>
      <c r="AX195" s="129"/>
      <c r="AY195" s="129"/>
      <c r="AZ195" s="129"/>
      <c r="BA195" s="129"/>
    </row>
    <row r="196" spans="1:53">
      <c r="B196" s="4" t="s">
        <v>66</v>
      </c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12"/>
      <c r="AB196" s="12"/>
      <c r="AD196" s="12"/>
      <c r="AE196" s="129"/>
      <c r="AF196" s="129"/>
      <c r="AG196" s="129"/>
      <c r="AH196" s="129"/>
      <c r="AI196" s="129"/>
      <c r="AJ196" s="129"/>
      <c r="AK196" s="129"/>
      <c r="AL196" s="129"/>
      <c r="AM196" s="129"/>
      <c r="AN196" s="129"/>
      <c r="AO196" s="129"/>
      <c r="AP196" s="129"/>
      <c r="AQ196" s="129"/>
      <c r="AR196" s="129"/>
      <c r="AS196" s="129"/>
      <c r="AT196" s="129"/>
      <c r="AU196" s="129"/>
      <c r="AV196" s="129"/>
      <c r="AW196" s="129"/>
      <c r="AX196" s="129"/>
      <c r="AY196" s="129"/>
      <c r="AZ196" s="129"/>
      <c r="BA196" s="129"/>
    </row>
    <row r="197" spans="1:53"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12"/>
      <c r="AB197" s="12"/>
      <c r="AD197" s="12"/>
      <c r="AE197" s="129"/>
      <c r="AF197" s="129"/>
      <c r="AG197" s="129"/>
      <c r="AH197" s="129"/>
      <c r="AI197" s="129"/>
      <c r="AJ197" s="129"/>
      <c r="AK197" s="129"/>
      <c r="AL197" s="129"/>
      <c r="AM197" s="129"/>
      <c r="AN197" s="129"/>
      <c r="AO197" s="129"/>
      <c r="AP197" s="129"/>
      <c r="AQ197" s="129"/>
      <c r="AR197" s="129"/>
      <c r="AS197" s="129"/>
      <c r="AT197" s="129"/>
      <c r="AU197" s="129"/>
      <c r="AV197" s="129"/>
      <c r="AW197" s="129"/>
      <c r="AX197" s="129"/>
      <c r="AY197" s="129"/>
      <c r="AZ197" s="129"/>
      <c r="BA197" s="129"/>
    </row>
    <row r="198" spans="1:53" ht="15" thickBot="1">
      <c r="B198" s="38" t="s">
        <v>35</v>
      </c>
      <c r="C198" s="56">
        <f>C193-C194</f>
        <v>-131772.05000000002</v>
      </c>
      <c r="D198" s="56">
        <f t="shared" ref="D198:Z198" si="21">D193-D194</f>
        <v>-18195.424999999999</v>
      </c>
      <c r="E198" s="56">
        <f t="shared" si="21"/>
        <v>-17569.8</v>
      </c>
      <c r="F198" s="56">
        <f t="shared" si="21"/>
        <v>-16944.174999999999</v>
      </c>
      <c r="G198" s="56">
        <f t="shared" si="21"/>
        <v>-16318.550000000001</v>
      </c>
      <c r="H198" s="56">
        <f t="shared" si="21"/>
        <v>-15692.925000000001</v>
      </c>
      <c r="I198" s="56">
        <f t="shared" si="21"/>
        <v>-15067.300000000001</v>
      </c>
      <c r="J198" s="56">
        <f t="shared" si="21"/>
        <v>-14441.675000000001</v>
      </c>
      <c r="K198" s="56">
        <f t="shared" si="21"/>
        <v>-13816.050000000001</v>
      </c>
      <c r="L198" s="56">
        <f t="shared" si="21"/>
        <v>-13190.425000000001</v>
      </c>
      <c r="M198" s="56">
        <f t="shared" si="21"/>
        <v>-12564.800000000001</v>
      </c>
      <c r="N198" s="56">
        <f t="shared" si="21"/>
        <v>-11939.175000000001</v>
      </c>
      <c r="O198" s="56">
        <f t="shared" si="21"/>
        <v>-11338.511500000001</v>
      </c>
      <c r="P198" s="56">
        <f t="shared" si="21"/>
        <v>-10712.886500000001</v>
      </c>
      <c r="Q198" s="56">
        <f t="shared" si="21"/>
        <v>-10087.261500000001</v>
      </c>
      <c r="R198" s="56">
        <f t="shared" si="21"/>
        <v>-9461.6365000000005</v>
      </c>
      <c r="S198" s="56">
        <f t="shared" si="21"/>
        <v>-8836.0115000000005</v>
      </c>
      <c r="T198" s="56">
        <f t="shared" si="21"/>
        <v>-8210.3865000000005</v>
      </c>
      <c r="U198" s="56">
        <f t="shared" si="21"/>
        <v>-7584.7615000000005</v>
      </c>
      <c r="V198" s="56">
        <f t="shared" si="21"/>
        <v>-6959.1365000000005</v>
      </c>
      <c r="W198" s="56">
        <f t="shared" si="21"/>
        <v>-6333.5115000000005</v>
      </c>
      <c r="X198" s="56">
        <f t="shared" si="21"/>
        <v>-5707.8865000000005</v>
      </c>
      <c r="Y198" s="56">
        <f t="shared" si="21"/>
        <v>-5082.2615000000005</v>
      </c>
      <c r="Z198" s="56">
        <f t="shared" si="21"/>
        <v>-4456.6365000000005</v>
      </c>
      <c r="AA198" s="12"/>
      <c r="AB198" s="12"/>
    </row>
    <row r="199" spans="1:53">
      <c r="B199" s="38" t="s">
        <v>29</v>
      </c>
      <c r="C199" s="44">
        <f>SUM(C193:N193)-SUM(C194:N194)</f>
        <v>-297512.35000000015</v>
      </c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spans="1:53">
      <c r="B200" s="38" t="s">
        <v>30</v>
      </c>
      <c r="C200" s="44">
        <f>SUM(O193:Z193)-SUM(O194:Z194)</f>
        <v>-94770.888000000006</v>
      </c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spans="1:53">
      <c r="B201" s="38" t="s">
        <v>36</v>
      </c>
      <c r="C201" s="70">
        <f>SUM(C199:C200)</f>
        <v>-392283.23800000013</v>
      </c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spans="1:53">
      <c r="B202" s="38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53">
      <c r="B203" s="4" t="s">
        <v>67</v>
      </c>
      <c r="C203" s="12"/>
    </row>
    <row r="204" spans="1:53">
      <c r="A204" s="38"/>
      <c r="B204" s="38"/>
      <c r="C204" s="12"/>
    </row>
    <row r="205" spans="1:53">
      <c r="A205" s="38"/>
      <c r="B205" s="38" t="s">
        <v>37</v>
      </c>
      <c r="C205" s="80">
        <f>C201/KostenTD_24m_Einmalzahlung_mit_Kameraleasing</f>
        <v>-0.94164662043469882</v>
      </c>
    </row>
    <row r="206" spans="1:53">
      <c r="A206" s="38"/>
      <c r="B206" s="38" t="s">
        <v>38</v>
      </c>
      <c r="C206" s="80">
        <f>C199/KostenTD_1Jahr_Einmalzahlung_mit_Kameraleasing</f>
        <v>-0.96074882337374179</v>
      </c>
    </row>
    <row r="207" spans="1:53">
      <c r="A207" s="38"/>
      <c r="B207" s="38" t="s">
        <v>34</v>
      </c>
      <c r="C207" s="80">
        <f>C200/KostenTD_2Jahr_Einmalzahlung_mit_Kameraleasing</f>
        <v>-0.8863247903534649</v>
      </c>
    </row>
    <row r="209" spans="2:26">
      <c r="B209" s="75" t="s">
        <v>73</v>
      </c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</row>
    <row r="210" spans="2:26">
      <c r="B210" s="14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2:26" ht="15" thickBot="1">
      <c r="B211" s="14" t="s">
        <v>68</v>
      </c>
      <c r="C211" s="106">
        <v>1</v>
      </c>
      <c r="D211" s="106">
        <f>C211+1</f>
        <v>2</v>
      </c>
      <c r="E211" s="106">
        <f t="shared" ref="E211:Z211" si="22">D211+1</f>
        <v>3</v>
      </c>
      <c r="F211" s="106">
        <f t="shared" si="22"/>
        <v>4</v>
      </c>
      <c r="G211" s="106">
        <f t="shared" si="22"/>
        <v>5</v>
      </c>
      <c r="H211" s="106">
        <f t="shared" si="22"/>
        <v>6</v>
      </c>
      <c r="I211" s="106">
        <f t="shared" si="22"/>
        <v>7</v>
      </c>
      <c r="J211" s="106">
        <f t="shared" si="22"/>
        <v>8</v>
      </c>
      <c r="K211" s="106">
        <f t="shared" si="22"/>
        <v>9</v>
      </c>
      <c r="L211" s="106">
        <f t="shared" si="22"/>
        <v>10</v>
      </c>
      <c r="M211" s="106">
        <f t="shared" si="22"/>
        <v>11</v>
      </c>
      <c r="N211" s="106">
        <f t="shared" si="22"/>
        <v>12</v>
      </c>
      <c r="O211" s="106">
        <f t="shared" si="22"/>
        <v>13</v>
      </c>
      <c r="P211" s="106">
        <f t="shared" si="22"/>
        <v>14</v>
      </c>
      <c r="Q211" s="106">
        <f t="shared" si="22"/>
        <v>15</v>
      </c>
      <c r="R211" s="106">
        <f t="shared" si="22"/>
        <v>16</v>
      </c>
      <c r="S211" s="106">
        <f t="shared" si="22"/>
        <v>17</v>
      </c>
      <c r="T211" s="106">
        <f t="shared" si="22"/>
        <v>18</v>
      </c>
      <c r="U211" s="106">
        <f t="shared" si="22"/>
        <v>19</v>
      </c>
      <c r="V211" s="106">
        <f t="shared" si="22"/>
        <v>20</v>
      </c>
      <c r="W211" s="106">
        <f t="shared" si="22"/>
        <v>21</v>
      </c>
      <c r="X211" s="106">
        <f t="shared" si="22"/>
        <v>22</v>
      </c>
      <c r="Y211" s="106">
        <f t="shared" si="22"/>
        <v>23</v>
      </c>
      <c r="Z211" s="106">
        <f t="shared" si="22"/>
        <v>24</v>
      </c>
    </row>
    <row r="212" spans="2:26">
      <c r="B212" s="14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2:26">
      <c r="B213" s="77" t="s">
        <v>65</v>
      </c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2:26">
      <c r="B214" s="14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2:26">
      <c r="B215" s="78" t="s">
        <v>26</v>
      </c>
      <c r="C215" s="45">
        <f t="shared" ref="C215:Z215" si="23">Totale_Kosten_ohne_Lohnkosten</f>
        <v>1012.9</v>
      </c>
      <c r="D215" s="45">
        <f t="shared" si="23"/>
        <v>1012.9</v>
      </c>
      <c r="E215" s="45">
        <f t="shared" si="23"/>
        <v>1012.9</v>
      </c>
      <c r="F215" s="45">
        <f t="shared" si="23"/>
        <v>1012.9</v>
      </c>
      <c r="G215" s="45">
        <f t="shared" si="23"/>
        <v>1012.9</v>
      </c>
      <c r="H215" s="45">
        <f t="shared" si="23"/>
        <v>1012.9</v>
      </c>
      <c r="I215" s="45">
        <f t="shared" si="23"/>
        <v>1012.9</v>
      </c>
      <c r="J215" s="45">
        <f t="shared" si="23"/>
        <v>1012.9</v>
      </c>
      <c r="K215" s="45">
        <f t="shared" si="23"/>
        <v>1012.9</v>
      </c>
      <c r="L215" s="45">
        <f t="shared" si="23"/>
        <v>1012.9</v>
      </c>
      <c r="M215" s="45">
        <f t="shared" si="23"/>
        <v>1012.9</v>
      </c>
      <c r="N215" s="45">
        <f t="shared" si="23"/>
        <v>1012.9</v>
      </c>
      <c r="O215" s="45">
        <f t="shared" si="23"/>
        <v>1012.9</v>
      </c>
      <c r="P215" s="45">
        <f t="shared" si="23"/>
        <v>1012.9</v>
      </c>
      <c r="Q215" s="45">
        <f t="shared" si="23"/>
        <v>1012.9</v>
      </c>
      <c r="R215" s="45">
        <f t="shared" si="23"/>
        <v>1012.9</v>
      </c>
      <c r="S215" s="45">
        <f t="shared" si="23"/>
        <v>1012.9</v>
      </c>
      <c r="T215" s="45">
        <f t="shared" si="23"/>
        <v>1012.9</v>
      </c>
      <c r="U215" s="45">
        <f t="shared" si="23"/>
        <v>1012.9</v>
      </c>
      <c r="V215" s="45">
        <f t="shared" si="23"/>
        <v>1012.9</v>
      </c>
      <c r="W215" s="45">
        <f t="shared" si="23"/>
        <v>1012.9</v>
      </c>
      <c r="X215" s="45">
        <f t="shared" si="23"/>
        <v>1012.9</v>
      </c>
      <c r="Y215" s="45">
        <f t="shared" si="23"/>
        <v>1012.9</v>
      </c>
      <c r="Z215" s="45">
        <f t="shared" si="23"/>
        <v>1012.9</v>
      </c>
    </row>
    <row r="216" spans="2:26">
      <c r="B216" s="78" t="s">
        <v>27</v>
      </c>
      <c r="C216" s="45">
        <f>'Kosten mit TD'!C140</f>
        <v>8477.2999999999993</v>
      </c>
      <c r="D216" s="45">
        <f>'Kosten mit TD'!D140</f>
        <v>1777.3</v>
      </c>
      <c r="E216" s="45">
        <f>'Kosten mit TD'!E140</f>
        <v>1777.3</v>
      </c>
      <c r="F216" s="45">
        <f>'Kosten mit TD'!F140</f>
        <v>1777.3</v>
      </c>
      <c r="G216" s="45">
        <f>'Kosten mit TD'!G140</f>
        <v>1777.3</v>
      </c>
      <c r="H216" s="45">
        <f>'Kosten mit TD'!H140</f>
        <v>1777.3</v>
      </c>
      <c r="I216" s="45">
        <f>'Kosten mit TD'!I140</f>
        <v>1777.3</v>
      </c>
      <c r="J216" s="45">
        <f>'Kosten mit TD'!J140</f>
        <v>1777.3</v>
      </c>
      <c r="K216" s="45">
        <f>'Kosten mit TD'!K140</f>
        <v>1777.3</v>
      </c>
      <c r="L216" s="45">
        <f>'Kosten mit TD'!L140</f>
        <v>1777.3</v>
      </c>
      <c r="M216" s="45">
        <f>'Kosten mit TD'!M140</f>
        <v>1777.3</v>
      </c>
      <c r="N216" s="45">
        <f>'Kosten mit TD'!N140</f>
        <v>1777.3</v>
      </c>
      <c r="O216" s="45">
        <f>'Kosten mit TD'!O140</f>
        <v>1802.2614999999998</v>
      </c>
      <c r="P216" s="45">
        <f>'Kosten mit TD'!P140</f>
        <v>1802.2614999999998</v>
      </c>
      <c r="Q216" s="45">
        <f>'Kosten mit TD'!Q140</f>
        <v>1802.2614999999998</v>
      </c>
      <c r="R216" s="45">
        <f>'Kosten mit TD'!R140</f>
        <v>1802.2614999999998</v>
      </c>
      <c r="S216" s="45">
        <f>'Kosten mit TD'!S140</f>
        <v>1802.2614999999998</v>
      </c>
      <c r="T216" s="45">
        <f>'Kosten mit TD'!T140</f>
        <v>1802.2614999999998</v>
      </c>
      <c r="U216" s="45">
        <f>'Kosten mit TD'!U140</f>
        <v>1802.2614999999998</v>
      </c>
      <c r="V216" s="45">
        <f>'Kosten mit TD'!V140</f>
        <v>1802.2614999999998</v>
      </c>
      <c r="W216" s="45">
        <f>'Kosten mit TD'!W140</f>
        <v>1802.2614999999998</v>
      </c>
      <c r="X216" s="45">
        <f>'Kosten mit TD'!X140</f>
        <v>1802.2614999999998</v>
      </c>
      <c r="Y216" s="45">
        <f>'Kosten mit TD'!Y140</f>
        <v>1802.2614999999998</v>
      </c>
      <c r="Z216" s="45">
        <f>'Kosten mit TD'!Z140</f>
        <v>1802.2614999999998</v>
      </c>
    </row>
    <row r="217" spans="2:26">
      <c r="B217" s="78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spans="2:26">
      <c r="B218" s="79" t="s">
        <v>66</v>
      </c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spans="2:26">
      <c r="B219" s="78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spans="2:26" ht="15" thickBot="1">
      <c r="B220" s="78" t="s">
        <v>28</v>
      </c>
      <c r="C220" s="114">
        <f t="shared" ref="C220:Z220" si="24">C215-C216</f>
        <v>-7464.4</v>
      </c>
      <c r="D220" s="114">
        <f t="shared" si="24"/>
        <v>-764.4</v>
      </c>
      <c r="E220" s="114">
        <f t="shared" si="24"/>
        <v>-764.4</v>
      </c>
      <c r="F220" s="114">
        <f t="shared" si="24"/>
        <v>-764.4</v>
      </c>
      <c r="G220" s="114">
        <f t="shared" si="24"/>
        <v>-764.4</v>
      </c>
      <c r="H220" s="114">
        <f t="shared" si="24"/>
        <v>-764.4</v>
      </c>
      <c r="I220" s="114">
        <f t="shared" si="24"/>
        <v>-764.4</v>
      </c>
      <c r="J220" s="114">
        <f t="shared" si="24"/>
        <v>-764.4</v>
      </c>
      <c r="K220" s="114">
        <f t="shared" si="24"/>
        <v>-764.4</v>
      </c>
      <c r="L220" s="114">
        <f t="shared" si="24"/>
        <v>-764.4</v>
      </c>
      <c r="M220" s="114">
        <f t="shared" si="24"/>
        <v>-764.4</v>
      </c>
      <c r="N220" s="114">
        <f t="shared" si="24"/>
        <v>-764.4</v>
      </c>
      <c r="O220" s="114">
        <f t="shared" si="24"/>
        <v>-789.36149999999986</v>
      </c>
      <c r="P220" s="114">
        <f t="shared" si="24"/>
        <v>-789.36149999999986</v>
      </c>
      <c r="Q220" s="114">
        <f t="shared" si="24"/>
        <v>-789.36149999999986</v>
      </c>
      <c r="R220" s="114">
        <f t="shared" si="24"/>
        <v>-789.36149999999986</v>
      </c>
      <c r="S220" s="114">
        <f t="shared" si="24"/>
        <v>-789.36149999999986</v>
      </c>
      <c r="T220" s="114">
        <f t="shared" si="24"/>
        <v>-789.36149999999986</v>
      </c>
      <c r="U220" s="114">
        <f t="shared" si="24"/>
        <v>-789.36149999999986</v>
      </c>
      <c r="V220" s="114">
        <f t="shared" si="24"/>
        <v>-789.36149999999986</v>
      </c>
      <c r="W220" s="114">
        <f t="shared" si="24"/>
        <v>-789.36149999999986</v>
      </c>
      <c r="X220" s="114">
        <f t="shared" si="24"/>
        <v>-789.36149999999986</v>
      </c>
      <c r="Y220" s="114">
        <f t="shared" si="24"/>
        <v>-789.36149999999986</v>
      </c>
      <c r="Z220" s="114">
        <f t="shared" si="24"/>
        <v>-789.36149999999986</v>
      </c>
    </row>
    <row r="221" spans="2:26">
      <c r="B221" s="78" t="s">
        <v>29</v>
      </c>
      <c r="C221" s="45">
        <f>SUM(C215:N215) - SUM(C216:N216)</f>
        <v>-15872.799999999994</v>
      </c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spans="2:26">
      <c r="B222" s="78" t="s">
        <v>30</v>
      </c>
      <c r="C222" s="45">
        <f>SUM(O215:Z215) - SUM(O216:Z216)</f>
        <v>-9472.3380000000052</v>
      </c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spans="2:26">
      <c r="B223" s="78" t="s">
        <v>31</v>
      </c>
      <c r="C223" s="115">
        <f>SUM(C221:C222)</f>
        <v>-25345.137999999999</v>
      </c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spans="2:26">
      <c r="B224" s="78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2:26">
      <c r="B225" s="79" t="s">
        <v>67</v>
      </c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2:26">
      <c r="B226" s="78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2:26">
      <c r="B227" s="78" t="s">
        <v>32</v>
      </c>
      <c r="C227" s="107">
        <f xml:space="preserve"> C223/KostenTD_24m_Abo_ohne_Kameraeinkauf</f>
        <v>-0.51042738358623507</v>
      </c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2:26">
      <c r="B228" s="38" t="s">
        <v>33</v>
      </c>
      <c r="C228" s="107">
        <f>C221/KostenTD_1Jahr_Abo_ohne_Kameraeinkauf</f>
        <v>-0.56632747720104459</v>
      </c>
    </row>
    <row r="229" spans="2:26">
      <c r="B229" s="38" t="s">
        <v>34</v>
      </c>
      <c r="C229" s="107">
        <f>C222/KostenTD_2Jahr_Abo_ohne_Kameraeinkauf</f>
        <v>-0.43798388857554821</v>
      </c>
    </row>
  </sheetData>
  <phoneticPr fontId="21" type="noConversion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BB525-AFF3-42A0-8DF4-7091644D0E73}">
  <dimension ref="A1:Z152"/>
  <sheetViews>
    <sheetView showGridLines="0" topLeftCell="A76" zoomScale="55" zoomScaleNormal="25" workbookViewId="0">
      <selection activeCell="B89" sqref="B89"/>
    </sheetView>
  </sheetViews>
  <sheetFormatPr defaultColWidth="10.796875" defaultRowHeight="15.6"/>
  <cols>
    <col min="2" max="2" width="38.69921875" customWidth="1"/>
    <col min="3" max="3" width="12.296875" bestFit="1" customWidth="1"/>
  </cols>
  <sheetData>
    <row r="1" spans="1:26" ht="45.75" customHeight="1">
      <c r="A1" s="15"/>
      <c r="B1" s="126" t="s">
        <v>98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76" spans="1:26" ht="22.2" customHeight="1"/>
    <row r="77" spans="1:26" ht="35.700000000000003" customHeight="1">
      <c r="A77" s="125"/>
      <c r="B77" s="34" t="s">
        <v>97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</row>
    <row r="79" spans="1:26" ht="16.2" thickBot="1">
      <c r="B79" s="2" t="s">
        <v>96</v>
      </c>
      <c r="C79" s="124">
        <v>1</v>
      </c>
      <c r="D79" s="124">
        <v>2</v>
      </c>
      <c r="E79" s="124">
        <v>3</v>
      </c>
      <c r="F79" s="124">
        <v>4</v>
      </c>
      <c r="G79" s="124">
        <v>5</v>
      </c>
      <c r="H79" s="124">
        <v>6</v>
      </c>
      <c r="I79" s="124">
        <v>7</v>
      </c>
      <c r="J79" s="124">
        <v>8</v>
      </c>
      <c r="K79" s="124">
        <v>9</v>
      </c>
      <c r="L79" s="124">
        <v>10</v>
      </c>
      <c r="M79" s="124">
        <v>11</v>
      </c>
      <c r="N79" s="124">
        <v>12</v>
      </c>
      <c r="O79" s="124">
        <v>13</v>
      </c>
      <c r="P79" s="124">
        <v>14</v>
      </c>
      <c r="Q79" s="124">
        <v>15</v>
      </c>
      <c r="R79" s="124">
        <v>16</v>
      </c>
      <c r="S79" s="124">
        <v>17</v>
      </c>
      <c r="T79" s="124">
        <v>18</v>
      </c>
      <c r="U79" s="124">
        <v>19</v>
      </c>
      <c r="V79" s="124">
        <v>20</v>
      </c>
      <c r="W79" s="124">
        <v>21</v>
      </c>
      <c r="X79" s="124">
        <v>22</v>
      </c>
      <c r="Y79" s="124">
        <v>23</v>
      </c>
      <c r="Z79" s="124">
        <v>24</v>
      </c>
    </row>
    <row r="80" spans="1:26">
      <c r="B80" s="2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 spans="1:26" ht="28.8">
      <c r="B81" s="123" t="s">
        <v>95</v>
      </c>
      <c r="C81" s="63">
        <f>'Kosten ohne TD'!C21</f>
        <v>149940712.90000001</v>
      </c>
      <c r="D81" s="63">
        <f>C81+'Kosten ohne TD'!D21</f>
        <v>299881425.80000001</v>
      </c>
      <c r="E81" s="63">
        <f>D81+'Kosten ohne TD'!E21</f>
        <v>449822138.70000005</v>
      </c>
      <c r="F81" s="63">
        <f>E81+'Kosten ohne TD'!F21</f>
        <v>599762851.60000002</v>
      </c>
      <c r="G81" s="63">
        <f>F81+'Kosten ohne TD'!G21</f>
        <v>749703564.5</v>
      </c>
      <c r="H81" s="63">
        <f>G81+'Kosten ohne TD'!H21</f>
        <v>899644277.39999998</v>
      </c>
      <c r="I81" s="63">
        <f>H81+'Kosten ohne TD'!I21</f>
        <v>1049584990.3</v>
      </c>
      <c r="J81" s="63">
        <f>I81+'Kosten ohne TD'!J21</f>
        <v>1199525703.2</v>
      </c>
      <c r="K81" s="63">
        <f>J81+'Kosten ohne TD'!K21</f>
        <v>1349466416.1000001</v>
      </c>
      <c r="L81" s="63">
        <f>K81+'Kosten ohne TD'!L21</f>
        <v>1499407129.0000002</v>
      </c>
      <c r="M81" s="63">
        <f>L81+'Kosten ohne TD'!M21</f>
        <v>1649347841.9000003</v>
      </c>
      <c r="N81" s="63">
        <f>M81+'Kosten ohne TD'!N21</f>
        <v>1799288554.8000004</v>
      </c>
      <c r="O81" s="63">
        <f>N81+'Kosten ohne TD'!O21</f>
        <v>1949229317.6230004</v>
      </c>
      <c r="P81" s="63">
        <f>O81+'Kosten ohne TD'!P21</f>
        <v>2099170080.4460003</v>
      </c>
      <c r="Q81" s="63">
        <f>P81+'Kosten ohne TD'!Q21</f>
        <v>2249110843.2690005</v>
      </c>
      <c r="R81" s="63">
        <f>Q81+'Kosten ohne TD'!R21</f>
        <v>2399051606.0920005</v>
      </c>
      <c r="S81" s="63">
        <f>R81+'Kosten ohne TD'!S21</f>
        <v>2548992368.9150004</v>
      </c>
      <c r="T81" s="63">
        <f>S81+'Kosten ohne TD'!T21</f>
        <v>2698933131.7380004</v>
      </c>
      <c r="U81" s="63">
        <f>T81+'Kosten ohne TD'!U21</f>
        <v>2848873894.5610003</v>
      </c>
      <c r="V81" s="63">
        <f>U81+'Kosten ohne TD'!V21</f>
        <v>2998814657.3840003</v>
      </c>
      <c r="W81" s="63">
        <f>V81+'Kosten ohne TD'!W21</f>
        <v>3148755420.2070003</v>
      </c>
      <c r="X81" s="63">
        <f>W81+'Kosten ohne TD'!X21</f>
        <v>3298696183.0300002</v>
      </c>
      <c r="Y81" s="63">
        <f>X81+'Kosten ohne TD'!Y21</f>
        <v>3448636945.8530002</v>
      </c>
      <c r="Z81" s="63">
        <f>Y81+'Kosten ohne TD'!Z21</f>
        <v>3598577708.6760001</v>
      </c>
    </row>
    <row r="82" spans="1:26">
      <c r="B82" s="2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 spans="1:26" ht="28.8">
      <c r="B83" s="123" t="s">
        <v>94</v>
      </c>
      <c r="C83" s="11">
        <f>Totale_Kosten_ohne_Lohnkosten</f>
        <v>1012.9</v>
      </c>
      <c r="D83" s="11">
        <f>C83+'Kosten ohne TD'!D20</f>
        <v>2025.8</v>
      </c>
      <c r="E83" s="11">
        <f>D83+'Kosten ohne TD'!E20</f>
        <v>3038.7</v>
      </c>
      <c r="F83" s="11">
        <f>E83+'Kosten ohne TD'!F20</f>
        <v>4051.6</v>
      </c>
      <c r="G83" s="11">
        <f>F83+'Kosten ohne TD'!G20</f>
        <v>5064.5</v>
      </c>
      <c r="H83" s="11">
        <f>G83+'Kosten ohne TD'!H20</f>
        <v>6077.4</v>
      </c>
      <c r="I83" s="11">
        <f>H83+'Kosten ohne TD'!I20</f>
        <v>7090.2999999999993</v>
      </c>
      <c r="J83" s="11">
        <f>I83+'Kosten ohne TD'!J20</f>
        <v>8103.1999999999989</v>
      </c>
      <c r="K83" s="11">
        <f>J83+'Kosten ohne TD'!K20</f>
        <v>9116.0999999999985</v>
      </c>
      <c r="L83" s="11">
        <f>K83+'Kosten ohne TD'!L20</f>
        <v>10128.999999999998</v>
      </c>
      <c r="M83" s="11">
        <f>L83+'Kosten ohne TD'!M20</f>
        <v>11141.899999999998</v>
      </c>
      <c r="N83" s="11">
        <f>M83+'Kosten ohne TD'!N20</f>
        <v>12154.799999999997</v>
      </c>
      <c r="O83" s="11">
        <f>N83+'Kosten ohne TD'!O20</f>
        <v>13217.622999999998</v>
      </c>
      <c r="P83" s="11">
        <f>O83+'Kosten ohne TD'!P20</f>
        <v>14280.445999999998</v>
      </c>
      <c r="Q83" s="11">
        <f>P83+'Kosten ohne TD'!Q20</f>
        <v>15343.268999999998</v>
      </c>
      <c r="R83" s="11">
        <f>Q83+'Kosten ohne TD'!R20</f>
        <v>16406.091999999997</v>
      </c>
      <c r="S83" s="11">
        <f>R83+'Kosten ohne TD'!S20</f>
        <v>17468.914999999997</v>
      </c>
      <c r="T83" s="11">
        <f>S83+'Kosten ohne TD'!T20</f>
        <v>18531.737999999998</v>
      </c>
      <c r="U83" s="11">
        <f>T83+'Kosten ohne TD'!U20</f>
        <v>19594.560999999998</v>
      </c>
      <c r="V83" s="11">
        <f>U83+'Kosten ohne TD'!V20</f>
        <v>20657.383999999998</v>
      </c>
      <c r="W83" s="11">
        <f>V83+'Kosten ohne TD'!W20</f>
        <v>21720.206999999999</v>
      </c>
      <c r="X83" s="11">
        <f>W83+'Kosten ohne TD'!X20</f>
        <v>22783.03</v>
      </c>
      <c r="Y83" s="11">
        <f>X83+'Kosten ohne TD'!Y20</f>
        <v>23845.852999999999</v>
      </c>
      <c r="Z83" s="11">
        <f>Y83+'Kosten ohne TD'!Z20</f>
        <v>24908.675999999999</v>
      </c>
    </row>
    <row r="84" spans="1:26">
      <c r="A84" s="121"/>
      <c r="B84" s="122"/>
      <c r="C84" s="122"/>
      <c r="D84" s="122"/>
      <c r="E84" s="122"/>
      <c r="F84" s="122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28.8">
      <c r="A85" s="121"/>
      <c r="B85" s="120" t="s">
        <v>56</v>
      </c>
      <c r="C85" s="156">
        <f>'Kosten mit TD'!C25</f>
        <v>123977.3</v>
      </c>
      <c r="D85" s="156">
        <f>C85+'Kosten mit TD'!D25</f>
        <v>125754.6</v>
      </c>
      <c r="E85" s="156">
        <f>D85+'Kosten mit TD'!E25</f>
        <v>127531.90000000001</v>
      </c>
      <c r="F85" s="156">
        <f>E85+'Kosten mit TD'!F25</f>
        <v>129309.20000000001</v>
      </c>
      <c r="G85" s="156">
        <f>F85+'Kosten mit TD'!G25</f>
        <v>131086.5</v>
      </c>
      <c r="H85" s="156">
        <f>G85+'Kosten mit TD'!H25</f>
        <v>132863.79999999999</v>
      </c>
      <c r="I85" s="156">
        <f>H85+'Kosten mit TD'!I25</f>
        <v>134641.09999999998</v>
      </c>
      <c r="J85" s="156">
        <f>I85+'Kosten mit TD'!J25</f>
        <v>136418.39999999997</v>
      </c>
      <c r="K85" s="156">
        <f>J85+'Kosten mit TD'!K25</f>
        <v>138195.69999999995</v>
      </c>
      <c r="L85" s="156">
        <f>K85+'Kosten mit TD'!L25</f>
        <v>139972.99999999994</v>
      </c>
      <c r="M85" s="156">
        <f>L85+'Kosten mit TD'!M25</f>
        <v>141750.29999999993</v>
      </c>
      <c r="N85" s="156">
        <f>M85+'Kosten mit TD'!N25</f>
        <v>143527.59999999992</v>
      </c>
      <c r="O85" s="156">
        <f>N85+'Kosten mit TD'!O25</f>
        <v>145329.86149999991</v>
      </c>
      <c r="P85" s="156">
        <f>O85+'Kosten mit TD'!P25</f>
        <v>147132.12299999991</v>
      </c>
      <c r="Q85" s="156">
        <f>P85+'Kosten mit TD'!Q25</f>
        <v>148934.3844999999</v>
      </c>
      <c r="R85" s="156">
        <f>Q85+'Kosten mit TD'!R25</f>
        <v>150736.64599999989</v>
      </c>
      <c r="S85" s="156">
        <f>R85+'Kosten mit TD'!S25</f>
        <v>152538.90749999988</v>
      </c>
      <c r="T85" s="156">
        <f>S85+'Kosten mit TD'!T25</f>
        <v>154341.16899999988</v>
      </c>
      <c r="U85" s="156">
        <f>T85+'Kosten mit TD'!U25</f>
        <v>156143.43049999987</v>
      </c>
      <c r="V85" s="156">
        <f>U85+'Kosten mit TD'!V25</f>
        <v>157945.69199999986</v>
      </c>
      <c r="W85" s="156">
        <f>V85+'Kosten mit TD'!W25</f>
        <v>159747.95349999986</v>
      </c>
      <c r="X85" s="156">
        <f>W85+'Kosten mit TD'!X25</f>
        <v>161550.21499999985</v>
      </c>
      <c r="Y85" s="156">
        <f>X85+'Kosten mit TD'!Y25</f>
        <v>163352.47649999984</v>
      </c>
      <c r="Z85" s="156">
        <f>Y85+'Kosten mit TD'!Z25</f>
        <v>165154.73799999984</v>
      </c>
    </row>
    <row r="86" spans="1:26" ht="42.45" customHeight="1">
      <c r="A86" s="121"/>
      <c r="B86" s="120" t="s">
        <v>93</v>
      </c>
      <c r="C86" s="119">
        <f>'Kosten mit TD'!C55</f>
        <v>28304.799999999999</v>
      </c>
      <c r="D86" s="119">
        <f>C86+'Kosten mit TD'!D55</f>
        <v>49283.974999999999</v>
      </c>
      <c r="E86" s="119">
        <f>D86+'Kosten mit TD'!E55</f>
        <v>69637.524999999994</v>
      </c>
      <c r="F86" s="119">
        <f>E86+'Kosten mit TD'!F55</f>
        <v>89365.45</v>
      </c>
      <c r="G86" s="119">
        <f>F86+'Kosten mit TD'!G55</f>
        <v>108467.75</v>
      </c>
      <c r="H86" s="119">
        <f>G86+'Kosten mit TD'!H55</f>
        <v>126944.425</v>
      </c>
      <c r="I86" s="119">
        <f>H86+'Kosten mit TD'!I55</f>
        <v>144795.47500000001</v>
      </c>
      <c r="J86" s="119">
        <f>I86+'Kosten mit TD'!J55</f>
        <v>162020.9</v>
      </c>
      <c r="K86" s="119">
        <f>J86+'Kosten mit TD'!K55</f>
        <v>178620.69999999998</v>
      </c>
      <c r="L86" s="119">
        <f>K86+'Kosten mit TD'!L55</f>
        <v>194594.87499999997</v>
      </c>
      <c r="M86" s="119">
        <f>L86+'Kosten mit TD'!M55</f>
        <v>209943.42499999996</v>
      </c>
      <c r="N86" s="119">
        <f>M86+'Kosten mit TD'!N55</f>
        <v>224666.34999999995</v>
      </c>
      <c r="O86" s="119">
        <f>N86+'Kosten mit TD'!O55</f>
        <v>238788.61149999994</v>
      </c>
      <c r="P86" s="119">
        <f>O86+'Kosten mit TD'!P55</f>
        <v>252285.24799999993</v>
      </c>
      <c r="Q86" s="119">
        <f>P86+'Kosten mit TD'!Q55</f>
        <v>265156.25949999993</v>
      </c>
      <c r="R86" s="119">
        <f>Q86+'Kosten mit TD'!R55</f>
        <v>277401.64599999995</v>
      </c>
      <c r="S86" s="119">
        <f>R86+'Kosten mit TD'!S55</f>
        <v>289021.40749999997</v>
      </c>
      <c r="T86" s="119">
        <f>S86+'Kosten mit TD'!T55</f>
        <v>300015.54399999999</v>
      </c>
      <c r="U86" s="119">
        <f>T86+'Kosten mit TD'!U55</f>
        <v>310384.05550000002</v>
      </c>
      <c r="V86" s="119">
        <f>U86+'Kosten mit TD'!V55</f>
        <v>320126.94200000004</v>
      </c>
      <c r="W86" s="119">
        <f>V86+'Kosten mit TD'!W55</f>
        <v>329244.20350000006</v>
      </c>
      <c r="X86" s="119">
        <f>W86+'Kosten mit TD'!X55</f>
        <v>337735.84000000008</v>
      </c>
      <c r="Y86" s="119">
        <f>X86+'Kosten mit TD'!Y55</f>
        <v>345601.85150000011</v>
      </c>
      <c r="Z86" s="119">
        <f>Y86+'Kosten mit TD'!Z55</f>
        <v>352842.23800000013</v>
      </c>
    </row>
    <row r="87" spans="1:26" ht="42" customHeight="1">
      <c r="A87" s="121"/>
      <c r="B87" s="120" t="s">
        <v>59</v>
      </c>
      <c r="C87" s="11">
        <f>'Kosten mit TD'!C83</f>
        <v>228457.45</v>
      </c>
      <c r="D87" s="11">
        <f>C87+'Kosten mit TD'!D83</f>
        <v>228463.90000000002</v>
      </c>
      <c r="E87" s="11">
        <f>D87+'Kosten mit TD'!E83</f>
        <v>228470.35000000003</v>
      </c>
      <c r="F87" s="11">
        <f>E87+'Kosten mit TD'!F83</f>
        <v>228476.80000000005</v>
      </c>
      <c r="G87" s="11">
        <f>F87+'Kosten mit TD'!G83</f>
        <v>228483.25000000006</v>
      </c>
      <c r="H87" s="11">
        <f>G87+'Kosten mit TD'!H83</f>
        <v>228489.70000000007</v>
      </c>
      <c r="I87" s="11">
        <f>H87+'Kosten mit TD'!I83</f>
        <v>228496.15000000008</v>
      </c>
      <c r="J87" s="11">
        <f>I87+'Kosten mit TD'!J83</f>
        <v>228502.60000000009</v>
      </c>
      <c r="K87" s="11">
        <f>J87+'Kosten mit TD'!K83</f>
        <v>228509.0500000001</v>
      </c>
      <c r="L87" s="11">
        <f>K87+'Kosten mit TD'!L83</f>
        <v>228515.50000000012</v>
      </c>
      <c r="M87" s="11">
        <f>L87+'Kosten mit TD'!M83</f>
        <v>228521.95000000013</v>
      </c>
      <c r="N87" s="11">
        <f>M87+'Kosten mit TD'!N83</f>
        <v>228528.40000000014</v>
      </c>
      <c r="O87" s="11">
        <f>N87+'Kosten mit TD'!O83</f>
        <v>228559.81150000013</v>
      </c>
      <c r="P87" s="11">
        <f>O87+'Kosten mit TD'!P83</f>
        <v>228591.22300000011</v>
      </c>
      <c r="Q87" s="11">
        <f>P87+'Kosten mit TD'!Q83</f>
        <v>228622.6345000001</v>
      </c>
      <c r="R87" s="11">
        <f>Q87+'Kosten mit TD'!R83</f>
        <v>228654.04600000009</v>
      </c>
      <c r="S87" s="11">
        <f>R87+'Kosten mit TD'!S83</f>
        <v>228685.45750000008</v>
      </c>
      <c r="T87" s="11">
        <f>S87+'Kosten mit TD'!T83</f>
        <v>228716.86900000006</v>
      </c>
      <c r="U87" s="11">
        <f>T87+'Kosten mit TD'!U83</f>
        <v>228748.28050000005</v>
      </c>
      <c r="V87" s="11">
        <f>U87+'Kosten mit TD'!V83</f>
        <v>228779.69200000004</v>
      </c>
      <c r="W87" s="11">
        <f>V87+'Kosten mit TD'!W83</f>
        <v>228811.10350000003</v>
      </c>
      <c r="X87" s="11">
        <f>W87+'Kosten mit TD'!X83</f>
        <v>228842.51500000001</v>
      </c>
      <c r="Y87" s="11">
        <f>X87+'Kosten mit TD'!Y83</f>
        <v>228873.9265</v>
      </c>
      <c r="Z87" s="11">
        <f>Y87+'Kosten mit TD'!Z83</f>
        <v>228905.33799999999</v>
      </c>
    </row>
    <row r="88" spans="1:26" ht="40.950000000000003" customHeight="1">
      <c r="A88" s="121"/>
      <c r="B88" s="120" t="s">
        <v>92</v>
      </c>
      <c r="C88" s="11">
        <f>'Kosten mit TD'!C113</f>
        <v>132784.95000000001</v>
      </c>
      <c r="D88" s="11">
        <f>C88+'Kosten mit TD'!D113</f>
        <v>151993.27500000002</v>
      </c>
      <c r="E88" s="11">
        <f>D88+'Kosten mit TD'!E113</f>
        <v>170575.97500000003</v>
      </c>
      <c r="F88" s="11">
        <f>E88+'Kosten mit TD'!F113</f>
        <v>188533.05000000005</v>
      </c>
      <c r="G88" s="11">
        <f>F88+'Kosten mit TD'!G113</f>
        <v>205864.50000000006</v>
      </c>
      <c r="H88" s="11">
        <f>G88+'Kosten mit TD'!H113</f>
        <v>222570.32500000007</v>
      </c>
      <c r="I88" s="11">
        <f>H88+'Kosten mit TD'!I113</f>
        <v>238650.52500000008</v>
      </c>
      <c r="J88" s="11">
        <f>I88+'Kosten mit TD'!J113</f>
        <v>254105.10000000009</v>
      </c>
      <c r="K88" s="11">
        <f>J88+'Kosten mit TD'!K113</f>
        <v>268934.0500000001</v>
      </c>
      <c r="L88" s="11">
        <f>K88+'Kosten mit TD'!L113</f>
        <v>283137.37500000012</v>
      </c>
      <c r="M88" s="11">
        <f>L88+'Kosten mit TD'!M113</f>
        <v>296715.07500000013</v>
      </c>
      <c r="N88" s="11">
        <f>M88+'Kosten mit TD'!N113</f>
        <v>309667.15000000014</v>
      </c>
      <c r="O88" s="11">
        <f>N88+'Kosten mit TD'!O113</f>
        <v>322018.56150000013</v>
      </c>
      <c r="P88" s="11">
        <f>O88+'Kosten mit TD'!P113</f>
        <v>333744.34800000011</v>
      </c>
      <c r="Q88" s="11">
        <f>P88+'Kosten mit TD'!Q113</f>
        <v>344844.5095000001</v>
      </c>
      <c r="R88" s="11">
        <f>Q88+'Kosten mit TD'!R113</f>
        <v>355319.04600000009</v>
      </c>
      <c r="S88" s="11">
        <f>R88+'Kosten mit TD'!S113</f>
        <v>365167.95750000008</v>
      </c>
      <c r="T88" s="11">
        <f>S88+'Kosten mit TD'!T113</f>
        <v>374391.24400000006</v>
      </c>
      <c r="U88" s="11">
        <f>T88+'Kosten mit TD'!U113</f>
        <v>382988.90550000005</v>
      </c>
      <c r="V88" s="11">
        <f>U88+'Kosten mit TD'!V113</f>
        <v>390960.94200000004</v>
      </c>
      <c r="W88" s="11">
        <f>V88+'Kosten mit TD'!W113</f>
        <v>398307.35350000003</v>
      </c>
      <c r="X88" s="11">
        <f>W88+'Kosten mit TD'!X113</f>
        <v>405028.14</v>
      </c>
      <c r="Y88" s="11">
        <f>X88+'Kosten mit TD'!Y113</f>
        <v>411123.3015</v>
      </c>
      <c r="Z88" s="11">
        <f>Y88+'Kosten mit TD'!Z113</f>
        <v>416592.83799999999</v>
      </c>
    </row>
    <row r="89" spans="1:26" ht="40.200000000000003" customHeight="1">
      <c r="A89" s="121"/>
      <c r="B89" s="120" t="s">
        <v>73</v>
      </c>
      <c r="C89" s="119">
        <f>'Kosten mit TD'!C140</f>
        <v>8477.2999999999993</v>
      </c>
      <c r="D89" s="119">
        <f>C89+'Kosten mit TD'!D140</f>
        <v>10254.599999999999</v>
      </c>
      <c r="E89" s="119">
        <f>D89+'Kosten mit TD'!E140</f>
        <v>12031.899999999998</v>
      </c>
      <c r="F89" s="119">
        <f>E89+'Kosten mit TD'!F140</f>
        <v>13809.199999999997</v>
      </c>
      <c r="G89" s="119">
        <f>F89+'Kosten mit TD'!G140</f>
        <v>15586.499999999996</v>
      </c>
      <c r="H89" s="119">
        <f>G89+'Kosten mit TD'!H140</f>
        <v>17363.799999999996</v>
      </c>
      <c r="I89" s="119">
        <f>H89+'Kosten mit TD'!I140</f>
        <v>19141.099999999995</v>
      </c>
      <c r="J89" s="119">
        <f>I89+'Kosten mit TD'!J140</f>
        <v>20918.399999999994</v>
      </c>
      <c r="K89" s="119">
        <f>J89+'Kosten mit TD'!K140</f>
        <v>22695.699999999993</v>
      </c>
      <c r="L89" s="119">
        <f>K89+'Kosten mit TD'!L140</f>
        <v>24472.999999999993</v>
      </c>
      <c r="M89" s="119">
        <f>L89+'Kosten mit TD'!M140</f>
        <v>26250.299999999992</v>
      </c>
      <c r="N89" s="119">
        <f>M89+'Kosten mit TD'!N140</f>
        <v>28027.599999999991</v>
      </c>
      <c r="O89" s="119">
        <f>N89+'Kosten mit TD'!O140</f>
        <v>29829.861499999992</v>
      </c>
      <c r="P89" s="119">
        <f>O89+'Kosten mit TD'!P140</f>
        <v>31632.122999999992</v>
      </c>
      <c r="Q89" s="119">
        <f>P89+'Kosten mit TD'!Q140</f>
        <v>33434.384499999993</v>
      </c>
      <c r="R89" s="119">
        <f>Q89+'Kosten mit TD'!R140</f>
        <v>35236.645999999993</v>
      </c>
      <c r="S89" s="119">
        <f>R89+'Kosten mit TD'!S140</f>
        <v>37038.907499999994</v>
      </c>
      <c r="T89" s="119">
        <f>S89+'Kosten mit TD'!T140</f>
        <v>38841.168999999994</v>
      </c>
      <c r="U89" s="119">
        <f>T89+'Kosten mit TD'!U140</f>
        <v>40643.430499999995</v>
      </c>
      <c r="V89" s="119">
        <f>U89+'Kosten mit TD'!V140</f>
        <v>42445.691999999995</v>
      </c>
      <c r="W89" s="119">
        <f>V89+'Kosten mit TD'!W140</f>
        <v>44247.953499999996</v>
      </c>
      <c r="X89" s="119">
        <f>W89+'Kosten mit TD'!X140</f>
        <v>46050.214999999997</v>
      </c>
      <c r="Y89" s="119">
        <f>X89+'Kosten mit TD'!Y140</f>
        <v>47852.476499999997</v>
      </c>
      <c r="Z89" s="119">
        <f>Y89+'Kosten mit TD'!Z140</f>
        <v>49654.737999999998</v>
      </c>
    </row>
    <row r="90" spans="1:26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2:26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2:26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2:26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2:26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2:26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2:26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2:26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2:26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2:26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2:26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2:26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2:26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2:26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2:26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2:26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2:26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2:26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2:26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2:26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2:26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2:26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2:26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2:26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2:26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2:26">
      <c r="B121" s="2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 spans="2:26">
      <c r="B122" s="2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 spans="2:26">
      <c r="B123" s="2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 spans="2:26">
      <c r="B124" s="2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 spans="2:26">
      <c r="B125" s="2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 spans="2:26">
      <c r="B126" s="2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 spans="2:26">
      <c r="B127" s="2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2:26">
      <c r="B128" s="2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2:26">
      <c r="B129" s="2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2:26">
      <c r="B130" s="2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2:26">
      <c r="B131" s="2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2:26">
      <c r="B132" s="2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2:26">
      <c r="B133" s="2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2:26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2:26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2:26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2:26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2:26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2:26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2:26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2:26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2:26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2:26">
      <c r="B143" s="2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 spans="2:26">
      <c r="B144" s="2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 spans="2:26">
      <c r="B145" s="2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 spans="2:26">
      <c r="B146" s="2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 spans="2:26">
      <c r="B147" s="2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 spans="2:26">
      <c r="B148" s="2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 spans="2:26">
      <c r="B149" s="2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2:26">
      <c r="B150" s="2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2:26">
      <c r="B151" s="2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2:26">
      <c r="B152" s="2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37</vt:i4>
      </vt:variant>
    </vt:vector>
  </HeadingPairs>
  <TitlesOfParts>
    <vt:vector size="43" baseType="lpstr">
      <vt:lpstr>Cover</vt:lpstr>
      <vt:lpstr>Inputfaktoren</vt:lpstr>
      <vt:lpstr>Kosten ohne TD</vt:lpstr>
      <vt:lpstr>Kosten mit TD</vt:lpstr>
      <vt:lpstr>Einsparungen</vt:lpstr>
      <vt:lpstr>Dashboard</vt:lpstr>
      <vt:lpstr>Abzahlungsbetrag_Leasingdarlehen</vt:lpstr>
      <vt:lpstr>Anzahl_Zerspanungsapparate</vt:lpstr>
      <vt:lpstr>Anzahl_Zerspanungswerkzeuge</vt:lpstr>
      <vt:lpstr>Grundpreis_Abomodell</vt:lpstr>
      <vt:lpstr>Hardwarekosten_total</vt:lpstr>
      <vt:lpstr>Implementierungskosten_Software_total</vt:lpstr>
      <vt:lpstr>KostenTD_1Jahr_Abo_mit_Kameraeinkauf</vt:lpstr>
      <vt:lpstr>KostenTD_1Jahr_Abo_mit_Kameraleasing</vt:lpstr>
      <vt:lpstr>KostenTD_1Jahr_Abo_ohne_Kameraeinkauf</vt:lpstr>
      <vt:lpstr>KostenTD_1Jahr_Einmalzahlung_mit_Kameraeinkauf</vt:lpstr>
      <vt:lpstr>KostenTD_1Jahr_Einmalzahlung_mit_Kameraleasing</vt:lpstr>
      <vt:lpstr>KostenTD_24m_Abo_mit_Kameraeinkauf</vt:lpstr>
      <vt:lpstr>KostenTD_24m_Abo_mit_Kameraleasing</vt:lpstr>
      <vt:lpstr>KostenTD_24m_Abo_ohne_Kameraeinkauf</vt:lpstr>
      <vt:lpstr>KostenTD_24m_Einmalzahlung_mit_Kameraeinkauf</vt:lpstr>
      <vt:lpstr>KostenTD_24m_Einmalzahlung_mit_Kameraleasing</vt:lpstr>
      <vt:lpstr>KostenTD_2Jahr_Abo_mit_Kameraeinkauf</vt:lpstr>
      <vt:lpstr>KostenTD_2Jahr_Abo_mit_Kameraleasing</vt:lpstr>
      <vt:lpstr>KostenTD_2Jahr_Abo_ohne_Kameraeinkauf</vt:lpstr>
      <vt:lpstr>KostenTD_2Jahr_Einmalzahlung_mit_Kameraeinkauf</vt:lpstr>
      <vt:lpstr>KostenTD_2Jahr_Einmalzahlung_mit_Kameraleasing</vt:lpstr>
      <vt:lpstr>Leasinglaufzeit_in_Monaten</vt:lpstr>
      <vt:lpstr>Leasingzins</vt:lpstr>
      <vt:lpstr>Lizenzgebühr_an_Frauenhofer</vt:lpstr>
      <vt:lpstr>Materialaufwand_Ausschussteile_pro_Monat</vt:lpstr>
      <vt:lpstr>Materialaufwand_für_Zerspanungswerkzeuge_pro_Monat</vt:lpstr>
      <vt:lpstr>Monate_für_Bestimmung_Einmalzahlung</vt:lpstr>
      <vt:lpstr>Preisaufschlag_pro_Zerspanungsapparat_Abomodell</vt:lpstr>
      <vt:lpstr>Preissteigerung_Materialaufwand_für_Zerspanungswerkzeuge</vt:lpstr>
      <vt:lpstr>Stundenaufwand_pro_Monat_pro_Zerspanungsapparat_für_Nacharbeit</vt:lpstr>
      <vt:lpstr>Stundenaufwand_pro_Monat_pro_Zerspanungswerkzeug_für_manuelle_Werkzeugkontrolle</vt:lpstr>
      <vt:lpstr>Stundenaufwand_pro_Monat_pro_Zerspanungswerkzeug_für_Werkzeugqualitfizierung</vt:lpstr>
      <vt:lpstr>Stundenlohn_pro_Mitarbeiter</vt:lpstr>
      <vt:lpstr>Totale_Kosten_ohne_Lohnkosten</vt:lpstr>
      <vt:lpstr>Umstellungskosten_Software_pro_Zerspanungsapparat</vt:lpstr>
      <vt:lpstr>Verschleiss_vor_Entsorgung_mit_TD</vt:lpstr>
      <vt:lpstr>Verschleiss_vor_Entsorgung_ohne_TD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David Biebert</cp:lastModifiedBy>
  <cp:revision/>
  <dcterms:created xsi:type="dcterms:W3CDTF">2023-04-07T13:05:27Z</dcterms:created>
  <dcterms:modified xsi:type="dcterms:W3CDTF">2023-05-10T15:38:52Z</dcterms:modified>
  <cp:category/>
  <cp:contentStatus/>
</cp:coreProperties>
</file>